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9"/>
  <workbookPr/>
  <xr:revisionPtr revIDLastSave="0" documentId="8_{E8526287-2DDC-4828-A5A9-37B5F5EEC0EC}" xr6:coauthVersionLast="47" xr6:coauthVersionMax="47" xr10:uidLastSave="{00000000-0000-0000-0000-000000000000}"/>
  <bookViews>
    <workbookView xWindow="0" yWindow="0" windowWidth="20640" windowHeight="9435" tabRatio="898" xr2:uid="{00000000-000D-0000-FFFF-FFFF00000000}"/>
  </bookViews>
  <sheets>
    <sheet name="Data Set Risk Identification" sheetId="7" r:id="rId1"/>
    <sheet name="Sheet5" sheetId="16" r:id="rId2"/>
    <sheet name="Risk %" sheetId="10" r:id="rId3"/>
    <sheet name="AI Question Matrix" sheetId="15" r:id="rId4"/>
    <sheet name="Interventions" sheetId="4" r:id="rId5"/>
    <sheet name="Sheet3" sheetId="13" state="hidden" r:id="rId6"/>
    <sheet name="Sheet2" sheetId="12" state="hidden" r:id="rId7"/>
    <sheet name="Sheet1" sheetId="11" state="hidden" r:id="rId8"/>
    <sheet name="Sheet4" sheetId="14" state="hidden" r:id="rId9"/>
    <sheet name="Questions for AI" sheetId="9" state="hidden" r:id="rId10"/>
    <sheet name="Data Set Working" sheetId="1" state="hidden" r:id="rId11"/>
    <sheet name="Notes" sheetId="5" state="hidden" r:id="rId12"/>
    <sheet name="Risk Ref1" sheetId="3" state="hidden" r:id="rId13"/>
    <sheet name="Risk ref2" sheetId="6" state="hidden" r:id="rId14"/>
    <sheet name="Ref 3" sheetId="2" state="hidden" r:id="rId15"/>
  </sheets>
  <definedNames>
    <definedName name="_xlnm._FilterDatabase" localSheetId="5" hidden="1">Sheet3!$A$1:$AU$626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6" l="1" a="1"/>
  <c r="C3" i="16"/>
  <c r="CE629" i="7"/>
  <c r="BX629" i="7"/>
  <c r="BW629" i="7"/>
  <c r="BV629" i="7"/>
  <c r="BU629" i="7"/>
  <c r="BR629" i="7"/>
  <c r="CB629" i="7" s="1"/>
  <c r="BO629" i="7"/>
  <c r="BN629" i="7"/>
  <c r="BM629" i="7"/>
  <c r="BH629" i="7"/>
  <c r="BC629" i="7"/>
  <c r="BB629" i="7"/>
  <c r="BA629" i="7"/>
  <c r="AZ629" i="7"/>
  <c r="AV629" i="7"/>
  <c r="R629" i="7"/>
  <c r="O629"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4" i="7"/>
  <c r="BY629" i="7" l="1"/>
  <c r="BP629" i="7"/>
  <c r="CC629" i="7" s="1"/>
  <c r="AY629" i="7"/>
  <c r="BQ629" i="7"/>
  <c r="BZ629" i="7"/>
  <c r="CD629" i="7"/>
  <c r="CA629" i="7"/>
  <c r="CF629" i="7" s="1"/>
  <c r="BR13" i="7"/>
  <c r="BR22" i="7"/>
  <c r="BR550" i="7"/>
  <c r="BR340" i="7"/>
  <c r="BR236" i="7"/>
  <c r="BR215" i="7"/>
  <c r="BR201" i="7"/>
  <c r="BR197" i="7"/>
  <c r="CD197" i="7" s="1"/>
  <c r="BR31" i="7"/>
  <c r="BR26" i="7"/>
  <c r="CE628" i="7"/>
  <c r="BX628" i="7"/>
  <c r="BW628" i="7"/>
  <c r="BV628" i="7"/>
  <c r="BU628" i="7"/>
  <c r="BR628" i="7"/>
  <c r="CB628" i="7" s="1"/>
  <c r="BO628" i="7"/>
  <c r="BN628" i="7"/>
  <c r="BM628" i="7"/>
  <c r="BY628" i="7" s="1"/>
  <c r="BJ628" i="7"/>
  <c r="BT628" i="7" s="1"/>
  <c r="CE627" i="7"/>
  <c r="BX627" i="7"/>
  <c r="BW627" i="7"/>
  <c r="BV627" i="7"/>
  <c r="BU627" i="7"/>
  <c r="BR627" i="7"/>
  <c r="BO627" i="7"/>
  <c r="BN627" i="7"/>
  <c r="BM627" i="7"/>
  <c r="BY627" i="7" s="1"/>
  <c r="BJ627" i="7"/>
  <c r="BT627" i="7" s="1"/>
  <c r="CE626" i="7"/>
  <c r="BX626" i="7"/>
  <c r="BW626" i="7"/>
  <c r="BV626" i="7"/>
  <c r="BU626" i="7"/>
  <c r="BR626" i="7"/>
  <c r="CB626" i="7" s="1"/>
  <c r="BO626" i="7"/>
  <c r="BN626" i="7"/>
  <c r="BM626" i="7"/>
  <c r="BY626" i="7" s="1"/>
  <c r="BJ626" i="7"/>
  <c r="BT626" i="7" s="1"/>
  <c r="CE625" i="7"/>
  <c r="BX625" i="7"/>
  <c r="BW625" i="7"/>
  <c r="BV625" i="7"/>
  <c r="BU625" i="7"/>
  <c r="BR625" i="7"/>
  <c r="BO625" i="7"/>
  <c r="BN625" i="7"/>
  <c r="BM625" i="7"/>
  <c r="BY625" i="7" s="1"/>
  <c r="BJ625" i="7"/>
  <c r="BT625" i="7" s="1"/>
  <c r="CE624" i="7"/>
  <c r="BX624" i="7"/>
  <c r="BW624" i="7"/>
  <c r="BV624" i="7"/>
  <c r="BU624" i="7"/>
  <c r="BR624" i="7"/>
  <c r="CB624" i="7" s="1"/>
  <c r="BO624" i="7"/>
  <c r="BN624" i="7"/>
  <c r="BM624" i="7"/>
  <c r="BY624" i="7" s="1"/>
  <c r="BJ624" i="7"/>
  <c r="BT624" i="7" s="1"/>
  <c r="CE623" i="7"/>
  <c r="BX623" i="7"/>
  <c r="BW623" i="7"/>
  <c r="BV623" i="7"/>
  <c r="BU623" i="7"/>
  <c r="BR623" i="7"/>
  <c r="BO623" i="7"/>
  <c r="BN623" i="7"/>
  <c r="BM623" i="7"/>
  <c r="BY623" i="7" s="1"/>
  <c r="BJ623" i="7"/>
  <c r="BT623" i="7" s="1"/>
  <c r="CE622" i="7"/>
  <c r="BX622" i="7"/>
  <c r="BW622" i="7"/>
  <c r="BV622" i="7"/>
  <c r="BU622" i="7"/>
  <c r="BR622" i="7"/>
  <c r="CB622" i="7" s="1"/>
  <c r="BO622" i="7"/>
  <c r="BN622" i="7"/>
  <c r="BM622" i="7"/>
  <c r="BY622" i="7" s="1"/>
  <c r="BJ622" i="7"/>
  <c r="BT622" i="7" s="1"/>
  <c r="CE621" i="7"/>
  <c r="BX621" i="7"/>
  <c r="BW621" i="7"/>
  <c r="BV621" i="7"/>
  <c r="BU621" i="7"/>
  <c r="BR621" i="7"/>
  <c r="BO621" i="7"/>
  <c r="BN621" i="7"/>
  <c r="BM621" i="7"/>
  <c r="BY621" i="7" s="1"/>
  <c r="BJ621" i="7"/>
  <c r="BT621" i="7" s="1"/>
  <c r="CE620" i="7"/>
  <c r="BX620" i="7"/>
  <c r="BW620" i="7"/>
  <c r="BV620" i="7"/>
  <c r="BU620" i="7"/>
  <c r="BR620" i="7"/>
  <c r="CB620" i="7" s="1"/>
  <c r="BO620" i="7"/>
  <c r="BN620" i="7"/>
  <c r="BM620" i="7"/>
  <c r="BY620" i="7" s="1"/>
  <c r="BJ620" i="7"/>
  <c r="BT620" i="7" s="1"/>
  <c r="CE619" i="7"/>
  <c r="BX619" i="7"/>
  <c r="BW619" i="7"/>
  <c r="BV619" i="7"/>
  <c r="BU619" i="7"/>
  <c r="BR619" i="7"/>
  <c r="CA619" i="7" s="1"/>
  <c r="CF619" i="7" s="1"/>
  <c r="BO619" i="7"/>
  <c r="BN619" i="7"/>
  <c r="BM619" i="7"/>
  <c r="BJ619" i="7"/>
  <c r="BT619" i="7" s="1"/>
  <c r="CE618" i="7"/>
  <c r="BX618" i="7"/>
  <c r="BW618" i="7"/>
  <c r="BV618" i="7"/>
  <c r="BU618" i="7"/>
  <c r="BR618" i="7"/>
  <c r="CA618" i="7" s="1"/>
  <c r="CF618" i="7" s="1"/>
  <c r="BO618" i="7"/>
  <c r="BN618" i="7"/>
  <c r="BM618" i="7"/>
  <c r="BP618" i="7" s="1"/>
  <c r="BQ618" i="7" s="1"/>
  <c r="BJ618" i="7"/>
  <c r="BT618" i="7" s="1"/>
  <c r="CE617" i="7"/>
  <c r="BX617" i="7"/>
  <c r="BW617" i="7"/>
  <c r="BV617" i="7"/>
  <c r="BU617" i="7"/>
  <c r="BR617" i="7"/>
  <c r="CA617" i="7" s="1"/>
  <c r="CF617" i="7" s="1"/>
  <c r="BO617" i="7"/>
  <c r="BN617" i="7"/>
  <c r="BM617" i="7"/>
  <c r="BJ617" i="7"/>
  <c r="BT617" i="7" s="1"/>
  <c r="CE616" i="7"/>
  <c r="BX616" i="7"/>
  <c r="BW616" i="7"/>
  <c r="BV616" i="7"/>
  <c r="BU616" i="7"/>
  <c r="BR616" i="7"/>
  <c r="CA616" i="7" s="1"/>
  <c r="CF616" i="7" s="1"/>
  <c r="BO616" i="7"/>
  <c r="BN616" i="7"/>
  <c r="BM616" i="7"/>
  <c r="BY616" i="7" s="1"/>
  <c r="BJ616" i="7"/>
  <c r="BT616" i="7" s="1"/>
  <c r="CE615" i="7"/>
  <c r="BX615" i="7"/>
  <c r="BW615" i="7"/>
  <c r="BV615" i="7"/>
  <c r="BU615" i="7"/>
  <c r="BR615" i="7"/>
  <c r="CA615" i="7" s="1"/>
  <c r="CF615" i="7" s="1"/>
  <c r="BO615" i="7"/>
  <c r="BN615" i="7"/>
  <c r="BM615" i="7"/>
  <c r="BY615" i="7" s="1"/>
  <c r="BJ615" i="7"/>
  <c r="BT615" i="7" s="1"/>
  <c r="CE614" i="7"/>
  <c r="BX614" i="7"/>
  <c r="BW614" i="7"/>
  <c r="BV614" i="7"/>
  <c r="BU614" i="7"/>
  <c r="BR614" i="7"/>
  <c r="CA614" i="7" s="1"/>
  <c r="CF614" i="7" s="1"/>
  <c r="BO614" i="7"/>
  <c r="BN614" i="7"/>
  <c r="BM614" i="7"/>
  <c r="BJ614" i="7"/>
  <c r="BT614" i="7" s="1"/>
  <c r="CE613" i="7"/>
  <c r="BX613" i="7"/>
  <c r="BW613" i="7"/>
  <c r="BV613" i="7"/>
  <c r="BU613" i="7"/>
  <c r="BR613" i="7"/>
  <c r="CA613" i="7" s="1"/>
  <c r="CF613" i="7" s="1"/>
  <c r="BO613" i="7"/>
  <c r="BN613" i="7"/>
  <c r="BM613" i="7"/>
  <c r="BJ613" i="7"/>
  <c r="BT613" i="7" s="1"/>
  <c r="CE612" i="7"/>
  <c r="BX612" i="7"/>
  <c r="BW612" i="7"/>
  <c r="BV612" i="7"/>
  <c r="BU612" i="7"/>
  <c r="BR612" i="7"/>
  <c r="CA612" i="7" s="1"/>
  <c r="CF612" i="7" s="1"/>
  <c r="BO612" i="7"/>
  <c r="BN612" i="7"/>
  <c r="BM612" i="7"/>
  <c r="BJ612" i="7"/>
  <c r="BT612" i="7" s="1"/>
  <c r="CE611" i="7"/>
  <c r="BX611" i="7"/>
  <c r="BW611" i="7"/>
  <c r="BV611" i="7"/>
  <c r="BU611" i="7"/>
  <c r="BR611" i="7"/>
  <c r="CA611" i="7" s="1"/>
  <c r="CF611" i="7" s="1"/>
  <c r="BO611" i="7"/>
  <c r="BN611" i="7"/>
  <c r="BM611" i="7"/>
  <c r="BY611" i="7" s="1"/>
  <c r="BJ611" i="7"/>
  <c r="BT611" i="7" s="1"/>
  <c r="CE610" i="7"/>
  <c r="BX610" i="7"/>
  <c r="BW610" i="7"/>
  <c r="BV610" i="7"/>
  <c r="BU610" i="7"/>
  <c r="BR610" i="7"/>
  <c r="CA610" i="7" s="1"/>
  <c r="CF610" i="7" s="1"/>
  <c r="BO610" i="7"/>
  <c r="BN610" i="7"/>
  <c r="BM610" i="7"/>
  <c r="BP610" i="7" s="1"/>
  <c r="BQ610" i="7" s="1"/>
  <c r="BJ610" i="7"/>
  <c r="BT610" i="7" s="1"/>
  <c r="CE609" i="7"/>
  <c r="BX609" i="7"/>
  <c r="BW609" i="7"/>
  <c r="BV609" i="7"/>
  <c r="BU609" i="7"/>
  <c r="BR609" i="7"/>
  <c r="CA609" i="7" s="1"/>
  <c r="CF609" i="7" s="1"/>
  <c r="BO609" i="7"/>
  <c r="BN609" i="7"/>
  <c r="BM609" i="7"/>
  <c r="BJ609" i="7"/>
  <c r="BT609" i="7" s="1"/>
  <c r="CE608" i="7"/>
  <c r="BX608" i="7"/>
  <c r="BW608" i="7"/>
  <c r="BV608" i="7"/>
  <c r="BU608" i="7"/>
  <c r="BR608" i="7"/>
  <c r="CA608" i="7" s="1"/>
  <c r="CF608" i="7" s="1"/>
  <c r="BO608" i="7"/>
  <c r="BN608" i="7"/>
  <c r="BM608" i="7"/>
  <c r="BJ608" i="7"/>
  <c r="BT608" i="7" s="1"/>
  <c r="CE607" i="7"/>
  <c r="BX607" i="7"/>
  <c r="BW607" i="7"/>
  <c r="BV607" i="7"/>
  <c r="BU607" i="7"/>
  <c r="BR607" i="7"/>
  <c r="CA607" i="7" s="1"/>
  <c r="CF607" i="7" s="1"/>
  <c r="BO607" i="7"/>
  <c r="BN607" i="7"/>
  <c r="BM607" i="7"/>
  <c r="BJ607" i="7"/>
  <c r="BT607" i="7" s="1"/>
  <c r="CE606" i="7"/>
  <c r="BX606" i="7"/>
  <c r="BW606" i="7"/>
  <c r="BV606" i="7"/>
  <c r="BU606" i="7"/>
  <c r="BR606" i="7"/>
  <c r="CA606" i="7" s="1"/>
  <c r="CF606" i="7" s="1"/>
  <c r="BO606" i="7"/>
  <c r="BN606" i="7"/>
  <c r="BM606" i="7"/>
  <c r="BY606" i="7" s="1"/>
  <c r="BJ606" i="7"/>
  <c r="BT606" i="7" s="1"/>
  <c r="CE605" i="7"/>
  <c r="BX605" i="7"/>
  <c r="BW605" i="7"/>
  <c r="BV605" i="7"/>
  <c r="BU605" i="7"/>
  <c r="BR605" i="7"/>
  <c r="CA605" i="7" s="1"/>
  <c r="CF605" i="7" s="1"/>
  <c r="BO605" i="7"/>
  <c r="BN605" i="7"/>
  <c r="BM605" i="7"/>
  <c r="BJ605" i="7"/>
  <c r="BT605" i="7" s="1"/>
  <c r="CE604" i="7"/>
  <c r="BX604" i="7"/>
  <c r="BW604" i="7"/>
  <c r="BV604" i="7"/>
  <c r="BU604" i="7"/>
  <c r="BR604" i="7"/>
  <c r="CA604" i="7" s="1"/>
  <c r="CF604" i="7" s="1"/>
  <c r="BO604" i="7"/>
  <c r="BN604" i="7"/>
  <c r="BM604" i="7"/>
  <c r="BJ604" i="7"/>
  <c r="BT604" i="7" s="1"/>
  <c r="CE603" i="7"/>
  <c r="BX603" i="7"/>
  <c r="BW603" i="7"/>
  <c r="BV603" i="7"/>
  <c r="BU603" i="7"/>
  <c r="BR603" i="7"/>
  <c r="CA603" i="7" s="1"/>
  <c r="CF603" i="7" s="1"/>
  <c r="BO603" i="7"/>
  <c r="BN603" i="7"/>
  <c r="BM603" i="7"/>
  <c r="BY603" i="7" s="1"/>
  <c r="BJ603" i="7"/>
  <c r="BT603" i="7" s="1"/>
  <c r="CE602" i="7"/>
  <c r="BX602" i="7"/>
  <c r="BW602" i="7"/>
  <c r="BV602" i="7"/>
  <c r="BU602" i="7"/>
  <c r="BR602" i="7"/>
  <c r="CA602" i="7" s="1"/>
  <c r="CF602" i="7" s="1"/>
  <c r="BO602" i="7"/>
  <c r="BN602" i="7"/>
  <c r="BM602" i="7"/>
  <c r="BP602" i="7" s="1"/>
  <c r="BJ602" i="7"/>
  <c r="BT602" i="7" s="1"/>
  <c r="CE601" i="7"/>
  <c r="BX601" i="7"/>
  <c r="BW601" i="7"/>
  <c r="BV601" i="7"/>
  <c r="BU601" i="7"/>
  <c r="BR601" i="7"/>
  <c r="CB601" i="7" s="1"/>
  <c r="BO601" i="7"/>
  <c r="BN601" i="7"/>
  <c r="BM601" i="7"/>
  <c r="BY601" i="7" s="1"/>
  <c r="BJ601" i="7"/>
  <c r="BT601" i="7" s="1"/>
  <c r="CE600" i="7"/>
  <c r="BX600" i="7"/>
  <c r="BW600" i="7"/>
  <c r="BV600" i="7"/>
  <c r="BU600" i="7"/>
  <c r="BR600" i="7"/>
  <c r="BO600" i="7"/>
  <c r="BN600" i="7"/>
  <c r="BM600" i="7"/>
  <c r="BJ600" i="7"/>
  <c r="BT600" i="7" s="1"/>
  <c r="CE599" i="7"/>
  <c r="BX599" i="7"/>
  <c r="BW599" i="7"/>
  <c r="BV599" i="7"/>
  <c r="BU599" i="7"/>
  <c r="BR599" i="7"/>
  <c r="BO599" i="7"/>
  <c r="BN599" i="7"/>
  <c r="BM599" i="7"/>
  <c r="BJ599" i="7"/>
  <c r="BT599" i="7" s="1"/>
  <c r="CE598" i="7"/>
  <c r="BX598" i="7"/>
  <c r="BW598" i="7"/>
  <c r="BV598" i="7"/>
  <c r="BU598" i="7"/>
  <c r="BR598" i="7"/>
  <c r="CA598" i="7" s="1"/>
  <c r="CF598" i="7" s="1"/>
  <c r="BO598" i="7"/>
  <c r="BN598" i="7"/>
  <c r="BM598" i="7"/>
  <c r="BJ598" i="7"/>
  <c r="BT598" i="7" s="1"/>
  <c r="CE597" i="7"/>
  <c r="BX597" i="7"/>
  <c r="BW597" i="7"/>
  <c r="BV597" i="7"/>
  <c r="BU597" i="7"/>
  <c r="BR597" i="7"/>
  <c r="CD597" i="7" s="1"/>
  <c r="BO597" i="7"/>
  <c r="BN597" i="7"/>
  <c r="BM597" i="7"/>
  <c r="BJ597" i="7"/>
  <c r="BT597" i="7" s="1"/>
  <c r="CE596" i="7"/>
  <c r="BX596" i="7"/>
  <c r="BW596" i="7"/>
  <c r="BV596" i="7"/>
  <c r="BU596" i="7"/>
  <c r="BR596" i="7"/>
  <c r="CB596" i="7" s="1"/>
  <c r="BO596" i="7"/>
  <c r="BN596" i="7"/>
  <c r="BM596" i="7"/>
  <c r="BY596" i="7" s="1"/>
  <c r="BJ596" i="7"/>
  <c r="BT596" i="7" s="1"/>
  <c r="CE595" i="7"/>
  <c r="BX595" i="7"/>
  <c r="BW595" i="7"/>
  <c r="BV595" i="7"/>
  <c r="BU595" i="7"/>
  <c r="BR595" i="7"/>
  <c r="BO595" i="7"/>
  <c r="BN595" i="7"/>
  <c r="BM595" i="7"/>
  <c r="BJ595" i="7"/>
  <c r="BT595" i="7" s="1"/>
  <c r="CE594" i="7"/>
  <c r="BX594" i="7"/>
  <c r="BW594" i="7"/>
  <c r="BV594" i="7"/>
  <c r="BU594" i="7"/>
  <c r="BR594" i="7"/>
  <c r="CA594" i="7" s="1"/>
  <c r="CF594" i="7" s="1"/>
  <c r="BO594" i="7"/>
  <c r="BN594" i="7"/>
  <c r="BM594" i="7"/>
  <c r="BJ594" i="7"/>
  <c r="BT594" i="7" s="1"/>
  <c r="CE593" i="7"/>
  <c r="BX593" i="7"/>
  <c r="BW593" i="7"/>
  <c r="BV593" i="7"/>
  <c r="BU593" i="7"/>
  <c r="BR593" i="7"/>
  <c r="BO593" i="7"/>
  <c r="BN593" i="7"/>
  <c r="BM593" i="7"/>
  <c r="BP593" i="7" s="1"/>
  <c r="BQ593" i="7" s="1"/>
  <c r="BJ593" i="7"/>
  <c r="BT593" i="7" s="1"/>
  <c r="CE592" i="7"/>
  <c r="BX592" i="7"/>
  <c r="BW592" i="7"/>
  <c r="BV592" i="7"/>
  <c r="BU592" i="7"/>
  <c r="BR592" i="7"/>
  <c r="BO592" i="7"/>
  <c r="BN592" i="7"/>
  <c r="BM592" i="7"/>
  <c r="BJ592" i="7"/>
  <c r="BT592" i="7" s="1"/>
  <c r="CE591" i="7"/>
  <c r="BX591" i="7"/>
  <c r="BW591" i="7"/>
  <c r="BV591" i="7"/>
  <c r="BU591" i="7"/>
  <c r="BR591" i="7"/>
  <c r="BO591" i="7"/>
  <c r="BN591" i="7"/>
  <c r="BM591" i="7"/>
  <c r="BJ591" i="7"/>
  <c r="BT591" i="7" s="1"/>
  <c r="CE590" i="7"/>
  <c r="BX590" i="7"/>
  <c r="BW590" i="7"/>
  <c r="BV590" i="7"/>
  <c r="BU590" i="7"/>
  <c r="BR590" i="7"/>
  <c r="BO590" i="7"/>
  <c r="BN590" i="7"/>
  <c r="BM590" i="7"/>
  <c r="BJ590" i="7"/>
  <c r="BT590" i="7" s="1"/>
  <c r="CE589" i="7"/>
  <c r="BX589" i="7"/>
  <c r="BW589" i="7"/>
  <c r="BV589" i="7"/>
  <c r="BU589" i="7"/>
  <c r="BR589" i="7"/>
  <c r="CD589" i="7" s="1"/>
  <c r="BO589" i="7"/>
  <c r="BN589" i="7"/>
  <c r="BM589" i="7"/>
  <c r="BP589" i="7" s="1"/>
  <c r="BJ589" i="7"/>
  <c r="BT589" i="7" s="1"/>
  <c r="CE588" i="7"/>
  <c r="BX588" i="7"/>
  <c r="BW588" i="7"/>
  <c r="BV588" i="7"/>
  <c r="BU588" i="7"/>
  <c r="BR588" i="7"/>
  <c r="CB588" i="7" s="1"/>
  <c r="BO588" i="7"/>
  <c r="BN588" i="7"/>
  <c r="BM588" i="7"/>
  <c r="BP588" i="7" s="1"/>
  <c r="BJ588" i="7"/>
  <c r="BT588" i="7" s="1"/>
  <c r="CE587" i="7"/>
  <c r="BX587" i="7"/>
  <c r="BW587" i="7"/>
  <c r="BV587" i="7"/>
  <c r="BU587" i="7"/>
  <c r="BR587" i="7"/>
  <c r="BO587" i="7"/>
  <c r="BN587" i="7"/>
  <c r="BM587" i="7"/>
  <c r="BJ587" i="7"/>
  <c r="BT587" i="7" s="1"/>
  <c r="CE586" i="7"/>
  <c r="BX586" i="7"/>
  <c r="BW586" i="7"/>
  <c r="BV586" i="7"/>
  <c r="BU586" i="7"/>
  <c r="BR586" i="7"/>
  <c r="BO586" i="7"/>
  <c r="BN586" i="7"/>
  <c r="BM586" i="7"/>
  <c r="BJ586" i="7"/>
  <c r="BT586" i="7" s="1"/>
  <c r="CE585" i="7"/>
  <c r="BX585" i="7"/>
  <c r="BW585" i="7"/>
  <c r="BV585" i="7"/>
  <c r="BU585" i="7"/>
  <c r="BR585" i="7"/>
  <c r="CD585" i="7" s="1"/>
  <c r="BO585" i="7"/>
  <c r="BN585" i="7"/>
  <c r="BM585" i="7"/>
  <c r="BP585" i="7" s="1"/>
  <c r="BJ585" i="7"/>
  <c r="BT585" i="7" s="1"/>
  <c r="CE584" i="7"/>
  <c r="BX584" i="7"/>
  <c r="BW584" i="7"/>
  <c r="BV584" i="7"/>
  <c r="BU584" i="7"/>
  <c r="BR584" i="7"/>
  <c r="CB584" i="7" s="1"/>
  <c r="BO584" i="7"/>
  <c r="BN584" i="7"/>
  <c r="BM584" i="7"/>
  <c r="BY584" i="7" s="1"/>
  <c r="BJ584" i="7"/>
  <c r="BT584" i="7" s="1"/>
  <c r="CE583" i="7"/>
  <c r="BX583" i="7"/>
  <c r="BW583" i="7"/>
  <c r="BV583" i="7"/>
  <c r="BU583" i="7"/>
  <c r="BR583" i="7"/>
  <c r="BO583" i="7"/>
  <c r="BN583" i="7"/>
  <c r="BM583" i="7"/>
  <c r="BY583" i="7" s="1"/>
  <c r="BJ583" i="7"/>
  <c r="BT583" i="7" s="1"/>
  <c r="CE582" i="7"/>
  <c r="BX582" i="7"/>
  <c r="BW582" i="7"/>
  <c r="BV582" i="7"/>
  <c r="BU582" i="7"/>
  <c r="BR582" i="7"/>
  <c r="BO582" i="7"/>
  <c r="BN582" i="7"/>
  <c r="BM582" i="7"/>
  <c r="BJ582" i="7"/>
  <c r="BT582" i="7" s="1"/>
  <c r="CE581" i="7"/>
  <c r="BX581" i="7"/>
  <c r="BW581" i="7"/>
  <c r="BV581" i="7"/>
  <c r="BU581" i="7"/>
  <c r="BR581" i="7"/>
  <c r="BO581" i="7"/>
  <c r="BN581" i="7"/>
  <c r="BM581" i="7"/>
  <c r="BP581" i="7" s="1"/>
  <c r="BJ581" i="7"/>
  <c r="BT581" i="7" s="1"/>
  <c r="CE580" i="7"/>
  <c r="BX580" i="7"/>
  <c r="BW580" i="7"/>
  <c r="BV580" i="7"/>
  <c r="BU580" i="7"/>
  <c r="BR580" i="7"/>
  <c r="BO580" i="7"/>
  <c r="BN580" i="7"/>
  <c r="BM580" i="7"/>
  <c r="BJ580" i="7"/>
  <c r="BT580" i="7" s="1"/>
  <c r="CE579" i="7"/>
  <c r="BX579" i="7"/>
  <c r="BW579" i="7"/>
  <c r="BV579" i="7"/>
  <c r="BU579" i="7"/>
  <c r="BR579" i="7"/>
  <c r="BO579" i="7"/>
  <c r="BN579" i="7"/>
  <c r="BM579" i="7"/>
  <c r="BJ579" i="7"/>
  <c r="BT579" i="7" s="1"/>
  <c r="CE578" i="7"/>
  <c r="BX578" i="7"/>
  <c r="BW578" i="7"/>
  <c r="BV578" i="7"/>
  <c r="BU578" i="7"/>
  <c r="BR578" i="7"/>
  <c r="CA578" i="7" s="1"/>
  <c r="CF578" i="7" s="1"/>
  <c r="BO578" i="7"/>
  <c r="BN578" i="7"/>
  <c r="BM578" i="7"/>
  <c r="BJ578" i="7"/>
  <c r="BT578" i="7" s="1"/>
  <c r="CE577" i="7"/>
  <c r="BX577" i="7"/>
  <c r="BW577" i="7"/>
  <c r="BV577" i="7"/>
  <c r="BU577" i="7"/>
  <c r="BR577" i="7"/>
  <c r="CD577" i="7" s="1"/>
  <c r="BO577" i="7"/>
  <c r="BN577" i="7"/>
  <c r="BM577" i="7"/>
  <c r="BP577" i="7" s="1"/>
  <c r="BJ577" i="7"/>
  <c r="BT577" i="7" s="1"/>
  <c r="CE576" i="7"/>
  <c r="BX576" i="7"/>
  <c r="BW576" i="7"/>
  <c r="BV576" i="7"/>
  <c r="BU576" i="7"/>
  <c r="BR576" i="7"/>
  <c r="CB576" i="7" s="1"/>
  <c r="BO576" i="7"/>
  <c r="BN576" i="7"/>
  <c r="BM576" i="7"/>
  <c r="BP576" i="7" s="1"/>
  <c r="BJ576" i="7"/>
  <c r="BT576" i="7" s="1"/>
  <c r="CE575" i="7"/>
  <c r="BX575" i="7"/>
  <c r="BW575" i="7"/>
  <c r="BV575" i="7"/>
  <c r="BU575" i="7"/>
  <c r="BR575" i="7"/>
  <c r="CD575" i="7" s="1"/>
  <c r="BO575" i="7"/>
  <c r="BN575" i="7"/>
  <c r="BM575" i="7"/>
  <c r="BY575" i="7" s="1"/>
  <c r="BJ575" i="7"/>
  <c r="BT575" i="7" s="1"/>
  <c r="CE574" i="7"/>
  <c r="BX574" i="7"/>
  <c r="BW574" i="7"/>
  <c r="BV574" i="7"/>
  <c r="BU574" i="7"/>
  <c r="BR574" i="7"/>
  <c r="CA574" i="7" s="1"/>
  <c r="CF574" i="7" s="1"/>
  <c r="BO574" i="7"/>
  <c r="BN574" i="7"/>
  <c r="BM574" i="7"/>
  <c r="BY574" i="7" s="1"/>
  <c r="BJ574" i="7"/>
  <c r="BT574" i="7" s="1"/>
  <c r="CE573" i="7"/>
  <c r="BX573" i="7"/>
  <c r="BW573" i="7"/>
  <c r="BV573" i="7"/>
  <c r="BU573" i="7"/>
  <c r="BR573" i="7"/>
  <c r="BO573" i="7"/>
  <c r="BN573" i="7"/>
  <c r="BM573" i="7"/>
  <c r="BJ573" i="7"/>
  <c r="BT573" i="7" s="1"/>
  <c r="CE572" i="7"/>
  <c r="BX572" i="7"/>
  <c r="BW572" i="7"/>
  <c r="BV572" i="7"/>
  <c r="BU572" i="7"/>
  <c r="BR572" i="7"/>
  <c r="CA572" i="7" s="1"/>
  <c r="CF572" i="7" s="1"/>
  <c r="BO572" i="7"/>
  <c r="BN572" i="7"/>
  <c r="BM572" i="7"/>
  <c r="BP572" i="7" s="1"/>
  <c r="BJ572" i="7"/>
  <c r="BT572" i="7" s="1"/>
  <c r="CE571" i="7"/>
  <c r="BX571" i="7"/>
  <c r="BW571" i="7"/>
  <c r="BV571" i="7"/>
  <c r="BU571" i="7"/>
  <c r="BR571" i="7"/>
  <c r="BO571" i="7"/>
  <c r="BN571" i="7"/>
  <c r="BM571" i="7"/>
  <c r="BJ571" i="7"/>
  <c r="BT571" i="7" s="1"/>
  <c r="CE570" i="7"/>
  <c r="BX570" i="7"/>
  <c r="BW570" i="7"/>
  <c r="BV570" i="7"/>
  <c r="BU570" i="7"/>
  <c r="BR570" i="7"/>
  <c r="CA570" i="7" s="1"/>
  <c r="CF570" i="7" s="1"/>
  <c r="BO570" i="7"/>
  <c r="BN570" i="7"/>
  <c r="BM570" i="7"/>
  <c r="BY570" i="7" s="1"/>
  <c r="BJ570" i="7"/>
  <c r="BT570" i="7" s="1"/>
  <c r="CE569" i="7"/>
  <c r="BX569" i="7"/>
  <c r="BW569" i="7"/>
  <c r="BV569" i="7"/>
  <c r="BU569" i="7"/>
  <c r="BR569" i="7"/>
  <c r="CD569" i="7" s="1"/>
  <c r="BO569" i="7"/>
  <c r="BN569" i="7"/>
  <c r="BM569" i="7"/>
  <c r="BJ569" i="7"/>
  <c r="BT569" i="7" s="1"/>
  <c r="CE568" i="7"/>
  <c r="BX568" i="7"/>
  <c r="BW568" i="7"/>
  <c r="BV568" i="7"/>
  <c r="BU568" i="7"/>
  <c r="BR568" i="7"/>
  <c r="BO568" i="7"/>
  <c r="BN568" i="7"/>
  <c r="BM568" i="7"/>
  <c r="BP568" i="7" s="1"/>
  <c r="BQ568" i="7" s="1"/>
  <c r="BJ568" i="7"/>
  <c r="BT568" i="7" s="1"/>
  <c r="CE567" i="7"/>
  <c r="BX567" i="7"/>
  <c r="BW567" i="7"/>
  <c r="BV567" i="7"/>
  <c r="BU567" i="7"/>
  <c r="BR567" i="7"/>
  <c r="BO567" i="7"/>
  <c r="BN567" i="7"/>
  <c r="BM567" i="7"/>
  <c r="BP567" i="7" s="1"/>
  <c r="BJ567" i="7"/>
  <c r="BT567" i="7" s="1"/>
  <c r="CE566" i="7"/>
  <c r="BX566" i="7"/>
  <c r="BW566" i="7"/>
  <c r="BV566" i="7"/>
  <c r="BU566" i="7"/>
  <c r="BR566" i="7"/>
  <c r="CA566" i="7" s="1"/>
  <c r="CF566" i="7" s="1"/>
  <c r="BO566" i="7"/>
  <c r="BN566" i="7"/>
  <c r="BM566" i="7"/>
  <c r="BJ566" i="7"/>
  <c r="BT566" i="7" s="1"/>
  <c r="CE565" i="7"/>
  <c r="BX565" i="7"/>
  <c r="BW565" i="7"/>
  <c r="BV565" i="7"/>
  <c r="BU565" i="7"/>
  <c r="BR565" i="7"/>
  <c r="BO565" i="7"/>
  <c r="BN565" i="7"/>
  <c r="BM565" i="7"/>
  <c r="BJ565" i="7"/>
  <c r="BT565" i="7" s="1"/>
  <c r="CE564" i="7"/>
  <c r="BX564" i="7"/>
  <c r="BW564" i="7"/>
  <c r="BV564" i="7"/>
  <c r="BU564" i="7"/>
  <c r="BR564" i="7"/>
  <c r="BO564" i="7"/>
  <c r="BN564" i="7"/>
  <c r="BM564" i="7"/>
  <c r="BJ564" i="7"/>
  <c r="BT564" i="7" s="1"/>
  <c r="CE563" i="7"/>
  <c r="BX563" i="7"/>
  <c r="BW563" i="7"/>
  <c r="BV563" i="7"/>
  <c r="BU563" i="7"/>
  <c r="BR563" i="7"/>
  <c r="BO563" i="7"/>
  <c r="BN563" i="7"/>
  <c r="BM563" i="7"/>
  <c r="BY563" i="7" s="1"/>
  <c r="BJ563" i="7"/>
  <c r="BT563" i="7" s="1"/>
  <c r="CE562" i="7"/>
  <c r="BX562" i="7"/>
  <c r="BW562" i="7"/>
  <c r="BV562" i="7"/>
  <c r="BU562" i="7"/>
  <c r="BR562" i="7"/>
  <c r="CB562" i="7" s="1"/>
  <c r="BO562" i="7"/>
  <c r="BN562" i="7"/>
  <c r="BM562" i="7"/>
  <c r="BY562" i="7" s="1"/>
  <c r="BJ562" i="7"/>
  <c r="BT562" i="7" s="1"/>
  <c r="CE561" i="7"/>
  <c r="BX561" i="7"/>
  <c r="BW561" i="7"/>
  <c r="BV561" i="7"/>
  <c r="BU561" i="7"/>
  <c r="BR561" i="7"/>
  <c r="BO561" i="7"/>
  <c r="BN561" i="7"/>
  <c r="BM561" i="7"/>
  <c r="BJ561" i="7"/>
  <c r="BT561" i="7" s="1"/>
  <c r="CE560" i="7"/>
  <c r="BX560" i="7"/>
  <c r="BW560" i="7"/>
  <c r="BV560" i="7"/>
  <c r="BU560" i="7"/>
  <c r="BR560" i="7"/>
  <c r="BO560" i="7"/>
  <c r="BN560" i="7"/>
  <c r="BM560" i="7"/>
  <c r="BY560" i="7" s="1"/>
  <c r="BJ560" i="7"/>
  <c r="BT560" i="7" s="1"/>
  <c r="CE559" i="7"/>
  <c r="BX559" i="7"/>
  <c r="BW559" i="7"/>
  <c r="BV559" i="7"/>
  <c r="BU559" i="7"/>
  <c r="BR559" i="7"/>
  <c r="BO559" i="7"/>
  <c r="BN559" i="7"/>
  <c r="BM559" i="7"/>
  <c r="BJ559" i="7"/>
  <c r="BT559" i="7" s="1"/>
  <c r="CE558" i="7"/>
  <c r="BX558" i="7"/>
  <c r="BW558" i="7"/>
  <c r="BV558" i="7"/>
  <c r="BU558" i="7"/>
  <c r="BR558" i="7"/>
  <c r="BO558" i="7"/>
  <c r="BN558" i="7"/>
  <c r="BM558" i="7"/>
  <c r="BY558" i="7" s="1"/>
  <c r="BJ558" i="7"/>
  <c r="BT558" i="7" s="1"/>
  <c r="CE557" i="7"/>
  <c r="BX557" i="7"/>
  <c r="BW557" i="7"/>
  <c r="BV557" i="7"/>
  <c r="BU557" i="7"/>
  <c r="BR557" i="7"/>
  <c r="CB557" i="7" s="1"/>
  <c r="BO557" i="7"/>
  <c r="BN557" i="7"/>
  <c r="BM557" i="7"/>
  <c r="BJ557" i="7"/>
  <c r="BT557" i="7" s="1"/>
  <c r="CE556" i="7"/>
  <c r="BX556" i="7"/>
  <c r="BW556" i="7"/>
  <c r="BV556" i="7"/>
  <c r="BU556" i="7"/>
  <c r="BR556" i="7"/>
  <c r="CA556" i="7" s="1"/>
  <c r="CF556" i="7" s="1"/>
  <c r="BO556" i="7"/>
  <c r="BN556" i="7"/>
  <c r="BM556" i="7"/>
  <c r="BJ556" i="7"/>
  <c r="BT556" i="7" s="1"/>
  <c r="CE555" i="7"/>
  <c r="BX555" i="7"/>
  <c r="BW555" i="7"/>
  <c r="BV555" i="7"/>
  <c r="BU555" i="7"/>
  <c r="BR555" i="7"/>
  <c r="CD555" i="7" s="1"/>
  <c r="BO555" i="7"/>
  <c r="BN555" i="7"/>
  <c r="BM555" i="7"/>
  <c r="BY555" i="7" s="1"/>
  <c r="BJ555" i="7"/>
  <c r="BT555" i="7" s="1"/>
  <c r="CE554" i="7"/>
  <c r="BX554" i="7"/>
  <c r="BW554" i="7"/>
  <c r="BV554" i="7"/>
  <c r="CS554" i="7" s="1"/>
  <c r="BU554" i="7"/>
  <c r="CR554" i="7" s="1"/>
  <c r="BR554" i="7"/>
  <c r="CD554" i="7" s="1"/>
  <c r="BO554" i="7"/>
  <c r="BN554" i="7"/>
  <c r="BM554" i="7"/>
  <c r="BJ554" i="7"/>
  <c r="BT554" i="7" s="1"/>
  <c r="CE553" i="7"/>
  <c r="BX553" i="7"/>
  <c r="BW553" i="7"/>
  <c r="BV553" i="7"/>
  <c r="BU553" i="7"/>
  <c r="BR553" i="7"/>
  <c r="CD553" i="7" s="1"/>
  <c r="BO553" i="7"/>
  <c r="BN553" i="7"/>
  <c r="BM553" i="7"/>
  <c r="BP553" i="7" s="1"/>
  <c r="BJ553" i="7"/>
  <c r="BT553" i="7" s="1"/>
  <c r="CE552" i="7"/>
  <c r="BX552" i="7"/>
  <c r="BW552" i="7"/>
  <c r="BV552" i="7"/>
  <c r="BU552" i="7"/>
  <c r="BR552" i="7"/>
  <c r="CB552" i="7" s="1"/>
  <c r="BO552" i="7"/>
  <c r="BN552" i="7"/>
  <c r="BM552" i="7"/>
  <c r="BJ552" i="7"/>
  <c r="BT552" i="7" s="1"/>
  <c r="CE551" i="7"/>
  <c r="BX551" i="7"/>
  <c r="BW551" i="7"/>
  <c r="BV551" i="7"/>
  <c r="BU551" i="7"/>
  <c r="BR551" i="7"/>
  <c r="CA551" i="7" s="1"/>
  <c r="CF551" i="7" s="1"/>
  <c r="BO551" i="7"/>
  <c r="BN551" i="7"/>
  <c r="BM551" i="7"/>
  <c r="BJ551" i="7"/>
  <c r="BT551" i="7" s="1"/>
  <c r="CE550" i="7"/>
  <c r="BX550" i="7"/>
  <c r="BW550" i="7"/>
  <c r="BV550" i="7"/>
  <c r="BU550" i="7"/>
  <c r="BO550" i="7"/>
  <c r="BN550" i="7"/>
  <c r="BM550" i="7"/>
  <c r="BP550" i="7" s="1"/>
  <c r="BJ550" i="7"/>
  <c r="BT550" i="7" s="1"/>
  <c r="CE549" i="7"/>
  <c r="BX549" i="7"/>
  <c r="BW549" i="7"/>
  <c r="BV549" i="7"/>
  <c r="BU549" i="7"/>
  <c r="BR549" i="7"/>
  <c r="BO549" i="7"/>
  <c r="BN549" i="7"/>
  <c r="BM549" i="7"/>
  <c r="BJ549" i="7"/>
  <c r="BT549" i="7" s="1"/>
  <c r="CE548" i="7"/>
  <c r="BX548" i="7"/>
  <c r="BW548" i="7"/>
  <c r="BV548" i="7"/>
  <c r="BU548" i="7"/>
  <c r="BR548" i="7"/>
  <c r="BO548" i="7"/>
  <c r="BN548" i="7"/>
  <c r="BM548" i="7"/>
  <c r="BJ548" i="7"/>
  <c r="BT548" i="7" s="1"/>
  <c r="CE547" i="7"/>
  <c r="BX547" i="7"/>
  <c r="BW547" i="7"/>
  <c r="BV547" i="7"/>
  <c r="BU547" i="7"/>
  <c r="BR547" i="7"/>
  <c r="CA547" i="7" s="1"/>
  <c r="CF547" i="7" s="1"/>
  <c r="BO547" i="7"/>
  <c r="BN547" i="7"/>
  <c r="BM547" i="7"/>
  <c r="BJ547" i="7"/>
  <c r="BT547" i="7" s="1"/>
  <c r="CE546" i="7"/>
  <c r="BX546" i="7"/>
  <c r="BW546" i="7"/>
  <c r="BV546" i="7"/>
  <c r="BU546" i="7"/>
  <c r="BR546" i="7"/>
  <c r="CD546" i="7" s="1"/>
  <c r="BO546" i="7"/>
  <c r="BN546" i="7"/>
  <c r="BM546" i="7"/>
  <c r="BP546" i="7" s="1"/>
  <c r="BJ546" i="7"/>
  <c r="BT546" i="7" s="1"/>
  <c r="CE545" i="7"/>
  <c r="BX545" i="7"/>
  <c r="BW545" i="7"/>
  <c r="BV545" i="7"/>
  <c r="BU545" i="7"/>
  <c r="BR545" i="7"/>
  <c r="CD545" i="7" s="1"/>
  <c r="BO545" i="7"/>
  <c r="BN545" i="7"/>
  <c r="BM545" i="7"/>
  <c r="BY545" i="7" s="1"/>
  <c r="BJ545" i="7"/>
  <c r="BT545" i="7" s="1"/>
  <c r="CE544" i="7"/>
  <c r="BX544" i="7"/>
  <c r="BW544" i="7"/>
  <c r="BV544" i="7"/>
  <c r="BU544" i="7"/>
  <c r="BR544" i="7"/>
  <c r="BZ544" i="7" s="1"/>
  <c r="BO544" i="7"/>
  <c r="BN544" i="7"/>
  <c r="BM544" i="7"/>
  <c r="BJ544" i="7"/>
  <c r="BT544" i="7" s="1"/>
  <c r="CE543" i="7"/>
  <c r="BX543" i="7"/>
  <c r="BW543" i="7"/>
  <c r="BV543" i="7"/>
  <c r="BU543" i="7"/>
  <c r="BR543" i="7"/>
  <c r="CA543" i="7" s="1"/>
  <c r="CF543" i="7" s="1"/>
  <c r="BO543" i="7"/>
  <c r="BN543" i="7"/>
  <c r="BM543" i="7"/>
  <c r="BJ543" i="7"/>
  <c r="BT543" i="7" s="1"/>
  <c r="CE542" i="7"/>
  <c r="BX542" i="7"/>
  <c r="BW542" i="7"/>
  <c r="BV542" i="7"/>
  <c r="BU542" i="7"/>
  <c r="BR542" i="7"/>
  <c r="BO542" i="7"/>
  <c r="BN542" i="7"/>
  <c r="BM542" i="7"/>
  <c r="BY542" i="7" s="1"/>
  <c r="BJ542" i="7"/>
  <c r="BT542" i="7" s="1"/>
  <c r="CE541" i="7"/>
  <c r="BX541" i="7"/>
  <c r="BW541" i="7"/>
  <c r="BV541" i="7"/>
  <c r="BU541" i="7"/>
  <c r="BR541" i="7"/>
  <c r="BO541" i="7"/>
  <c r="BN541" i="7"/>
  <c r="BM541" i="7"/>
  <c r="BJ541" i="7"/>
  <c r="BT541" i="7" s="1"/>
  <c r="CE540" i="7"/>
  <c r="BX540" i="7"/>
  <c r="BW540" i="7"/>
  <c r="BV540" i="7"/>
  <c r="BU540" i="7"/>
  <c r="BR540" i="7"/>
  <c r="CB540" i="7" s="1"/>
  <c r="BO540" i="7"/>
  <c r="BN540" i="7"/>
  <c r="BM540" i="7"/>
  <c r="BJ540" i="7"/>
  <c r="BT540" i="7" s="1"/>
  <c r="CE539" i="7"/>
  <c r="BX539" i="7"/>
  <c r="BW539" i="7"/>
  <c r="BV539" i="7"/>
  <c r="BU539" i="7"/>
  <c r="BR539" i="7"/>
  <c r="BO539" i="7"/>
  <c r="BN539" i="7"/>
  <c r="BM539" i="7"/>
  <c r="BJ539" i="7"/>
  <c r="BT539" i="7" s="1"/>
  <c r="CE538" i="7"/>
  <c r="BX538" i="7"/>
  <c r="BW538" i="7"/>
  <c r="BV538" i="7"/>
  <c r="BU538" i="7"/>
  <c r="BR538" i="7"/>
  <c r="CD538" i="7" s="1"/>
  <c r="BO538" i="7"/>
  <c r="BN538" i="7"/>
  <c r="BM538" i="7"/>
  <c r="BJ538" i="7"/>
  <c r="BT538" i="7" s="1"/>
  <c r="CE537" i="7"/>
  <c r="BX537" i="7"/>
  <c r="BW537" i="7"/>
  <c r="BV537" i="7"/>
  <c r="BU537" i="7"/>
  <c r="BR537" i="7"/>
  <c r="BO537" i="7"/>
  <c r="BN537" i="7"/>
  <c r="BM537" i="7"/>
  <c r="BY537" i="7" s="1"/>
  <c r="BJ537" i="7"/>
  <c r="BT537" i="7" s="1"/>
  <c r="CE536" i="7"/>
  <c r="BX536" i="7"/>
  <c r="BW536" i="7"/>
  <c r="BV536" i="7"/>
  <c r="BU536" i="7"/>
  <c r="BR536" i="7"/>
  <c r="BO536" i="7"/>
  <c r="BN536" i="7"/>
  <c r="BM536" i="7"/>
  <c r="BJ536" i="7"/>
  <c r="BT536" i="7" s="1"/>
  <c r="CE535" i="7"/>
  <c r="BX535" i="7"/>
  <c r="BW535" i="7"/>
  <c r="BV535" i="7"/>
  <c r="BU535" i="7"/>
  <c r="BR535" i="7"/>
  <c r="BO535" i="7"/>
  <c r="BN535" i="7"/>
  <c r="BM535" i="7"/>
  <c r="BJ535" i="7"/>
  <c r="BT535" i="7" s="1"/>
  <c r="CE534" i="7"/>
  <c r="BX534" i="7"/>
  <c r="BW534" i="7"/>
  <c r="BV534" i="7"/>
  <c r="BU534" i="7"/>
  <c r="BR534" i="7"/>
  <c r="CD534" i="7" s="1"/>
  <c r="BO534" i="7"/>
  <c r="BN534" i="7"/>
  <c r="BM534" i="7"/>
  <c r="BP534" i="7" s="1"/>
  <c r="BJ534" i="7"/>
  <c r="BT534" i="7" s="1"/>
  <c r="CE533" i="7"/>
  <c r="BX533" i="7"/>
  <c r="BW533" i="7"/>
  <c r="BV533" i="7"/>
  <c r="BU533" i="7"/>
  <c r="BR533" i="7"/>
  <c r="BO533" i="7"/>
  <c r="BN533" i="7"/>
  <c r="BM533" i="7"/>
  <c r="BJ533" i="7"/>
  <c r="BT533" i="7" s="1"/>
  <c r="CE532" i="7"/>
  <c r="BX532" i="7"/>
  <c r="BW532" i="7"/>
  <c r="BV532" i="7"/>
  <c r="BU532" i="7"/>
  <c r="BR532" i="7"/>
  <c r="BO532" i="7"/>
  <c r="BN532" i="7"/>
  <c r="BM532" i="7"/>
  <c r="BY532" i="7" s="1"/>
  <c r="BJ532" i="7"/>
  <c r="BT532" i="7" s="1"/>
  <c r="CE531" i="7"/>
  <c r="BX531" i="7"/>
  <c r="BW531" i="7"/>
  <c r="BV531" i="7"/>
  <c r="BU531" i="7"/>
  <c r="BR531" i="7"/>
  <c r="BO531" i="7"/>
  <c r="BN531" i="7"/>
  <c r="BM531" i="7"/>
  <c r="BP531" i="7" s="1"/>
  <c r="BJ531" i="7"/>
  <c r="BT531" i="7" s="1"/>
  <c r="CE530" i="7"/>
  <c r="BX530" i="7"/>
  <c r="BW530" i="7"/>
  <c r="BV530" i="7"/>
  <c r="BU530" i="7"/>
  <c r="BR530" i="7"/>
  <c r="BO530" i="7"/>
  <c r="BN530" i="7"/>
  <c r="BM530" i="7"/>
  <c r="BJ530" i="7"/>
  <c r="BT530" i="7" s="1"/>
  <c r="CE529" i="7"/>
  <c r="BX529" i="7"/>
  <c r="BW529" i="7"/>
  <c r="BV529" i="7"/>
  <c r="BU529" i="7"/>
  <c r="BR529" i="7"/>
  <c r="BO529" i="7"/>
  <c r="BN529" i="7"/>
  <c r="BM529" i="7"/>
  <c r="BP529" i="7" s="1"/>
  <c r="BJ529" i="7"/>
  <c r="BT529" i="7" s="1"/>
  <c r="CE528" i="7"/>
  <c r="BX528" i="7"/>
  <c r="BW528" i="7"/>
  <c r="BV528" i="7"/>
  <c r="BU528" i="7"/>
  <c r="BR528" i="7"/>
  <c r="BO528" i="7"/>
  <c r="BN528" i="7"/>
  <c r="BM528" i="7"/>
  <c r="BP528" i="7" s="1"/>
  <c r="BJ528" i="7"/>
  <c r="BT528" i="7" s="1"/>
  <c r="CE527" i="7"/>
  <c r="BX527" i="7"/>
  <c r="BW527" i="7"/>
  <c r="BV527" i="7"/>
  <c r="BU527" i="7"/>
  <c r="BR527" i="7"/>
  <c r="BO527" i="7"/>
  <c r="BN527" i="7"/>
  <c r="BM527" i="7"/>
  <c r="BP527" i="7" s="1"/>
  <c r="BJ527" i="7"/>
  <c r="BT527" i="7" s="1"/>
  <c r="CE526" i="7"/>
  <c r="BX526" i="7"/>
  <c r="BW526" i="7"/>
  <c r="BV526" i="7"/>
  <c r="BU526" i="7"/>
  <c r="BR526" i="7"/>
  <c r="CA526" i="7" s="1"/>
  <c r="CF526" i="7" s="1"/>
  <c r="BO526" i="7"/>
  <c r="BN526" i="7"/>
  <c r="BM526" i="7"/>
  <c r="BJ526" i="7"/>
  <c r="BT526" i="7" s="1"/>
  <c r="CE525" i="7"/>
  <c r="BX525" i="7"/>
  <c r="BW525" i="7"/>
  <c r="BV525" i="7"/>
  <c r="BU525" i="7"/>
  <c r="BR525" i="7"/>
  <c r="CA525" i="7" s="1"/>
  <c r="CF525" i="7" s="1"/>
  <c r="BO525" i="7"/>
  <c r="BN525" i="7"/>
  <c r="BM525" i="7"/>
  <c r="BJ525" i="7"/>
  <c r="BT525" i="7" s="1"/>
  <c r="CE524" i="7"/>
  <c r="BX524" i="7"/>
  <c r="BW524" i="7"/>
  <c r="BV524" i="7"/>
  <c r="BU524" i="7"/>
  <c r="BR524" i="7"/>
  <c r="CB524" i="7" s="1"/>
  <c r="BO524" i="7"/>
  <c r="BN524" i="7"/>
  <c r="BM524" i="7"/>
  <c r="BJ524" i="7"/>
  <c r="BT524" i="7" s="1"/>
  <c r="CE523" i="7"/>
  <c r="BX523" i="7"/>
  <c r="BW523" i="7"/>
  <c r="BV523" i="7"/>
  <c r="BU523" i="7"/>
  <c r="BR523" i="7"/>
  <c r="BO523" i="7"/>
  <c r="BN523" i="7"/>
  <c r="BM523" i="7"/>
  <c r="BJ523" i="7"/>
  <c r="BT523" i="7" s="1"/>
  <c r="CE522" i="7"/>
  <c r="BX522" i="7"/>
  <c r="BW522" i="7"/>
  <c r="BV522" i="7"/>
  <c r="BU522" i="7"/>
  <c r="BR522" i="7"/>
  <c r="BO522" i="7"/>
  <c r="BN522" i="7"/>
  <c r="BM522" i="7"/>
  <c r="BJ522" i="7"/>
  <c r="BT522" i="7" s="1"/>
  <c r="CE521" i="7"/>
  <c r="BX521" i="7"/>
  <c r="BW521" i="7"/>
  <c r="BV521" i="7"/>
  <c r="BU521" i="7"/>
  <c r="BR521" i="7"/>
  <c r="BO521" i="7"/>
  <c r="BN521" i="7"/>
  <c r="BM521" i="7"/>
  <c r="BJ521" i="7"/>
  <c r="BT521" i="7" s="1"/>
  <c r="CE520" i="7"/>
  <c r="BX520" i="7"/>
  <c r="BW520" i="7"/>
  <c r="BV520" i="7"/>
  <c r="BU520" i="7"/>
  <c r="BR520" i="7"/>
  <c r="BO520" i="7"/>
  <c r="BN520" i="7"/>
  <c r="BM520" i="7"/>
  <c r="BJ520" i="7"/>
  <c r="BT520" i="7" s="1"/>
  <c r="CE519" i="7"/>
  <c r="BX519" i="7"/>
  <c r="BW519" i="7"/>
  <c r="BV519" i="7"/>
  <c r="BU519" i="7"/>
  <c r="BR519" i="7"/>
  <c r="BO519" i="7"/>
  <c r="BN519" i="7"/>
  <c r="BM519" i="7"/>
  <c r="BJ519" i="7"/>
  <c r="BT519" i="7" s="1"/>
  <c r="CE518" i="7"/>
  <c r="BX518" i="7"/>
  <c r="BW518" i="7"/>
  <c r="BV518" i="7"/>
  <c r="BU518" i="7"/>
  <c r="BR518" i="7"/>
  <c r="CB518" i="7" s="1"/>
  <c r="BO518" i="7"/>
  <c r="BN518" i="7"/>
  <c r="BM518" i="7"/>
  <c r="BJ518" i="7"/>
  <c r="BT518" i="7" s="1"/>
  <c r="CE517" i="7"/>
  <c r="BX517" i="7"/>
  <c r="BW517" i="7"/>
  <c r="BV517" i="7"/>
  <c r="BU517" i="7"/>
  <c r="BR517" i="7"/>
  <c r="BO517" i="7"/>
  <c r="BN517" i="7"/>
  <c r="BM517" i="7"/>
  <c r="BJ517" i="7"/>
  <c r="BT517" i="7" s="1"/>
  <c r="CE516" i="7"/>
  <c r="BX516" i="7"/>
  <c r="BW516" i="7"/>
  <c r="BV516" i="7"/>
  <c r="BU516" i="7"/>
  <c r="BR516" i="7"/>
  <c r="CD516" i="7" s="1"/>
  <c r="BO516" i="7"/>
  <c r="BN516" i="7"/>
  <c r="BM516" i="7"/>
  <c r="BJ516" i="7"/>
  <c r="BT516" i="7" s="1"/>
  <c r="CE515" i="7"/>
  <c r="BX515" i="7"/>
  <c r="BW515" i="7"/>
  <c r="BV515" i="7"/>
  <c r="BU515" i="7"/>
  <c r="BR515" i="7"/>
  <c r="BO515" i="7"/>
  <c r="BN515" i="7"/>
  <c r="BM515" i="7"/>
  <c r="BJ515" i="7"/>
  <c r="BT515" i="7" s="1"/>
  <c r="CE514" i="7"/>
  <c r="BX514" i="7"/>
  <c r="BW514" i="7"/>
  <c r="BV514" i="7"/>
  <c r="BU514" i="7"/>
  <c r="BR514" i="7"/>
  <c r="BO514" i="7"/>
  <c r="BN514" i="7"/>
  <c r="BM514" i="7"/>
  <c r="BJ514" i="7"/>
  <c r="BT514" i="7" s="1"/>
  <c r="CE513" i="7"/>
  <c r="BX513" i="7"/>
  <c r="BW513" i="7"/>
  <c r="BV513" i="7"/>
  <c r="BU513" i="7"/>
  <c r="BR513" i="7"/>
  <c r="CB513" i="7" s="1"/>
  <c r="BO513" i="7"/>
  <c r="BN513" i="7"/>
  <c r="BM513" i="7"/>
  <c r="BJ513" i="7"/>
  <c r="BT513" i="7" s="1"/>
  <c r="CE512" i="7"/>
  <c r="BX512" i="7"/>
  <c r="BW512" i="7"/>
  <c r="BV512" i="7"/>
  <c r="BU512" i="7"/>
  <c r="BR512" i="7"/>
  <c r="CD512" i="7" s="1"/>
  <c r="BO512" i="7"/>
  <c r="BN512" i="7"/>
  <c r="BM512" i="7"/>
  <c r="BJ512" i="7"/>
  <c r="BT512" i="7" s="1"/>
  <c r="CE511" i="7"/>
  <c r="BX511" i="7"/>
  <c r="BW511" i="7"/>
  <c r="BV511" i="7"/>
  <c r="BU511" i="7"/>
  <c r="BR511" i="7"/>
  <c r="BO511" i="7"/>
  <c r="BN511" i="7"/>
  <c r="BM511" i="7"/>
  <c r="BJ511" i="7"/>
  <c r="BT511" i="7" s="1"/>
  <c r="CE510" i="7"/>
  <c r="BX510" i="7"/>
  <c r="BW510" i="7"/>
  <c r="BV510" i="7"/>
  <c r="BU510" i="7"/>
  <c r="BR510" i="7"/>
  <c r="CB510" i="7" s="1"/>
  <c r="BO510" i="7"/>
  <c r="BN510" i="7"/>
  <c r="BM510" i="7"/>
  <c r="BJ510" i="7"/>
  <c r="BT510" i="7" s="1"/>
  <c r="CE509" i="7"/>
  <c r="BX509" i="7"/>
  <c r="BW509" i="7"/>
  <c r="BV509" i="7"/>
  <c r="BU509" i="7"/>
  <c r="BR509" i="7"/>
  <c r="CB509" i="7" s="1"/>
  <c r="BO509" i="7"/>
  <c r="BN509" i="7"/>
  <c r="BM509" i="7"/>
  <c r="BJ509" i="7"/>
  <c r="BT509" i="7" s="1"/>
  <c r="CE508" i="7"/>
  <c r="BX508" i="7"/>
  <c r="BW508" i="7"/>
  <c r="BV508" i="7"/>
  <c r="BU508" i="7"/>
  <c r="BR508" i="7"/>
  <c r="BO508" i="7"/>
  <c r="BN508" i="7"/>
  <c r="BM508" i="7"/>
  <c r="BJ508" i="7"/>
  <c r="BT508" i="7" s="1"/>
  <c r="CE507" i="7"/>
  <c r="BX507" i="7"/>
  <c r="BW507" i="7"/>
  <c r="BV507" i="7"/>
  <c r="BU507" i="7"/>
  <c r="BR507" i="7"/>
  <c r="BO507" i="7"/>
  <c r="BN507" i="7"/>
  <c r="BM507" i="7"/>
  <c r="BJ507" i="7"/>
  <c r="BT507" i="7" s="1"/>
  <c r="CE506" i="7"/>
  <c r="BX506" i="7"/>
  <c r="BW506" i="7"/>
  <c r="BV506" i="7"/>
  <c r="BU506" i="7"/>
  <c r="BR506" i="7"/>
  <c r="CB506" i="7" s="1"/>
  <c r="BO506" i="7"/>
  <c r="BN506" i="7"/>
  <c r="BM506" i="7"/>
  <c r="BJ506" i="7"/>
  <c r="BT506" i="7" s="1"/>
  <c r="CE505" i="7"/>
  <c r="BX505" i="7"/>
  <c r="BW505" i="7"/>
  <c r="BV505" i="7"/>
  <c r="BU505" i="7"/>
  <c r="BR505" i="7"/>
  <c r="CB505" i="7" s="1"/>
  <c r="BO505" i="7"/>
  <c r="BN505" i="7"/>
  <c r="BM505" i="7"/>
  <c r="BJ505" i="7"/>
  <c r="BT505" i="7" s="1"/>
  <c r="CE504" i="7"/>
  <c r="BX504" i="7"/>
  <c r="BW504" i="7"/>
  <c r="BV504" i="7"/>
  <c r="BU504" i="7"/>
  <c r="BR504" i="7"/>
  <c r="BO504" i="7"/>
  <c r="BN504" i="7"/>
  <c r="BM504" i="7"/>
  <c r="BJ504" i="7"/>
  <c r="BT504" i="7" s="1"/>
  <c r="CE503" i="7"/>
  <c r="BX503" i="7"/>
  <c r="BW503" i="7"/>
  <c r="BV503" i="7"/>
  <c r="BU503" i="7"/>
  <c r="BR503" i="7"/>
  <c r="CD503" i="7" s="1"/>
  <c r="BO503" i="7"/>
  <c r="BN503" i="7"/>
  <c r="BM503" i="7"/>
  <c r="BJ503" i="7"/>
  <c r="BT503" i="7" s="1"/>
  <c r="CE502" i="7"/>
  <c r="BX502" i="7"/>
  <c r="BW502" i="7"/>
  <c r="BV502" i="7"/>
  <c r="BU502" i="7"/>
  <c r="BR502" i="7"/>
  <c r="CB502" i="7" s="1"/>
  <c r="BO502" i="7"/>
  <c r="BN502" i="7"/>
  <c r="BM502" i="7"/>
  <c r="BJ502" i="7"/>
  <c r="BT502" i="7" s="1"/>
  <c r="CE501" i="7"/>
  <c r="BX501" i="7"/>
  <c r="BW501" i="7"/>
  <c r="BV501" i="7"/>
  <c r="BU501" i="7"/>
  <c r="BR501" i="7"/>
  <c r="BO501" i="7"/>
  <c r="BN501" i="7"/>
  <c r="BM501" i="7"/>
  <c r="BJ501" i="7"/>
  <c r="BT501" i="7" s="1"/>
  <c r="CE500" i="7"/>
  <c r="BX500" i="7"/>
  <c r="BW500" i="7"/>
  <c r="BV500" i="7"/>
  <c r="BU500" i="7"/>
  <c r="BR500" i="7"/>
  <c r="CD500" i="7" s="1"/>
  <c r="BO500" i="7"/>
  <c r="BN500" i="7"/>
  <c r="BM500" i="7"/>
  <c r="BJ500" i="7"/>
  <c r="BT500" i="7" s="1"/>
  <c r="CE499" i="7"/>
  <c r="BX499" i="7"/>
  <c r="BW499" i="7"/>
  <c r="BV499" i="7"/>
  <c r="BU499" i="7"/>
  <c r="BR499" i="7"/>
  <c r="BO499" i="7"/>
  <c r="BN499" i="7"/>
  <c r="BM499" i="7"/>
  <c r="BJ499" i="7"/>
  <c r="BT499" i="7" s="1"/>
  <c r="CE498" i="7"/>
  <c r="BX498" i="7"/>
  <c r="BW498" i="7"/>
  <c r="BV498" i="7"/>
  <c r="BU498" i="7"/>
  <c r="BR498" i="7"/>
  <c r="CB498" i="7" s="1"/>
  <c r="BO498" i="7"/>
  <c r="BN498" i="7"/>
  <c r="BM498" i="7"/>
  <c r="BJ498" i="7"/>
  <c r="BT498" i="7" s="1"/>
  <c r="CE497" i="7"/>
  <c r="BX497" i="7"/>
  <c r="BW497" i="7"/>
  <c r="BV497" i="7"/>
  <c r="BU497" i="7"/>
  <c r="BR497" i="7"/>
  <c r="CB497" i="7" s="1"/>
  <c r="BO497" i="7"/>
  <c r="BN497" i="7"/>
  <c r="BM497" i="7"/>
  <c r="BJ497" i="7"/>
  <c r="BT497" i="7" s="1"/>
  <c r="CE496" i="7"/>
  <c r="BX496" i="7"/>
  <c r="BW496" i="7"/>
  <c r="BV496" i="7"/>
  <c r="BU496" i="7"/>
  <c r="BR496" i="7"/>
  <c r="CD496" i="7" s="1"/>
  <c r="BO496" i="7"/>
  <c r="BN496" i="7"/>
  <c r="BM496" i="7"/>
  <c r="BJ496" i="7"/>
  <c r="BT496" i="7" s="1"/>
  <c r="CE495" i="7"/>
  <c r="BX495" i="7"/>
  <c r="BW495" i="7"/>
  <c r="BV495" i="7"/>
  <c r="BU495" i="7"/>
  <c r="BR495" i="7"/>
  <c r="CD495" i="7" s="1"/>
  <c r="BO495" i="7"/>
  <c r="BN495" i="7"/>
  <c r="BM495" i="7"/>
  <c r="BJ495" i="7"/>
  <c r="BT495" i="7" s="1"/>
  <c r="CE494" i="7"/>
  <c r="BX494" i="7"/>
  <c r="BW494" i="7"/>
  <c r="BV494" i="7"/>
  <c r="BU494" i="7"/>
  <c r="BR494" i="7"/>
  <c r="CB494" i="7" s="1"/>
  <c r="BO494" i="7"/>
  <c r="BN494" i="7"/>
  <c r="BM494" i="7"/>
  <c r="BJ494" i="7"/>
  <c r="BT494" i="7" s="1"/>
  <c r="CE493" i="7"/>
  <c r="BX493" i="7"/>
  <c r="BW493" i="7"/>
  <c r="BV493" i="7"/>
  <c r="BU493" i="7"/>
  <c r="BR493" i="7"/>
  <c r="BO493" i="7"/>
  <c r="BN493" i="7"/>
  <c r="BM493" i="7"/>
  <c r="BJ493" i="7"/>
  <c r="BT493" i="7" s="1"/>
  <c r="CE492" i="7"/>
  <c r="BX492" i="7"/>
  <c r="BW492" i="7"/>
  <c r="BV492" i="7"/>
  <c r="BU492" i="7"/>
  <c r="BR492" i="7"/>
  <c r="BO492" i="7"/>
  <c r="BN492" i="7"/>
  <c r="BM492" i="7"/>
  <c r="BJ492" i="7"/>
  <c r="BT492" i="7" s="1"/>
  <c r="CE491" i="7"/>
  <c r="BX491" i="7"/>
  <c r="BW491" i="7"/>
  <c r="BV491" i="7"/>
  <c r="BU491" i="7"/>
  <c r="BR491" i="7"/>
  <c r="BO491" i="7"/>
  <c r="BN491" i="7"/>
  <c r="BM491" i="7"/>
  <c r="BJ491" i="7"/>
  <c r="BT491" i="7" s="1"/>
  <c r="CE490" i="7"/>
  <c r="BX490" i="7"/>
  <c r="BW490" i="7"/>
  <c r="BV490" i="7"/>
  <c r="BU490" i="7"/>
  <c r="BR490" i="7"/>
  <c r="CB490" i="7" s="1"/>
  <c r="BO490" i="7"/>
  <c r="BN490" i="7"/>
  <c r="BM490" i="7"/>
  <c r="BJ490" i="7"/>
  <c r="BT490" i="7" s="1"/>
  <c r="CE489" i="7"/>
  <c r="BX489" i="7"/>
  <c r="BW489" i="7"/>
  <c r="BV489" i="7"/>
  <c r="BU489" i="7"/>
  <c r="BR489" i="7"/>
  <c r="BO489" i="7"/>
  <c r="BN489" i="7"/>
  <c r="BM489" i="7"/>
  <c r="BJ489" i="7"/>
  <c r="BT489" i="7" s="1"/>
  <c r="CE488" i="7"/>
  <c r="BX488" i="7"/>
  <c r="BW488" i="7"/>
  <c r="BV488" i="7"/>
  <c r="BU488" i="7"/>
  <c r="BR488" i="7"/>
  <c r="BO488" i="7"/>
  <c r="BN488" i="7"/>
  <c r="BM488" i="7"/>
  <c r="BJ488" i="7"/>
  <c r="BT488" i="7" s="1"/>
  <c r="CE487" i="7"/>
  <c r="BX487" i="7"/>
  <c r="BW487" i="7"/>
  <c r="BV487" i="7"/>
  <c r="BU487" i="7"/>
  <c r="BR487" i="7"/>
  <c r="BO487" i="7"/>
  <c r="BN487" i="7"/>
  <c r="BM487" i="7"/>
  <c r="BJ487" i="7"/>
  <c r="BT487" i="7" s="1"/>
  <c r="CE486" i="7"/>
  <c r="BX486" i="7"/>
  <c r="BW486" i="7"/>
  <c r="BV486" i="7"/>
  <c r="BU486" i="7"/>
  <c r="BR486" i="7"/>
  <c r="BO486" i="7"/>
  <c r="BN486" i="7"/>
  <c r="BM486" i="7"/>
  <c r="BJ486" i="7"/>
  <c r="BT486" i="7" s="1"/>
  <c r="CE485" i="7"/>
  <c r="BX485" i="7"/>
  <c r="BW485" i="7"/>
  <c r="BV485" i="7"/>
  <c r="BU485" i="7"/>
  <c r="BR485" i="7"/>
  <c r="CB485" i="7" s="1"/>
  <c r="BO485" i="7"/>
  <c r="BN485" i="7"/>
  <c r="BM485" i="7"/>
  <c r="BJ485" i="7"/>
  <c r="BT485" i="7" s="1"/>
  <c r="CE484" i="7"/>
  <c r="BX484" i="7"/>
  <c r="BW484" i="7"/>
  <c r="BV484" i="7"/>
  <c r="BU484" i="7"/>
  <c r="BR484" i="7"/>
  <c r="CD484" i="7" s="1"/>
  <c r="BO484" i="7"/>
  <c r="BN484" i="7"/>
  <c r="BM484" i="7"/>
  <c r="BJ484" i="7"/>
  <c r="BT484" i="7" s="1"/>
  <c r="CE483" i="7"/>
  <c r="BX483" i="7"/>
  <c r="BW483" i="7"/>
  <c r="BV483" i="7"/>
  <c r="BU483" i="7"/>
  <c r="BR483" i="7"/>
  <c r="CD483" i="7" s="1"/>
  <c r="BO483" i="7"/>
  <c r="BN483" i="7"/>
  <c r="BM483" i="7"/>
  <c r="BJ483" i="7"/>
  <c r="BT483" i="7" s="1"/>
  <c r="CE482" i="7"/>
  <c r="BX482" i="7"/>
  <c r="BW482" i="7"/>
  <c r="BV482" i="7"/>
  <c r="BU482" i="7"/>
  <c r="BR482" i="7"/>
  <c r="BO482" i="7"/>
  <c r="BN482" i="7"/>
  <c r="BM482" i="7"/>
  <c r="BJ482" i="7"/>
  <c r="BT482" i="7" s="1"/>
  <c r="CE481" i="7"/>
  <c r="BX481" i="7"/>
  <c r="BW481" i="7"/>
  <c r="BV481" i="7"/>
  <c r="BU481" i="7"/>
  <c r="BR481" i="7"/>
  <c r="CB481" i="7" s="1"/>
  <c r="BO481" i="7"/>
  <c r="BN481" i="7"/>
  <c r="BM481" i="7"/>
  <c r="BJ481" i="7"/>
  <c r="BT481" i="7" s="1"/>
  <c r="CE480" i="7"/>
  <c r="BX480" i="7"/>
  <c r="BW480" i="7"/>
  <c r="BV480" i="7"/>
  <c r="BU480" i="7"/>
  <c r="BR480" i="7"/>
  <c r="CD480" i="7" s="1"/>
  <c r="BO480" i="7"/>
  <c r="BN480" i="7"/>
  <c r="BM480" i="7"/>
  <c r="BJ480" i="7"/>
  <c r="BT480" i="7" s="1"/>
  <c r="CE479" i="7"/>
  <c r="BX479" i="7"/>
  <c r="BW479" i="7"/>
  <c r="BV479" i="7"/>
  <c r="BU479" i="7"/>
  <c r="BR479" i="7"/>
  <c r="BO479" i="7"/>
  <c r="BN479" i="7"/>
  <c r="BM479" i="7"/>
  <c r="BJ479" i="7"/>
  <c r="BT479" i="7" s="1"/>
  <c r="CE478" i="7"/>
  <c r="BX478" i="7"/>
  <c r="BW478" i="7"/>
  <c r="BV478" i="7"/>
  <c r="BU478" i="7"/>
  <c r="BR478" i="7"/>
  <c r="CB478" i="7" s="1"/>
  <c r="BO478" i="7"/>
  <c r="BN478" i="7"/>
  <c r="BM478" i="7"/>
  <c r="BJ478" i="7"/>
  <c r="BT478" i="7" s="1"/>
  <c r="CE477" i="7"/>
  <c r="BX477" i="7"/>
  <c r="BW477" i="7"/>
  <c r="BV477" i="7"/>
  <c r="BU477" i="7"/>
  <c r="BR477" i="7"/>
  <c r="CB477" i="7" s="1"/>
  <c r="BO477" i="7"/>
  <c r="BN477" i="7"/>
  <c r="BM477" i="7"/>
  <c r="BJ477" i="7"/>
  <c r="BT477" i="7" s="1"/>
  <c r="CE476" i="7"/>
  <c r="BX476" i="7"/>
  <c r="BW476" i="7"/>
  <c r="BV476" i="7"/>
  <c r="BU476" i="7"/>
  <c r="BR476" i="7"/>
  <c r="CD476" i="7" s="1"/>
  <c r="BO476" i="7"/>
  <c r="BN476" i="7"/>
  <c r="BM476" i="7"/>
  <c r="BJ476" i="7"/>
  <c r="BT476" i="7" s="1"/>
  <c r="CE475" i="7"/>
  <c r="BX475" i="7"/>
  <c r="BW475" i="7"/>
  <c r="BV475" i="7"/>
  <c r="BU475" i="7"/>
  <c r="BR475" i="7"/>
  <c r="BO475" i="7"/>
  <c r="BN475" i="7"/>
  <c r="BM475" i="7"/>
  <c r="BJ475" i="7"/>
  <c r="BT475" i="7" s="1"/>
  <c r="CE474" i="7"/>
  <c r="BX474" i="7"/>
  <c r="BW474" i="7"/>
  <c r="BV474" i="7"/>
  <c r="BU474" i="7"/>
  <c r="BR474" i="7"/>
  <c r="BO474" i="7"/>
  <c r="BN474" i="7"/>
  <c r="BM474" i="7"/>
  <c r="BJ474" i="7"/>
  <c r="BT474" i="7" s="1"/>
  <c r="CE473" i="7"/>
  <c r="BX473" i="7"/>
  <c r="BW473" i="7"/>
  <c r="BV473" i="7"/>
  <c r="BU473" i="7"/>
  <c r="BR473" i="7"/>
  <c r="CB473" i="7" s="1"/>
  <c r="BO473" i="7"/>
  <c r="BN473" i="7"/>
  <c r="BM473" i="7"/>
  <c r="BJ473" i="7"/>
  <c r="BT473" i="7" s="1"/>
  <c r="CE472" i="7"/>
  <c r="BX472" i="7"/>
  <c r="BW472" i="7"/>
  <c r="BV472" i="7"/>
  <c r="BU472" i="7"/>
  <c r="BR472" i="7"/>
  <c r="CD472" i="7" s="1"/>
  <c r="BO472" i="7"/>
  <c r="BN472" i="7"/>
  <c r="BM472" i="7"/>
  <c r="BJ472" i="7"/>
  <c r="BT472" i="7" s="1"/>
  <c r="CE471" i="7"/>
  <c r="BX471" i="7"/>
  <c r="BW471" i="7"/>
  <c r="BV471" i="7"/>
  <c r="BU471" i="7"/>
  <c r="BR471" i="7"/>
  <c r="BO471" i="7"/>
  <c r="BN471" i="7"/>
  <c r="BM471" i="7"/>
  <c r="BJ471" i="7"/>
  <c r="BT471" i="7" s="1"/>
  <c r="CE470" i="7"/>
  <c r="BX470" i="7"/>
  <c r="BW470" i="7"/>
  <c r="BV470" i="7"/>
  <c r="BU470" i="7"/>
  <c r="BR470" i="7"/>
  <c r="CB470" i="7" s="1"/>
  <c r="BO470" i="7"/>
  <c r="BN470" i="7"/>
  <c r="BM470" i="7"/>
  <c r="BJ470" i="7"/>
  <c r="BT470" i="7" s="1"/>
  <c r="CE469" i="7"/>
  <c r="BX469" i="7"/>
  <c r="BW469" i="7"/>
  <c r="BV469" i="7"/>
  <c r="BU469" i="7"/>
  <c r="BR469" i="7"/>
  <c r="CB469" i="7" s="1"/>
  <c r="BO469" i="7"/>
  <c r="BN469" i="7"/>
  <c r="BM469" i="7"/>
  <c r="BJ469" i="7"/>
  <c r="BT469" i="7" s="1"/>
  <c r="CE468" i="7"/>
  <c r="BX468" i="7"/>
  <c r="BW468" i="7"/>
  <c r="BV468" i="7"/>
  <c r="BU468" i="7"/>
  <c r="BR468" i="7"/>
  <c r="CD468" i="7" s="1"/>
  <c r="BO468" i="7"/>
  <c r="BN468" i="7"/>
  <c r="BM468" i="7"/>
  <c r="BJ468" i="7"/>
  <c r="BT468" i="7" s="1"/>
  <c r="CE467" i="7"/>
  <c r="BX467" i="7"/>
  <c r="BW467" i="7"/>
  <c r="BV467" i="7"/>
  <c r="BU467" i="7"/>
  <c r="BR467" i="7"/>
  <c r="CD467" i="7" s="1"/>
  <c r="BO467" i="7"/>
  <c r="BN467" i="7"/>
  <c r="BM467" i="7"/>
  <c r="BJ467" i="7"/>
  <c r="BT467" i="7" s="1"/>
  <c r="CE466" i="7"/>
  <c r="BX466" i="7"/>
  <c r="BW466" i="7"/>
  <c r="BV466" i="7"/>
  <c r="BU466" i="7"/>
  <c r="BR466" i="7"/>
  <c r="CB466" i="7" s="1"/>
  <c r="BO466" i="7"/>
  <c r="BN466" i="7"/>
  <c r="BM466" i="7"/>
  <c r="BJ466" i="7"/>
  <c r="BT466" i="7" s="1"/>
  <c r="CE465" i="7"/>
  <c r="BX465" i="7"/>
  <c r="BW465" i="7"/>
  <c r="BV465" i="7"/>
  <c r="BU465" i="7"/>
  <c r="BR465" i="7"/>
  <c r="BO465" i="7"/>
  <c r="BN465" i="7"/>
  <c r="BM465" i="7"/>
  <c r="BJ465" i="7"/>
  <c r="BT465" i="7" s="1"/>
  <c r="CE464" i="7"/>
  <c r="BX464" i="7"/>
  <c r="BW464" i="7"/>
  <c r="BV464" i="7"/>
  <c r="BU464" i="7"/>
  <c r="BR464" i="7"/>
  <c r="CD464" i="7" s="1"/>
  <c r="BO464" i="7"/>
  <c r="BN464" i="7"/>
  <c r="BM464" i="7"/>
  <c r="BJ464" i="7"/>
  <c r="BT464" i="7" s="1"/>
  <c r="CE463" i="7"/>
  <c r="BX463" i="7"/>
  <c r="BW463" i="7"/>
  <c r="BV463" i="7"/>
  <c r="BU463" i="7"/>
  <c r="BR463" i="7"/>
  <c r="BO463" i="7"/>
  <c r="BN463" i="7"/>
  <c r="BM463" i="7"/>
  <c r="BJ463" i="7"/>
  <c r="BT463" i="7" s="1"/>
  <c r="CE462" i="7"/>
  <c r="BX462" i="7"/>
  <c r="BW462" i="7"/>
  <c r="BV462" i="7"/>
  <c r="BU462" i="7"/>
  <c r="BR462" i="7"/>
  <c r="CB462" i="7" s="1"/>
  <c r="BO462" i="7"/>
  <c r="BN462" i="7"/>
  <c r="BM462" i="7"/>
  <c r="BJ462" i="7"/>
  <c r="BT462" i="7" s="1"/>
  <c r="CE461" i="7"/>
  <c r="BX461" i="7"/>
  <c r="BW461" i="7"/>
  <c r="BV461" i="7"/>
  <c r="BU461" i="7"/>
  <c r="BR461" i="7"/>
  <c r="CB461" i="7" s="1"/>
  <c r="BO461" i="7"/>
  <c r="BN461" i="7"/>
  <c r="BM461" i="7"/>
  <c r="BJ461" i="7"/>
  <c r="BT461" i="7" s="1"/>
  <c r="CE460" i="7"/>
  <c r="BX460" i="7"/>
  <c r="BW460" i="7"/>
  <c r="BV460" i="7"/>
  <c r="BU460" i="7"/>
  <c r="BR460" i="7"/>
  <c r="CD460" i="7" s="1"/>
  <c r="BO460" i="7"/>
  <c r="BN460" i="7"/>
  <c r="BM460" i="7"/>
  <c r="BJ460" i="7"/>
  <c r="BT460" i="7" s="1"/>
  <c r="CE459" i="7"/>
  <c r="BX459" i="7"/>
  <c r="BW459" i="7"/>
  <c r="BV459" i="7"/>
  <c r="BU459" i="7"/>
  <c r="BR459" i="7"/>
  <c r="CD459" i="7" s="1"/>
  <c r="BO459" i="7"/>
  <c r="BN459" i="7"/>
  <c r="BM459" i="7"/>
  <c r="BJ459" i="7"/>
  <c r="BT459" i="7" s="1"/>
  <c r="CE458" i="7"/>
  <c r="BX458" i="7"/>
  <c r="BW458" i="7"/>
  <c r="BV458" i="7"/>
  <c r="BU458" i="7"/>
  <c r="BR458" i="7"/>
  <c r="CB458" i="7" s="1"/>
  <c r="BO458" i="7"/>
  <c r="BN458" i="7"/>
  <c r="BM458" i="7"/>
  <c r="BJ458" i="7"/>
  <c r="BT458" i="7" s="1"/>
  <c r="CE457" i="7"/>
  <c r="BX457" i="7"/>
  <c r="BW457" i="7"/>
  <c r="BV457" i="7"/>
  <c r="BU457" i="7"/>
  <c r="BR457" i="7"/>
  <c r="BO457" i="7"/>
  <c r="BN457" i="7"/>
  <c r="BM457" i="7"/>
  <c r="BJ457" i="7"/>
  <c r="BT457" i="7" s="1"/>
  <c r="CE456" i="7"/>
  <c r="BX456" i="7"/>
  <c r="BW456" i="7"/>
  <c r="BV456" i="7"/>
  <c r="BU456" i="7"/>
  <c r="BR456" i="7"/>
  <c r="CD456" i="7" s="1"/>
  <c r="BO456" i="7"/>
  <c r="BN456" i="7"/>
  <c r="BM456" i="7"/>
  <c r="BJ456" i="7"/>
  <c r="BT456" i="7" s="1"/>
  <c r="CE455" i="7"/>
  <c r="BX455" i="7"/>
  <c r="BW455" i="7"/>
  <c r="BV455" i="7"/>
  <c r="BU455" i="7"/>
  <c r="BR455" i="7"/>
  <c r="BO455" i="7"/>
  <c r="BN455" i="7"/>
  <c r="BM455" i="7"/>
  <c r="BJ455" i="7"/>
  <c r="BT455" i="7" s="1"/>
  <c r="CE454" i="7"/>
  <c r="BX454" i="7"/>
  <c r="BW454" i="7"/>
  <c r="BV454" i="7"/>
  <c r="BU454" i="7"/>
  <c r="BR454" i="7"/>
  <c r="BO454" i="7"/>
  <c r="BN454" i="7"/>
  <c r="BM454" i="7"/>
  <c r="BJ454" i="7"/>
  <c r="BT454" i="7" s="1"/>
  <c r="CE453" i="7"/>
  <c r="BX453" i="7"/>
  <c r="BW453" i="7"/>
  <c r="BV453" i="7"/>
  <c r="BU453" i="7"/>
  <c r="BR453" i="7"/>
  <c r="BO453" i="7"/>
  <c r="BN453" i="7"/>
  <c r="BM453" i="7"/>
  <c r="BJ453" i="7"/>
  <c r="BT453" i="7" s="1"/>
  <c r="CE452" i="7"/>
  <c r="BX452" i="7"/>
  <c r="BW452" i="7"/>
  <c r="BV452" i="7"/>
  <c r="BU452" i="7"/>
  <c r="BR452" i="7"/>
  <c r="BO452" i="7"/>
  <c r="BN452" i="7"/>
  <c r="BM452" i="7"/>
  <c r="BJ452" i="7"/>
  <c r="BT452" i="7" s="1"/>
  <c r="CE451" i="7"/>
  <c r="BX451" i="7"/>
  <c r="BW451" i="7"/>
  <c r="BV451" i="7"/>
  <c r="BU451" i="7"/>
  <c r="BR451" i="7"/>
  <c r="BO451" i="7"/>
  <c r="BN451" i="7"/>
  <c r="BM451" i="7"/>
  <c r="BJ451" i="7"/>
  <c r="BT451" i="7" s="1"/>
  <c r="CE450" i="7"/>
  <c r="BX450" i="7"/>
  <c r="BW450" i="7"/>
  <c r="BV450" i="7"/>
  <c r="BU450" i="7"/>
  <c r="BR450" i="7"/>
  <c r="CB450" i="7" s="1"/>
  <c r="BO450" i="7"/>
  <c r="BN450" i="7"/>
  <c r="BM450" i="7"/>
  <c r="BJ450" i="7"/>
  <c r="BT450" i="7" s="1"/>
  <c r="CE449" i="7"/>
  <c r="BX449" i="7"/>
  <c r="BW449" i="7"/>
  <c r="BV449" i="7"/>
  <c r="BU449" i="7"/>
  <c r="BR449" i="7"/>
  <c r="BO449" i="7"/>
  <c r="BN449" i="7"/>
  <c r="BM449" i="7"/>
  <c r="BJ449" i="7"/>
  <c r="BT449" i="7" s="1"/>
  <c r="CE448" i="7"/>
  <c r="BX448" i="7"/>
  <c r="BW448" i="7"/>
  <c r="BV448" i="7"/>
  <c r="BU448" i="7"/>
  <c r="BR448" i="7"/>
  <c r="BO448" i="7"/>
  <c r="BN448" i="7"/>
  <c r="BM448" i="7"/>
  <c r="BJ448" i="7"/>
  <c r="BT448" i="7" s="1"/>
  <c r="CE447" i="7"/>
  <c r="BX447" i="7"/>
  <c r="BW447" i="7"/>
  <c r="BV447" i="7"/>
  <c r="BU447" i="7"/>
  <c r="BR447" i="7"/>
  <c r="CB447" i="7" s="1"/>
  <c r="BO447" i="7"/>
  <c r="BN447" i="7"/>
  <c r="BM447" i="7"/>
  <c r="BJ447" i="7"/>
  <c r="BT447" i="7" s="1"/>
  <c r="CE446" i="7"/>
  <c r="BX446" i="7"/>
  <c r="BW446" i="7"/>
  <c r="BV446" i="7"/>
  <c r="BU446" i="7"/>
  <c r="BR446" i="7"/>
  <c r="BO446" i="7"/>
  <c r="BN446" i="7"/>
  <c r="BM446" i="7"/>
  <c r="BJ446" i="7"/>
  <c r="BT446" i="7" s="1"/>
  <c r="CE445" i="7"/>
  <c r="BX445" i="7"/>
  <c r="BW445" i="7"/>
  <c r="BV445" i="7"/>
  <c r="BU445" i="7"/>
  <c r="BR445" i="7"/>
  <c r="BO445" i="7"/>
  <c r="BN445" i="7"/>
  <c r="BM445" i="7"/>
  <c r="BJ445" i="7"/>
  <c r="BT445" i="7" s="1"/>
  <c r="CE444" i="7"/>
  <c r="BX444" i="7"/>
  <c r="BW444" i="7"/>
  <c r="BV444" i="7"/>
  <c r="BU444" i="7"/>
  <c r="BR444" i="7"/>
  <c r="BO444" i="7"/>
  <c r="BN444" i="7"/>
  <c r="BM444" i="7"/>
  <c r="BJ444" i="7"/>
  <c r="BT444" i="7" s="1"/>
  <c r="CE443" i="7"/>
  <c r="BX443" i="7"/>
  <c r="BW443" i="7"/>
  <c r="BV443" i="7"/>
  <c r="BU443" i="7"/>
  <c r="BR443" i="7"/>
  <c r="CD443" i="7" s="1"/>
  <c r="BO443" i="7"/>
  <c r="BN443" i="7"/>
  <c r="BM443" i="7"/>
  <c r="BJ443" i="7"/>
  <c r="BT443" i="7" s="1"/>
  <c r="CE442" i="7"/>
  <c r="BX442" i="7"/>
  <c r="BW442" i="7"/>
  <c r="BV442" i="7"/>
  <c r="BU442" i="7"/>
  <c r="BR442" i="7"/>
  <c r="BO442" i="7"/>
  <c r="BN442" i="7"/>
  <c r="BM442" i="7"/>
  <c r="BJ442" i="7"/>
  <c r="BT442" i="7" s="1"/>
  <c r="CE441" i="7"/>
  <c r="BX441" i="7"/>
  <c r="BW441" i="7"/>
  <c r="BV441" i="7"/>
  <c r="BU441" i="7"/>
  <c r="BR441" i="7"/>
  <c r="CD441" i="7" s="1"/>
  <c r="BO441" i="7"/>
  <c r="BN441" i="7"/>
  <c r="BM441" i="7"/>
  <c r="BJ441" i="7"/>
  <c r="BT441" i="7" s="1"/>
  <c r="CE440" i="7"/>
  <c r="BX440" i="7"/>
  <c r="BW440" i="7"/>
  <c r="BV440" i="7"/>
  <c r="BU440" i="7"/>
  <c r="BR440" i="7"/>
  <c r="BO440" i="7"/>
  <c r="BN440" i="7"/>
  <c r="BM440" i="7"/>
  <c r="BJ440" i="7"/>
  <c r="BT440" i="7" s="1"/>
  <c r="CE439" i="7"/>
  <c r="BX439" i="7"/>
  <c r="BW439" i="7"/>
  <c r="BV439" i="7"/>
  <c r="BU439" i="7"/>
  <c r="BR439" i="7"/>
  <c r="BO439" i="7"/>
  <c r="BN439" i="7"/>
  <c r="BM439" i="7"/>
  <c r="BJ439" i="7"/>
  <c r="BT439" i="7" s="1"/>
  <c r="CE438" i="7"/>
  <c r="BX438" i="7"/>
  <c r="BW438" i="7"/>
  <c r="BV438" i="7"/>
  <c r="BU438" i="7"/>
  <c r="BR438" i="7"/>
  <c r="BO438" i="7"/>
  <c r="BN438" i="7"/>
  <c r="BM438" i="7"/>
  <c r="BJ438" i="7"/>
  <c r="BT438" i="7" s="1"/>
  <c r="CE437" i="7"/>
  <c r="BX437" i="7"/>
  <c r="BW437" i="7"/>
  <c r="BV437" i="7"/>
  <c r="BU437" i="7"/>
  <c r="BR437" i="7"/>
  <c r="BO437" i="7"/>
  <c r="BN437" i="7"/>
  <c r="BM437" i="7"/>
  <c r="BJ437" i="7"/>
  <c r="BT437" i="7" s="1"/>
  <c r="CE436" i="7"/>
  <c r="BX436" i="7"/>
  <c r="BW436" i="7"/>
  <c r="BV436" i="7"/>
  <c r="BU436" i="7"/>
  <c r="BR436" i="7"/>
  <c r="BO436" i="7"/>
  <c r="BN436" i="7"/>
  <c r="BM436" i="7"/>
  <c r="BJ436" i="7"/>
  <c r="BT436" i="7" s="1"/>
  <c r="CE435" i="7"/>
  <c r="BX435" i="7"/>
  <c r="BW435" i="7"/>
  <c r="BV435" i="7"/>
  <c r="BU435" i="7"/>
  <c r="BR435" i="7"/>
  <c r="CD435" i="7" s="1"/>
  <c r="BO435" i="7"/>
  <c r="BN435" i="7"/>
  <c r="BM435" i="7"/>
  <c r="BJ435" i="7"/>
  <c r="BT435" i="7" s="1"/>
  <c r="CE434" i="7"/>
  <c r="BX434" i="7"/>
  <c r="BW434" i="7"/>
  <c r="BV434" i="7"/>
  <c r="BU434" i="7"/>
  <c r="BR434" i="7"/>
  <c r="BO434" i="7"/>
  <c r="BN434" i="7"/>
  <c r="BM434" i="7"/>
  <c r="BJ434" i="7"/>
  <c r="BT434" i="7" s="1"/>
  <c r="CE433" i="7"/>
  <c r="BX433" i="7"/>
  <c r="BW433" i="7"/>
  <c r="BV433" i="7"/>
  <c r="BU433" i="7"/>
  <c r="BR433" i="7"/>
  <c r="CD433" i="7" s="1"/>
  <c r="BO433" i="7"/>
  <c r="BN433" i="7"/>
  <c r="BM433" i="7"/>
  <c r="BJ433" i="7"/>
  <c r="BT433" i="7" s="1"/>
  <c r="CE432" i="7"/>
  <c r="BX432" i="7"/>
  <c r="BW432" i="7"/>
  <c r="BV432" i="7"/>
  <c r="BU432" i="7"/>
  <c r="BR432" i="7"/>
  <c r="BO432" i="7"/>
  <c r="BN432" i="7"/>
  <c r="BM432" i="7"/>
  <c r="BJ432" i="7"/>
  <c r="BT432" i="7" s="1"/>
  <c r="CE431" i="7"/>
  <c r="BX431" i="7"/>
  <c r="BW431" i="7"/>
  <c r="BV431" i="7"/>
  <c r="BU431" i="7"/>
  <c r="BR431" i="7"/>
  <c r="BO431" i="7"/>
  <c r="BN431" i="7"/>
  <c r="BM431" i="7"/>
  <c r="BJ431" i="7"/>
  <c r="BT431" i="7" s="1"/>
  <c r="CE430" i="7"/>
  <c r="BX430" i="7"/>
  <c r="BW430" i="7"/>
  <c r="BV430" i="7"/>
  <c r="BU430" i="7"/>
  <c r="BR430" i="7"/>
  <c r="BO430" i="7"/>
  <c r="BN430" i="7"/>
  <c r="BM430" i="7"/>
  <c r="BJ430" i="7"/>
  <c r="BT430" i="7" s="1"/>
  <c r="CE429" i="7"/>
  <c r="BX429" i="7"/>
  <c r="BW429" i="7"/>
  <c r="BV429" i="7"/>
  <c r="BU429" i="7"/>
  <c r="BR429" i="7"/>
  <c r="BO429" i="7"/>
  <c r="BN429" i="7"/>
  <c r="BM429" i="7"/>
  <c r="BJ429" i="7"/>
  <c r="BT429" i="7" s="1"/>
  <c r="CE428" i="7"/>
  <c r="BX428" i="7"/>
  <c r="BW428" i="7"/>
  <c r="BV428" i="7"/>
  <c r="BU428" i="7"/>
  <c r="BR428" i="7"/>
  <c r="BO428" i="7"/>
  <c r="BN428" i="7"/>
  <c r="BM428" i="7"/>
  <c r="BJ428" i="7"/>
  <c r="BT428" i="7" s="1"/>
  <c r="CE427" i="7"/>
  <c r="BX427" i="7"/>
  <c r="BW427" i="7"/>
  <c r="BV427" i="7"/>
  <c r="BU427" i="7"/>
  <c r="BR427" i="7"/>
  <c r="CD427" i="7" s="1"/>
  <c r="BO427" i="7"/>
  <c r="BN427" i="7"/>
  <c r="BM427" i="7"/>
  <c r="BJ427" i="7"/>
  <c r="BT427" i="7" s="1"/>
  <c r="CE426" i="7"/>
  <c r="BX426" i="7"/>
  <c r="BW426" i="7"/>
  <c r="BV426" i="7"/>
  <c r="BU426" i="7"/>
  <c r="BR426" i="7"/>
  <c r="BO426" i="7"/>
  <c r="BN426" i="7"/>
  <c r="BM426" i="7"/>
  <c r="BJ426" i="7"/>
  <c r="BT426" i="7" s="1"/>
  <c r="CE425" i="7"/>
  <c r="BX425" i="7"/>
  <c r="BW425" i="7"/>
  <c r="BV425" i="7"/>
  <c r="BU425" i="7"/>
  <c r="BR425" i="7"/>
  <c r="CD425" i="7" s="1"/>
  <c r="BO425" i="7"/>
  <c r="BN425" i="7"/>
  <c r="BM425" i="7"/>
  <c r="BJ425" i="7"/>
  <c r="BT425" i="7" s="1"/>
  <c r="CE424" i="7"/>
  <c r="BX424" i="7"/>
  <c r="BW424" i="7"/>
  <c r="BV424" i="7"/>
  <c r="BU424" i="7"/>
  <c r="BR424" i="7"/>
  <c r="BO424" i="7"/>
  <c r="BN424" i="7"/>
  <c r="BM424" i="7"/>
  <c r="BJ424" i="7"/>
  <c r="BT424" i="7" s="1"/>
  <c r="CE423" i="7"/>
  <c r="BX423" i="7"/>
  <c r="BW423" i="7"/>
  <c r="BV423" i="7"/>
  <c r="BU423" i="7"/>
  <c r="BR423" i="7"/>
  <c r="BO423" i="7"/>
  <c r="BN423" i="7"/>
  <c r="BM423" i="7"/>
  <c r="BJ423" i="7"/>
  <c r="BT423" i="7" s="1"/>
  <c r="CE422" i="7"/>
  <c r="BX422" i="7"/>
  <c r="BW422" i="7"/>
  <c r="BV422" i="7"/>
  <c r="BU422" i="7"/>
  <c r="BR422" i="7"/>
  <c r="BO422" i="7"/>
  <c r="BN422" i="7"/>
  <c r="BM422" i="7"/>
  <c r="BJ422" i="7"/>
  <c r="BT422" i="7" s="1"/>
  <c r="CE421" i="7"/>
  <c r="BX421" i="7"/>
  <c r="BW421" i="7"/>
  <c r="BV421" i="7"/>
  <c r="BU421" i="7"/>
  <c r="BR421" i="7"/>
  <c r="BO421" i="7"/>
  <c r="BN421" i="7"/>
  <c r="BM421" i="7"/>
  <c r="BJ421" i="7"/>
  <c r="BT421" i="7" s="1"/>
  <c r="CE420" i="7"/>
  <c r="BX420" i="7"/>
  <c r="BW420" i="7"/>
  <c r="BV420" i="7"/>
  <c r="BU420" i="7"/>
  <c r="BR420" i="7"/>
  <c r="BO420" i="7"/>
  <c r="BN420" i="7"/>
  <c r="BM420" i="7"/>
  <c r="BJ420" i="7"/>
  <c r="BT420" i="7" s="1"/>
  <c r="CE419" i="7"/>
  <c r="BX419" i="7"/>
  <c r="BW419" i="7"/>
  <c r="BV419" i="7"/>
  <c r="BU419" i="7"/>
  <c r="BR419" i="7"/>
  <c r="CD419" i="7" s="1"/>
  <c r="BO419" i="7"/>
  <c r="BN419" i="7"/>
  <c r="BM419" i="7"/>
  <c r="BJ419" i="7"/>
  <c r="BT419" i="7" s="1"/>
  <c r="CE418" i="7"/>
  <c r="BX418" i="7"/>
  <c r="BW418" i="7"/>
  <c r="BV418" i="7"/>
  <c r="BU418" i="7"/>
  <c r="BR418" i="7"/>
  <c r="BO418" i="7"/>
  <c r="BN418" i="7"/>
  <c r="BM418" i="7"/>
  <c r="BJ418" i="7"/>
  <c r="BT418" i="7" s="1"/>
  <c r="CE417" i="7"/>
  <c r="BX417" i="7"/>
  <c r="BW417" i="7"/>
  <c r="BV417" i="7"/>
  <c r="BU417" i="7"/>
  <c r="BR417" i="7"/>
  <c r="CD417" i="7" s="1"/>
  <c r="BO417" i="7"/>
  <c r="BN417" i="7"/>
  <c r="BM417" i="7"/>
  <c r="BJ417" i="7"/>
  <c r="BT417" i="7" s="1"/>
  <c r="CE416" i="7"/>
  <c r="BX416" i="7"/>
  <c r="BW416" i="7"/>
  <c r="BV416" i="7"/>
  <c r="BU416" i="7"/>
  <c r="BR416" i="7"/>
  <c r="BO416" i="7"/>
  <c r="BN416" i="7"/>
  <c r="BM416" i="7"/>
  <c r="BJ416" i="7"/>
  <c r="BT416" i="7" s="1"/>
  <c r="CE415" i="7"/>
  <c r="BX415" i="7"/>
  <c r="BW415" i="7"/>
  <c r="BV415" i="7"/>
  <c r="BU415" i="7"/>
  <c r="BR415" i="7"/>
  <c r="BO415" i="7"/>
  <c r="BN415" i="7"/>
  <c r="BM415" i="7"/>
  <c r="BJ415" i="7"/>
  <c r="BT415" i="7" s="1"/>
  <c r="CE414" i="7"/>
  <c r="BX414" i="7"/>
  <c r="BW414" i="7"/>
  <c r="BV414" i="7"/>
  <c r="BU414" i="7"/>
  <c r="BR414" i="7"/>
  <c r="BO414" i="7"/>
  <c r="BN414" i="7"/>
  <c r="BM414" i="7"/>
  <c r="BJ414" i="7"/>
  <c r="BT414" i="7" s="1"/>
  <c r="CE413" i="7"/>
  <c r="BX413" i="7"/>
  <c r="BW413" i="7"/>
  <c r="BV413" i="7"/>
  <c r="BU413" i="7"/>
  <c r="BR413" i="7"/>
  <c r="BO413" i="7"/>
  <c r="BN413" i="7"/>
  <c r="BM413" i="7"/>
  <c r="BJ413" i="7"/>
  <c r="BT413" i="7" s="1"/>
  <c r="CE412" i="7"/>
  <c r="BX412" i="7"/>
  <c r="BW412" i="7"/>
  <c r="BV412" i="7"/>
  <c r="BU412" i="7"/>
  <c r="BR412" i="7"/>
  <c r="BO412" i="7"/>
  <c r="BN412" i="7"/>
  <c r="BM412" i="7"/>
  <c r="BJ412" i="7"/>
  <c r="BT412" i="7" s="1"/>
  <c r="CE411" i="7"/>
  <c r="BX411" i="7"/>
  <c r="BW411" i="7"/>
  <c r="BV411" i="7"/>
  <c r="BU411" i="7"/>
  <c r="BR411" i="7"/>
  <c r="CD411" i="7" s="1"/>
  <c r="BO411" i="7"/>
  <c r="BN411" i="7"/>
  <c r="BM411" i="7"/>
  <c r="BJ411" i="7"/>
  <c r="BT411" i="7" s="1"/>
  <c r="CE410" i="7"/>
  <c r="BX410" i="7"/>
  <c r="BW410" i="7"/>
  <c r="BV410" i="7"/>
  <c r="BU410" i="7"/>
  <c r="BR410" i="7"/>
  <c r="BO410" i="7"/>
  <c r="BN410" i="7"/>
  <c r="BM410" i="7"/>
  <c r="BJ410" i="7"/>
  <c r="BT410" i="7" s="1"/>
  <c r="CE409" i="7"/>
  <c r="BX409" i="7"/>
  <c r="BW409" i="7"/>
  <c r="BV409" i="7"/>
  <c r="BU409" i="7"/>
  <c r="BR409" i="7"/>
  <c r="CD409" i="7" s="1"/>
  <c r="BO409" i="7"/>
  <c r="BN409" i="7"/>
  <c r="BM409" i="7"/>
  <c r="BJ409" i="7"/>
  <c r="BT409" i="7" s="1"/>
  <c r="CE408" i="7"/>
  <c r="BX408" i="7"/>
  <c r="BW408" i="7"/>
  <c r="BV408" i="7"/>
  <c r="BU408" i="7"/>
  <c r="BR408" i="7"/>
  <c r="BO408" i="7"/>
  <c r="BN408" i="7"/>
  <c r="BM408" i="7"/>
  <c r="BJ408" i="7"/>
  <c r="BT408" i="7" s="1"/>
  <c r="CE407" i="7"/>
  <c r="BX407" i="7"/>
  <c r="BW407" i="7"/>
  <c r="BV407" i="7"/>
  <c r="BU407" i="7"/>
  <c r="BR407" i="7"/>
  <c r="BO407" i="7"/>
  <c r="BN407" i="7"/>
  <c r="BM407" i="7"/>
  <c r="BJ407" i="7"/>
  <c r="BT407" i="7" s="1"/>
  <c r="CE406" i="7"/>
  <c r="BX406" i="7"/>
  <c r="BW406" i="7"/>
  <c r="BV406" i="7"/>
  <c r="BU406" i="7"/>
  <c r="BR406" i="7"/>
  <c r="BO406" i="7"/>
  <c r="BN406" i="7"/>
  <c r="BM406" i="7"/>
  <c r="BJ406" i="7"/>
  <c r="BT406" i="7" s="1"/>
  <c r="CE405" i="7"/>
  <c r="BX405" i="7"/>
  <c r="BW405" i="7"/>
  <c r="BV405" i="7"/>
  <c r="BU405" i="7"/>
  <c r="BR405" i="7"/>
  <c r="BO405" i="7"/>
  <c r="BN405" i="7"/>
  <c r="BM405" i="7"/>
  <c r="BJ405" i="7"/>
  <c r="BT405" i="7" s="1"/>
  <c r="CE404" i="7"/>
  <c r="BX404" i="7"/>
  <c r="BW404" i="7"/>
  <c r="BV404" i="7"/>
  <c r="BU404" i="7"/>
  <c r="BR404" i="7"/>
  <c r="BO404" i="7"/>
  <c r="BN404" i="7"/>
  <c r="BM404" i="7"/>
  <c r="BJ404" i="7"/>
  <c r="BT404" i="7" s="1"/>
  <c r="CE403" i="7"/>
  <c r="BX403" i="7"/>
  <c r="BW403" i="7"/>
  <c r="BV403" i="7"/>
  <c r="BU403" i="7"/>
  <c r="BR403" i="7"/>
  <c r="CD403" i="7" s="1"/>
  <c r="BO403" i="7"/>
  <c r="BN403" i="7"/>
  <c r="BM403" i="7"/>
  <c r="BJ403" i="7"/>
  <c r="BT403" i="7" s="1"/>
  <c r="CE402" i="7"/>
  <c r="BX402" i="7"/>
  <c r="BW402" i="7"/>
  <c r="BV402" i="7"/>
  <c r="BU402" i="7"/>
  <c r="BR402" i="7"/>
  <c r="BO402" i="7"/>
  <c r="BN402" i="7"/>
  <c r="BM402" i="7"/>
  <c r="BJ402" i="7"/>
  <c r="BT402" i="7" s="1"/>
  <c r="CE401" i="7"/>
  <c r="BX401" i="7"/>
  <c r="BW401" i="7"/>
  <c r="BV401" i="7"/>
  <c r="BU401" i="7"/>
  <c r="BR401" i="7"/>
  <c r="CD401" i="7" s="1"/>
  <c r="BO401" i="7"/>
  <c r="BN401" i="7"/>
  <c r="BM401" i="7"/>
  <c r="BJ401" i="7"/>
  <c r="BT401" i="7" s="1"/>
  <c r="CE400" i="7"/>
  <c r="BX400" i="7"/>
  <c r="BW400" i="7"/>
  <c r="BV400" i="7"/>
  <c r="BU400" i="7"/>
  <c r="BR400" i="7"/>
  <c r="BO400" i="7"/>
  <c r="BN400" i="7"/>
  <c r="BM400" i="7"/>
  <c r="BJ400" i="7"/>
  <c r="BT400" i="7" s="1"/>
  <c r="CE399" i="7"/>
  <c r="BX399" i="7"/>
  <c r="BW399" i="7"/>
  <c r="BV399" i="7"/>
  <c r="BU399" i="7"/>
  <c r="BR399" i="7"/>
  <c r="BO399" i="7"/>
  <c r="BN399" i="7"/>
  <c r="BM399" i="7"/>
  <c r="BJ399" i="7"/>
  <c r="BT399" i="7" s="1"/>
  <c r="CE398" i="7"/>
  <c r="BX398" i="7"/>
  <c r="BW398" i="7"/>
  <c r="BV398" i="7"/>
  <c r="BU398" i="7"/>
  <c r="BR398" i="7"/>
  <c r="BO398" i="7"/>
  <c r="BN398" i="7"/>
  <c r="BM398" i="7"/>
  <c r="BJ398" i="7"/>
  <c r="BT398" i="7" s="1"/>
  <c r="CE397" i="7"/>
  <c r="BX397" i="7"/>
  <c r="BW397" i="7"/>
  <c r="BV397" i="7"/>
  <c r="BU397" i="7"/>
  <c r="BR397" i="7"/>
  <c r="BO397" i="7"/>
  <c r="BN397" i="7"/>
  <c r="BM397" i="7"/>
  <c r="BJ397" i="7"/>
  <c r="BT397" i="7" s="1"/>
  <c r="CE396" i="7"/>
  <c r="BX396" i="7"/>
  <c r="BW396" i="7"/>
  <c r="BV396" i="7"/>
  <c r="BU396" i="7"/>
  <c r="BR396" i="7"/>
  <c r="BO396" i="7"/>
  <c r="BN396" i="7"/>
  <c r="BM396" i="7"/>
  <c r="BJ396" i="7"/>
  <c r="BT396" i="7" s="1"/>
  <c r="CE395" i="7"/>
  <c r="BX395" i="7"/>
  <c r="BW395" i="7"/>
  <c r="BV395" i="7"/>
  <c r="BU395" i="7"/>
  <c r="BR395" i="7"/>
  <c r="CD395" i="7" s="1"/>
  <c r="BO395" i="7"/>
  <c r="BN395" i="7"/>
  <c r="BM395" i="7"/>
  <c r="BJ395" i="7"/>
  <c r="BT395" i="7" s="1"/>
  <c r="CE394" i="7"/>
  <c r="BX394" i="7"/>
  <c r="BW394" i="7"/>
  <c r="BV394" i="7"/>
  <c r="BU394" i="7"/>
  <c r="BR394" i="7"/>
  <c r="BO394" i="7"/>
  <c r="BN394" i="7"/>
  <c r="BM394" i="7"/>
  <c r="BJ394" i="7"/>
  <c r="BT394" i="7" s="1"/>
  <c r="CE393" i="7"/>
  <c r="BX393" i="7"/>
  <c r="BW393" i="7"/>
  <c r="BV393" i="7"/>
  <c r="BU393" i="7"/>
  <c r="BR393" i="7"/>
  <c r="CD393" i="7" s="1"/>
  <c r="BO393" i="7"/>
  <c r="BN393" i="7"/>
  <c r="BM393" i="7"/>
  <c r="BJ393" i="7"/>
  <c r="BT393" i="7" s="1"/>
  <c r="CE392" i="7"/>
  <c r="BX392" i="7"/>
  <c r="BW392" i="7"/>
  <c r="BV392" i="7"/>
  <c r="BU392" i="7"/>
  <c r="BR392" i="7"/>
  <c r="BO392" i="7"/>
  <c r="BN392" i="7"/>
  <c r="BM392" i="7"/>
  <c r="BJ392" i="7"/>
  <c r="BT392" i="7" s="1"/>
  <c r="CE391" i="7"/>
  <c r="BX391" i="7"/>
  <c r="BW391" i="7"/>
  <c r="BV391" i="7"/>
  <c r="BU391" i="7"/>
  <c r="BR391" i="7"/>
  <c r="BO391" i="7"/>
  <c r="BN391" i="7"/>
  <c r="BM391" i="7"/>
  <c r="BJ391" i="7"/>
  <c r="BT391" i="7" s="1"/>
  <c r="CE390" i="7"/>
  <c r="BX390" i="7"/>
  <c r="BW390" i="7"/>
  <c r="BV390" i="7"/>
  <c r="BU390" i="7"/>
  <c r="BR390" i="7"/>
  <c r="BO390" i="7"/>
  <c r="BN390" i="7"/>
  <c r="BM390" i="7"/>
  <c r="BJ390" i="7"/>
  <c r="BT390" i="7" s="1"/>
  <c r="CE389" i="7"/>
  <c r="BX389" i="7"/>
  <c r="BW389" i="7"/>
  <c r="BV389" i="7"/>
  <c r="BU389" i="7"/>
  <c r="BR389" i="7"/>
  <c r="BO389" i="7"/>
  <c r="BN389" i="7"/>
  <c r="BM389" i="7"/>
  <c r="BJ389" i="7"/>
  <c r="BT389" i="7" s="1"/>
  <c r="CE388" i="7"/>
  <c r="BX388" i="7"/>
  <c r="BW388" i="7"/>
  <c r="BV388" i="7"/>
  <c r="BU388" i="7"/>
  <c r="BR388" i="7"/>
  <c r="BO388" i="7"/>
  <c r="BN388" i="7"/>
  <c r="BM388" i="7"/>
  <c r="BJ388" i="7"/>
  <c r="BT388" i="7" s="1"/>
  <c r="CE387" i="7"/>
  <c r="BX387" i="7"/>
  <c r="BW387" i="7"/>
  <c r="BV387" i="7"/>
  <c r="BU387" i="7"/>
  <c r="BR387" i="7"/>
  <c r="CD387" i="7" s="1"/>
  <c r="BO387" i="7"/>
  <c r="BN387" i="7"/>
  <c r="BM387" i="7"/>
  <c r="BJ387" i="7"/>
  <c r="BT387" i="7" s="1"/>
  <c r="CE386" i="7"/>
  <c r="BX386" i="7"/>
  <c r="BW386" i="7"/>
  <c r="BV386" i="7"/>
  <c r="BU386" i="7"/>
  <c r="BR386" i="7"/>
  <c r="BO386" i="7"/>
  <c r="BN386" i="7"/>
  <c r="BM386" i="7"/>
  <c r="BJ386" i="7"/>
  <c r="BT386" i="7" s="1"/>
  <c r="CE385" i="7"/>
  <c r="BX385" i="7"/>
  <c r="BW385" i="7"/>
  <c r="BV385" i="7"/>
  <c r="BU385" i="7"/>
  <c r="BR385" i="7"/>
  <c r="CD385" i="7" s="1"/>
  <c r="BO385" i="7"/>
  <c r="BN385" i="7"/>
  <c r="BM385" i="7"/>
  <c r="BJ385" i="7"/>
  <c r="BT385" i="7" s="1"/>
  <c r="CE384" i="7"/>
  <c r="BX384" i="7"/>
  <c r="BW384" i="7"/>
  <c r="BV384" i="7"/>
  <c r="BU384" i="7"/>
  <c r="BR384" i="7"/>
  <c r="BO384" i="7"/>
  <c r="BN384" i="7"/>
  <c r="BM384" i="7"/>
  <c r="BJ384" i="7"/>
  <c r="BT384" i="7" s="1"/>
  <c r="CE383" i="7"/>
  <c r="BX383" i="7"/>
  <c r="BW383" i="7"/>
  <c r="BV383" i="7"/>
  <c r="BU383" i="7"/>
  <c r="BR383" i="7"/>
  <c r="BO383" i="7"/>
  <c r="BN383" i="7"/>
  <c r="BM383" i="7"/>
  <c r="BJ383" i="7"/>
  <c r="BT383" i="7" s="1"/>
  <c r="CE382" i="7"/>
  <c r="BX382" i="7"/>
  <c r="BW382" i="7"/>
  <c r="BV382" i="7"/>
  <c r="BU382" i="7"/>
  <c r="BR382" i="7"/>
  <c r="BO382" i="7"/>
  <c r="BN382" i="7"/>
  <c r="BM382" i="7"/>
  <c r="BJ382" i="7"/>
  <c r="BT382" i="7" s="1"/>
  <c r="CE381" i="7"/>
  <c r="BX381" i="7"/>
  <c r="BW381" i="7"/>
  <c r="BV381" i="7"/>
  <c r="BU381" i="7"/>
  <c r="BR381" i="7"/>
  <c r="BO381" i="7"/>
  <c r="BN381" i="7"/>
  <c r="BM381" i="7"/>
  <c r="BJ381" i="7"/>
  <c r="BT381" i="7" s="1"/>
  <c r="CE380" i="7"/>
  <c r="BX380" i="7"/>
  <c r="BW380" i="7"/>
  <c r="BV380" i="7"/>
  <c r="BU380" i="7"/>
  <c r="BR380" i="7"/>
  <c r="BO380" i="7"/>
  <c r="BN380" i="7"/>
  <c r="BM380" i="7"/>
  <c r="BJ380" i="7"/>
  <c r="BT380" i="7" s="1"/>
  <c r="CE379" i="7"/>
  <c r="BX379" i="7"/>
  <c r="BW379" i="7"/>
  <c r="BV379" i="7"/>
  <c r="BU379" i="7"/>
  <c r="BR379" i="7"/>
  <c r="CD379" i="7" s="1"/>
  <c r="BO379" i="7"/>
  <c r="BN379" i="7"/>
  <c r="BM379" i="7"/>
  <c r="BJ379" i="7"/>
  <c r="BT379" i="7" s="1"/>
  <c r="CE378" i="7"/>
  <c r="BX378" i="7"/>
  <c r="BW378" i="7"/>
  <c r="BV378" i="7"/>
  <c r="BU378" i="7"/>
  <c r="BR378" i="7"/>
  <c r="BO378" i="7"/>
  <c r="BN378" i="7"/>
  <c r="BM378" i="7"/>
  <c r="BJ378" i="7"/>
  <c r="BT378" i="7" s="1"/>
  <c r="CE377" i="7"/>
  <c r="BX377" i="7"/>
  <c r="BW377" i="7"/>
  <c r="BV377" i="7"/>
  <c r="BU377" i="7"/>
  <c r="BR377" i="7"/>
  <c r="CD377" i="7" s="1"/>
  <c r="BO377" i="7"/>
  <c r="BN377" i="7"/>
  <c r="BM377" i="7"/>
  <c r="BJ377" i="7"/>
  <c r="BT377" i="7" s="1"/>
  <c r="CE376" i="7"/>
  <c r="BX376" i="7"/>
  <c r="BW376" i="7"/>
  <c r="BV376" i="7"/>
  <c r="BU376" i="7"/>
  <c r="BR376" i="7"/>
  <c r="BO376" i="7"/>
  <c r="BN376" i="7"/>
  <c r="BM376" i="7"/>
  <c r="BJ376" i="7"/>
  <c r="BT376" i="7" s="1"/>
  <c r="CE375" i="7"/>
  <c r="BX375" i="7"/>
  <c r="BW375" i="7"/>
  <c r="BV375" i="7"/>
  <c r="BU375" i="7"/>
  <c r="BR375" i="7"/>
  <c r="BO375" i="7"/>
  <c r="BN375" i="7"/>
  <c r="BM375" i="7"/>
  <c r="BJ375" i="7"/>
  <c r="BT375" i="7" s="1"/>
  <c r="CE374" i="7"/>
  <c r="BX374" i="7"/>
  <c r="BW374" i="7"/>
  <c r="BV374" i="7"/>
  <c r="BU374" i="7"/>
  <c r="BR374" i="7"/>
  <c r="BO374" i="7"/>
  <c r="BN374" i="7"/>
  <c r="BM374" i="7"/>
  <c r="BJ374" i="7"/>
  <c r="BT374" i="7" s="1"/>
  <c r="CE373" i="7"/>
  <c r="BX373" i="7"/>
  <c r="BW373" i="7"/>
  <c r="BV373" i="7"/>
  <c r="BU373" i="7"/>
  <c r="BR373" i="7"/>
  <c r="BO373" i="7"/>
  <c r="BN373" i="7"/>
  <c r="BM373" i="7"/>
  <c r="BJ373" i="7"/>
  <c r="BT373" i="7" s="1"/>
  <c r="CE372" i="7"/>
  <c r="BX372" i="7"/>
  <c r="BW372" i="7"/>
  <c r="BV372" i="7"/>
  <c r="BU372" i="7"/>
  <c r="BR372" i="7"/>
  <c r="BO372" i="7"/>
  <c r="BN372" i="7"/>
  <c r="BM372" i="7"/>
  <c r="BJ372" i="7"/>
  <c r="BT372" i="7" s="1"/>
  <c r="CE371" i="7"/>
  <c r="BX371" i="7"/>
  <c r="BW371" i="7"/>
  <c r="BV371" i="7"/>
  <c r="BU371" i="7"/>
  <c r="BR371" i="7"/>
  <c r="CD371" i="7" s="1"/>
  <c r="BO371" i="7"/>
  <c r="BN371" i="7"/>
  <c r="BM371" i="7"/>
  <c r="BJ371" i="7"/>
  <c r="BT371" i="7" s="1"/>
  <c r="CE370" i="7"/>
  <c r="BX370" i="7"/>
  <c r="BW370" i="7"/>
  <c r="BV370" i="7"/>
  <c r="BU370" i="7"/>
  <c r="BR370" i="7"/>
  <c r="BO370" i="7"/>
  <c r="BN370" i="7"/>
  <c r="BM370" i="7"/>
  <c r="BJ370" i="7"/>
  <c r="BT370" i="7" s="1"/>
  <c r="CE369" i="7"/>
  <c r="BX369" i="7"/>
  <c r="BW369" i="7"/>
  <c r="BV369" i="7"/>
  <c r="BU369" i="7"/>
  <c r="BR369" i="7"/>
  <c r="CD369" i="7" s="1"/>
  <c r="BO369" i="7"/>
  <c r="BN369" i="7"/>
  <c r="BM369" i="7"/>
  <c r="BJ369" i="7"/>
  <c r="BT369" i="7" s="1"/>
  <c r="CE368" i="7"/>
  <c r="BX368" i="7"/>
  <c r="BW368" i="7"/>
  <c r="BV368" i="7"/>
  <c r="BU368" i="7"/>
  <c r="BR368" i="7"/>
  <c r="BO368" i="7"/>
  <c r="BN368" i="7"/>
  <c r="BM368" i="7"/>
  <c r="BJ368" i="7"/>
  <c r="BT368" i="7" s="1"/>
  <c r="CE367" i="7"/>
  <c r="BX367" i="7"/>
  <c r="BW367" i="7"/>
  <c r="BV367" i="7"/>
  <c r="BU367" i="7"/>
  <c r="BR367" i="7"/>
  <c r="BO367" i="7"/>
  <c r="BN367" i="7"/>
  <c r="BM367" i="7"/>
  <c r="BJ367" i="7"/>
  <c r="BT367" i="7" s="1"/>
  <c r="CE366" i="7"/>
  <c r="BX366" i="7"/>
  <c r="BW366" i="7"/>
  <c r="BV366" i="7"/>
  <c r="BU366" i="7"/>
  <c r="BR366" i="7"/>
  <c r="CD366" i="7" s="1"/>
  <c r="BO366" i="7"/>
  <c r="BN366" i="7"/>
  <c r="BM366" i="7"/>
  <c r="BY366" i="7" s="1"/>
  <c r="BJ366" i="7"/>
  <c r="BT366" i="7" s="1"/>
  <c r="CE365" i="7"/>
  <c r="BX365" i="7"/>
  <c r="BW365" i="7"/>
  <c r="BV365" i="7"/>
  <c r="BU365" i="7"/>
  <c r="BR365" i="7"/>
  <c r="CD365" i="7" s="1"/>
  <c r="BO365" i="7"/>
  <c r="BN365" i="7"/>
  <c r="BM365" i="7"/>
  <c r="BJ365" i="7"/>
  <c r="BT365" i="7" s="1"/>
  <c r="CE364" i="7"/>
  <c r="BX364" i="7"/>
  <c r="BW364" i="7"/>
  <c r="BV364" i="7"/>
  <c r="BU364" i="7"/>
  <c r="BR364" i="7"/>
  <c r="CA364" i="7" s="1"/>
  <c r="CF364" i="7" s="1"/>
  <c r="BO364" i="7"/>
  <c r="BN364" i="7"/>
  <c r="BM364" i="7"/>
  <c r="BJ364" i="7"/>
  <c r="BT364" i="7" s="1"/>
  <c r="CE363" i="7"/>
  <c r="BX363" i="7"/>
  <c r="BW363" i="7"/>
  <c r="BV363" i="7"/>
  <c r="BU363" i="7"/>
  <c r="BR363" i="7"/>
  <c r="BZ363" i="7" s="1"/>
  <c r="BO363" i="7"/>
  <c r="BN363" i="7"/>
  <c r="BM363" i="7"/>
  <c r="BJ363" i="7"/>
  <c r="BT363" i="7" s="1"/>
  <c r="CE362" i="7"/>
  <c r="BX362" i="7"/>
  <c r="BW362" i="7"/>
  <c r="BV362" i="7"/>
  <c r="BU362" i="7"/>
  <c r="BR362" i="7"/>
  <c r="CB362" i="7" s="1"/>
  <c r="BO362" i="7"/>
  <c r="BN362" i="7"/>
  <c r="BM362" i="7"/>
  <c r="BJ362" i="7"/>
  <c r="BT362" i="7" s="1"/>
  <c r="CE361" i="7"/>
  <c r="BX361" i="7"/>
  <c r="BW361" i="7"/>
  <c r="BV361" i="7"/>
  <c r="BU361" i="7"/>
  <c r="BR361" i="7"/>
  <c r="BO361" i="7"/>
  <c r="BN361" i="7"/>
  <c r="BM361" i="7"/>
  <c r="BJ361" i="7"/>
  <c r="BT361" i="7" s="1"/>
  <c r="CE360" i="7"/>
  <c r="BX360" i="7"/>
  <c r="BW360" i="7"/>
  <c r="BV360" i="7"/>
  <c r="BU360" i="7"/>
  <c r="BR360" i="7"/>
  <c r="CB360" i="7" s="1"/>
  <c r="BO360" i="7"/>
  <c r="BN360" i="7"/>
  <c r="BM360" i="7"/>
  <c r="BJ360" i="7"/>
  <c r="BT360" i="7" s="1"/>
  <c r="CE359" i="7"/>
  <c r="BX359" i="7"/>
  <c r="BW359" i="7"/>
  <c r="BV359" i="7"/>
  <c r="BU359" i="7"/>
  <c r="BR359" i="7"/>
  <c r="CB359" i="7" s="1"/>
  <c r="BO359" i="7"/>
  <c r="BN359" i="7"/>
  <c r="BM359" i="7"/>
  <c r="BJ359" i="7"/>
  <c r="BT359" i="7" s="1"/>
  <c r="CE358" i="7"/>
  <c r="BX358" i="7"/>
  <c r="BW358" i="7"/>
  <c r="BV358" i="7"/>
  <c r="BU358" i="7"/>
  <c r="BR358" i="7"/>
  <c r="BO358" i="7"/>
  <c r="BN358" i="7"/>
  <c r="BM358" i="7"/>
  <c r="BJ358" i="7"/>
  <c r="BT358" i="7" s="1"/>
  <c r="CE357" i="7"/>
  <c r="BX357" i="7"/>
  <c r="BW357" i="7"/>
  <c r="BV357" i="7"/>
  <c r="BU357" i="7"/>
  <c r="BR357" i="7"/>
  <c r="BO357" i="7"/>
  <c r="BN357" i="7"/>
  <c r="BM357" i="7"/>
  <c r="BJ357" i="7"/>
  <c r="BT357" i="7" s="1"/>
  <c r="CE356" i="7"/>
  <c r="BX356" i="7"/>
  <c r="BW356" i="7"/>
  <c r="BV356" i="7"/>
  <c r="BU356" i="7"/>
  <c r="BR356" i="7"/>
  <c r="CB356" i="7" s="1"/>
  <c r="BO356" i="7"/>
  <c r="BN356" i="7"/>
  <c r="BM356" i="7"/>
  <c r="BJ356" i="7"/>
  <c r="BT356" i="7" s="1"/>
  <c r="CE355" i="7"/>
  <c r="BX355" i="7"/>
  <c r="BW355" i="7"/>
  <c r="BV355" i="7"/>
  <c r="BU355" i="7"/>
  <c r="BR355" i="7"/>
  <c r="BO355" i="7"/>
  <c r="BN355" i="7"/>
  <c r="BM355" i="7"/>
  <c r="BJ355" i="7"/>
  <c r="BT355" i="7" s="1"/>
  <c r="CE354" i="7"/>
  <c r="BX354" i="7"/>
  <c r="BW354" i="7"/>
  <c r="BV354" i="7"/>
  <c r="BU354" i="7"/>
  <c r="BR354" i="7"/>
  <c r="CB354" i="7" s="1"/>
  <c r="BO354" i="7"/>
  <c r="BN354" i="7"/>
  <c r="BM354" i="7"/>
  <c r="BJ354" i="7"/>
  <c r="BT354" i="7" s="1"/>
  <c r="CE353" i="7"/>
  <c r="BX353" i="7"/>
  <c r="BW353" i="7"/>
  <c r="BV353" i="7"/>
  <c r="BU353" i="7"/>
  <c r="BR353" i="7"/>
  <c r="CD353" i="7" s="1"/>
  <c r="BO353" i="7"/>
  <c r="BN353" i="7"/>
  <c r="BM353" i="7"/>
  <c r="BJ353" i="7"/>
  <c r="BT353" i="7" s="1"/>
  <c r="CE352" i="7"/>
  <c r="BX352" i="7"/>
  <c r="BW352" i="7"/>
  <c r="BV352" i="7"/>
  <c r="BU352" i="7"/>
  <c r="BR352" i="7"/>
  <c r="BO352" i="7"/>
  <c r="BN352" i="7"/>
  <c r="BM352" i="7"/>
  <c r="BJ352" i="7"/>
  <c r="BT352" i="7" s="1"/>
  <c r="CE351" i="7"/>
  <c r="BX351" i="7"/>
  <c r="BW351" i="7"/>
  <c r="BV351" i="7"/>
  <c r="BU351" i="7"/>
  <c r="BR351" i="7"/>
  <c r="CB351" i="7" s="1"/>
  <c r="BO351" i="7"/>
  <c r="BN351" i="7"/>
  <c r="BM351" i="7"/>
  <c r="BJ351" i="7"/>
  <c r="BT351" i="7" s="1"/>
  <c r="CE350" i="7"/>
  <c r="BX350" i="7"/>
  <c r="BW350" i="7"/>
  <c r="BV350" i="7"/>
  <c r="BU350" i="7"/>
  <c r="BR350" i="7"/>
  <c r="CB350" i="7" s="1"/>
  <c r="BO350" i="7"/>
  <c r="BN350" i="7"/>
  <c r="BM350" i="7"/>
  <c r="BJ350" i="7"/>
  <c r="BT350" i="7" s="1"/>
  <c r="CE349" i="7"/>
  <c r="BX349" i="7"/>
  <c r="BW349" i="7"/>
  <c r="BV349" i="7"/>
  <c r="BU349" i="7"/>
  <c r="BR349" i="7"/>
  <c r="CD349" i="7" s="1"/>
  <c r="BO349" i="7"/>
  <c r="BN349" i="7"/>
  <c r="BM349" i="7"/>
  <c r="BJ349" i="7"/>
  <c r="BT349" i="7" s="1"/>
  <c r="CE348" i="7"/>
  <c r="BX348" i="7"/>
  <c r="BW348" i="7"/>
  <c r="BV348" i="7"/>
  <c r="BU348" i="7"/>
  <c r="BR348" i="7"/>
  <c r="CB348" i="7" s="1"/>
  <c r="BO348" i="7"/>
  <c r="BN348" i="7"/>
  <c r="BM348" i="7"/>
  <c r="BJ348" i="7"/>
  <c r="BT348" i="7" s="1"/>
  <c r="CE347" i="7"/>
  <c r="BX347" i="7"/>
  <c r="BW347" i="7"/>
  <c r="BV347" i="7"/>
  <c r="BU347" i="7"/>
  <c r="BR347" i="7"/>
  <c r="BO347" i="7"/>
  <c r="BN347" i="7"/>
  <c r="BM347" i="7"/>
  <c r="BJ347" i="7"/>
  <c r="BT347" i="7" s="1"/>
  <c r="CE346" i="7"/>
  <c r="BX346" i="7"/>
  <c r="BW346" i="7"/>
  <c r="BV346" i="7"/>
  <c r="BU346" i="7"/>
  <c r="BR346" i="7"/>
  <c r="BO346" i="7"/>
  <c r="BN346" i="7"/>
  <c r="BM346" i="7"/>
  <c r="BJ346" i="7"/>
  <c r="BT346" i="7" s="1"/>
  <c r="CE345" i="7"/>
  <c r="BX345" i="7"/>
  <c r="BW345" i="7"/>
  <c r="BV345" i="7"/>
  <c r="BU345" i="7"/>
  <c r="BR345" i="7"/>
  <c r="CD345" i="7" s="1"/>
  <c r="BO345" i="7"/>
  <c r="BN345" i="7"/>
  <c r="BM345" i="7"/>
  <c r="BJ345" i="7"/>
  <c r="BT345" i="7" s="1"/>
  <c r="CE344" i="7"/>
  <c r="BX344" i="7"/>
  <c r="BW344" i="7"/>
  <c r="BV344" i="7"/>
  <c r="CS344" i="7" s="1"/>
  <c r="BU344" i="7"/>
  <c r="CR344" i="7" s="1"/>
  <c r="BR344" i="7"/>
  <c r="CA344" i="7" s="1"/>
  <c r="CF344" i="7" s="1"/>
  <c r="BO344" i="7"/>
  <c r="BN344" i="7"/>
  <c r="BM344" i="7"/>
  <c r="BJ344" i="7"/>
  <c r="BT344" i="7" s="1"/>
  <c r="CE343" i="7"/>
  <c r="BX343" i="7"/>
  <c r="BW343" i="7"/>
  <c r="BV343" i="7"/>
  <c r="BU343" i="7"/>
  <c r="BR343" i="7"/>
  <c r="BO343" i="7"/>
  <c r="BN343" i="7"/>
  <c r="BM343" i="7"/>
  <c r="BJ343" i="7"/>
  <c r="BT343" i="7" s="1"/>
  <c r="CE342" i="7"/>
  <c r="BX342" i="7"/>
  <c r="BW342" i="7"/>
  <c r="BV342" i="7"/>
  <c r="BU342" i="7"/>
  <c r="BR342" i="7"/>
  <c r="BO342" i="7"/>
  <c r="BN342" i="7"/>
  <c r="BM342" i="7"/>
  <c r="BJ342" i="7"/>
  <c r="BT342" i="7" s="1"/>
  <c r="CE341" i="7"/>
  <c r="BX341" i="7"/>
  <c r="BW341" i="7"/>
  <c r="BV341" i="7"/>
  <c r="BU341" i="7"/>
  <c r="BR341" i="7"/>
  <c r="BO341" i="7"/>
  <c r="BN341" i="7"/>
  <c r="BM341" i="7"/>
  <c r="BJ341" i="7"/>
  <c r="BT341" i="7" s="1"/>
  <c r="CE340" i="7"/>
  <c r="BX340" i="7"/>
  <c r="BW340" i="7"/>
  <c r="BV340" i="7"/>
  <c r="BU340" i="7"/>
  <c r="BO340" i="7"/>
  <c r="BN340" i="7"/>
  <c r="BM340" i="7"/>
  <c r="BJ340" i="7"/>
  <c r="BT340" i="7" s="1"/>
  <c r="CE339" i="7"/>
  <c r="BX339" i="7"/>
  <c r="BW339" i="7"/>
  <c r="BV339" i="7"/>
  <c r="BU339" i="7"/>
  <c r="BR339" i="7"/>
  <c r="BO339" i="7"/>
  <c r="BN339" i="7"/>
  <c r="BM339" i="7"/>
  <c r="BJ339" i="7"/>
  <c r="BT339" i="7" s="1"/>
  <c r="CE338" i="7"/>
  <c r="BX338" i="7"/>
  <c r="BW338" i="7"/>
  <c r="BV338" i="7"/>
  <c r="BU338" i="7"/>
  <c r="BR338" i="7"/>
  <c r="BO338" i="7"/>
  <c r="BN338" i="7"/>
  <c r="BM338" i="7"/>
  <c r="BJ338" i="7"/>
  <c r="BT338" i="7" s="1"/>
  <c r="CE337" i="7"/>
  <c r="BX337" i="7"/>
  <c r="BW337" i="7"/>
  <c r="BV337" i="7"/>
  <c r="BU337" i="7"/>
  <c r="BR337" i="7"/>
  <c r="CB337" i="7" s="1"/>
  <c r="BO337" i="7"/>
  <c r="BN337" i="7"/>
  <c r="BM337" i="7"/>
  <c r="BJ337" i="7"/>
  <c r="BT337" i="7" s="1"/>
  <c r="CE336" i="7"/>
  <c r="BX336" i="7"/>
  <c r="BW336" i="7"/>
  <c r="BV336" i="7"/>
  <c r="BU336" i="7"/>
  <c r="BR336" i="7"/>
  <c r="BO336" i="7"/>
  <c r="BN336" i="7"/>
  <c r="BM336" i="7"/>
  <c r="BJ336" i="7"/>
  <c r="BT336" i="7" s="1"/>
  <c r="CE335" i="7"/>
  <c r="BX335" i="7"/>
  <c r="BW335" i="7"/>
  <c r="BV335" i="7"/>
  <c r="BU335" i="7"/>
  <c r="BR335" i="7"/>
  <c r="CD335" i="7" s="1"/>
  <c r="BO335" i="7"/>
  <c r="BN335" i="7"/>
  <c r="BM335" i="7"/>
  <c r="BJ335" i="7"/>
  <c r="BT335" i="7" s="1"/>
  <c r="CE334" i="7"/>
  <c r="BX334" i="7"/>
  <c r="BW334" i="7"/>
  <c r="BV334" i="7"/>
  <c r="BU334" i="7"/>
  <c r="BR334" i="7"/>
  <c r="CD334" i="7" s="1"/>
  <c r="BO334" i="7"/>
  <c r="BN334" i="7"/>
  <c r="BM334" i="7"/>
  <c r="BJ334" i="7"/>
  <c r="BT334" i="7" s="1"/>
  <c r="CE333" i="7"/>
  <c r="BX333" i="7"/>
  <c r="BW333" i="7"/>
  <c r="BV333" i="7"/>
  <c r="BU333" i="7"/>
  <c r="BR333" i="7"/>
  <c r="CB333" i="7" s="1"/>
  <c r="BO333" i="7"/>
  <c r="BN333" i="7"/>
  <c r="BM333" i="7"/>
  <c r="BJ333" i="7"/>
  <c r="BT333" i="7" s="1"/>
  <c r="CE332" i="7"/>
  <c r="BX332" i="7"/>
  <c r="BW332" i="7"/>
  <c r="BV332" i="7"/>
  <c r="BU332" i="7"/>
  <c r="BR332" i="7"/>
  <c r="CB332" i="7" s="1"/>
  <c r="BO332" i="7"/>
  <c r="BN332" i="7"/>
  <c r="BM332" i="7"/>
  <c r="BJ332" i="7"/>
  <c r="BT332" i="7" s="1"/>
  <c r="CE331" i="7"/>
  <c r="BX331" i="7"/>
  <c r="BW331" i="7"/>
  <c r="BV331" i="7"/>
  <c r="BU331" i="7"/>
  <c r="BR331" i="7"/>
  <c r="CD331" i="7" s="1"/>
  <c r="BO331" i="7"/>
  <c r="BN331" i="7"/>
  <c r="BM331" i="7"/>
  <c r="BJ331" i="7"/>
  <c r="BT331" i="7" s="1"/>
  <c r="CE330" i="7"/>
  <c r="BX330" i="7"/>
  <c r="BW330" i="7"/>
  <c r="BV330" i="7"/>
  <c r="BU330" i="7"/>
  <c r="BR330" i="7"/>
  <c r="BO330" i="7"/>
  <c r="BN330" i="7"/>
  <c r="BM330" i="7"/>
  <c r="BJ330" i="7"/>
  <c r="BT330" i="7" s="1"/>
  <c r="CE329" i="7"/>
  <c r="BX329" i="7"/>
  <c r="BW329" i="7"/>
  <c r="BV329" i="7"/>
  <c r="BU329" i="7"/>
  <c r="BR329" i="7"/>
  <c r="BO329" i="7"/>
  <c r="BN329" i="7"/>
  <c r="BM329" i="7"/>
  <c r="BJ329" i="7"/>
  <c r="BT329" i="7" s="1"/>
  <c r="CE328" i="7"/>
  <c r="BX328" i="7"/>
  <c r="BW328" i="7"/>
  <c r="BV328" i="7"/>
  <c r="BU328" i="7"/>
  <c r="BR328" i="7"/>
  <c r="CB328" i="7" s="1"/>
  <c r="BO328" i="7"/>
  <c r="BN328" i="7"/>
  <c r="BM328" i="7"/>
  <c r="BJ328" i="7"/>
  <c r="BT328" i="7" s="1"/>
  <c r="CE327" i="7"/>
  <c r="BX327" i="7"/>
  <c r="BW327" i="7"/>
  <c r="BV327" i="7"/>
  <c r="BU327" i="7"/>
  <c r="BR327" i="7"/>
  <c r="BO327" i="7"/>
  <c r="BN327" i="7"/>
  <c r="BM327" i="7"/>
  <c r="BJ327" i="7"/>
  <c r="BT327" i="7" s="1"/>
  <c r="CE326" i="7"/>
  <c r="BX326" i="7"/>
  <c r="BW326" i="7"/>
  <c r="BV326" i="7"/>
  <c r="BU326" i="7"/>
  <c r="BR326" i="7"/>
  <c r="BO326" i="7"/>
  <c r="BN326" i="7"/>
  <c r="BM326" i="7"/>
  <c r="BJ326" i="7"/>
  <c r="BT326" i="7" s="1"/>
  <c r="CE325" i="7"/>
  <c r="BX325" i="7"/>
  <c r="BW325" i="7"/>
  <c r="BV325" i="7"/>
  <c r="BU325" i="7"/>
  <c r="BR325" i="7"/>
  <c r="CD325" i="7" s="1"/>
  <c r="BO325" i="7"/>
  <c r="BN325" i="7"/>
  <c r="BM325" i="7"/>
  <c r="BJ325" i="7"/>
  <c r="BT325" i="7" s="1"/>
  <c r="CE324" i="7"/>
  <c r="BX324" i="7"/>
  <c r="BW324" i="7"/>
  <c r="BV324" i="7"/>
  <c r="BU324" i="7"/>
  <c r="BR324" i="7"/>
  <c r="CB324" i="7" s="1"/>
  <c r="BO324" i="7"/>
  <c r="BN324" i="7"/>
  <c r="BM324" i="7"/>
  <c r="BJ324" i="7"/>
  <c r="BT324" i="7" s="1"/>
  <c r="CE323" i="7"/>
  <c r="BX323" i="7"/>
  <c r="BW323" i="7"/>
  <c r="BV323" i="7"/>
  <c r="BU323" i="7"/>
  <c r="BR323" i="7"/>
  <c r="CD323" i="7" s="1"/>
  <c r="BO323" i="7"/>
  <c r="BN323" i="7"/>
  <c r="BM323" i="7"/>
  <c r="BJ323" i="7"/>
  <c r="BT323" i="7" s="1"/>
  <c r="CE322" i="7"/>
  <c r="BX322" i="7"/>
  <c r="BW322" i="7"/>
  <c r="BV322" i="7"/>
  <c r="BU322" i="7"/>
  <c r="BR322" i="7"/>
  <c r="CA322" i="7" s="1"/>
  <c r="CF322" i="7" s="1"/>
  <c r="BO322" i="7"/>
  <c r="BN322" i="7"/>
  <c r="BM322" i="7"/>
  <c r="BJ322" i="7"/>
  <c r="BT322" i="7" s="1"/>
  <c r="CE321" i="7"/>
  <c r="BX321" i="7"/>
  <c r="BW321" i="7"/>
  <c r="BV321" i="7"/>
  <c r="BU321" i="7"/>
  <c r="BR321" i="7"/>
  <c r="BO321" i="7"/>
  <c r="BN321" i="7"/>
  <c r="BM321" i="7"/>
  <c r="BJ321" i="7"/>
  <c r="BT321" i="7" s="1"/>
  <c r="CE320" i="7"/>
  <c r="BX320" i="7"/>
  <c r="BW320" i="7"/>
  <c r="BV320" i="7"/>
  <c r="BU320" i="7"/>
  <c r="BR320" i="7"/>
  <c r="BO320" i="7"/>
  <c r="BN320" i="7"/>
  <c r="BM320" i="7"/>
  <c r="BJ320" i="7"/>
  <c r="BT320" i="7" s="1"/>
  <c r="CE319" i="7"/>
  <c r="BX319" i="7"/>
  <c r="BW319" i="7"/>
  <c r="BV319" i="7"/>
  <c r="BU319" i="7"/>
  <c r="BR319" i="7"/>
  <c r="BO319" i="7"/>
  <c r="BN319" i="7"/>
  <c r="BM319" i="7"/>
  <c r="BJ319" i="7"/>
  <c r="BT319" i="7" s="1"/>
  <c r="CE318" i="7"/>
  <c r="BX318" i="7"/>
  <c r="BW318" i="7"/>
  <c r="BV318" i="7"/>
  <c r="BU318" i="7"/>
  <c r="BR318" i="7"/>
  <c r="BO318" i="7"/>
  <c r="BN318" i="7"/>
  <c r="BM318" i="7"/>
  <c r="BJ318" i="7"/>
  <c r="BT318" i="7" s="1"/>
  <c r="CE317" i="7"/>
  <c r="BX317" i="7"/>
  <c r="BW317" i="7"/>
  <c r="BV317" i="7"/>
  <c r="BU317" i="7"/>
  <c r="BR317" i="7"/>
  <c r="BO317" i="7"/>
  <c r="BN317" i="7"/>
  <c r="BM317" i="7"/>
  <c r="BJ317" i="7"/>
  <c r="BT317" i="7" s="1"/>
  <c r="CE316" i="7"/>
  <c r="BX316" i="7"/>
  <c r="BW316" i="7"/>
  <c r="BV316" i="7"/>
  <c r="BU316" i="7"/>
  <c r="BR316" i="7"/>
  <c r="BO316" i="7"/>
  <c r="BN316" i="7"/>
  <c r="BM316" i="7"/>
  <c r="BJ316" i="7"/>
  <c r="BT316" i="7" s="1"/>
  <c r="CE315" i="7"/>
  <c r="BX315" i="7"/>
  <c r="BW315" i="7"/>
  <c r="BV315" i="7"/>
  <c r="BU315" i="7"/>
  <c r="BR315" i="7"/>
  <c r="BZ315" i="7" s="1"/>
  <c r="BO315" i="7"/>
  <c r="BN315" i="7"/>
  <c r="BM315" i="7"/>
  <c r="BJ315" i="7"/>
  <c r="BT315" i="7" s="1"/>
  <c r="CE314" i="7"/>
  <c r="BX314" i="7"/>
  <c r="BW314" i="7"/>
  <c r="BV314" i="7"/>
  <c r="BU314" i="7"/>
  <c r="BR314" i="7"/>
  <c r="CB314" i="7" s="1"/>
  <c r="BO314" i="7"/>
  <c r="BN314" i="7"/>
  <c r="BM314" i="7"/>
  <c r="BJ314" i="7"/>
  <c r="BT314" i="7" s="1"/>
  <c r="CE313" i="7"/>
  <c r="BX313" i="7"/>
  <c r="BW313" i="7"/>
  <c r="BV313" i="7"/>
  <c r="BU313" i="7"/>
  <c r="BR313" i="7"/>
  <c r="CB313" i="7" s="1"/>
  <c r="BO313" i="7"/>
  <c r="BN313" i="7"/>
  <c r="BM313" i="7"/>
  <c r="BJ313" i="7"/>
  <c r="BT313" i="7" s="1"/>
  <c r="CE312" i="7"/>
  <c r="BX312" i="7"/>
  <c r="BW312" i="7"/>
  <c r="BV312" i="7"/>
  <c r="BU312" i="7"/>
  <c r="BR312" i="7"/>
  <c r="CD312" i="7" s="1"/>
  <c r="BO312" i="7"/>
  <c r="BN312" i="7"/>
  <c r="BM312" i="7"/>
  <c r="BJ312" i="7"/>
  <c r="BT312" i="7" s="1"/>
  <c r="CE311" i="7"/>
  <c r="BX311" i="7"/>
  <c r="BW311" i="7"/>
  <c r="BV311" i="7"/>
  <c r="BU311" i="7"/>
  <c r="BR311" i="7"/>
  <c r="BO311" i="7"/>
  <c r="BN311" i="7"/>
  <c r="BM311" i="7"/>
  <c r="BJ311" i="7"/>
  <c r="BT311" i="7" s="1"/>
  <c r="CE310" i="7"/>
  <c r="BX310" i="7"/>
  <c r="BW310" i="7"/>
  <c r="BV310" i="7"/>
  <c r="BU310" i="7"/>
  <c r="BR310" i="7"/>
  <c r="BO310" i="7"/>
  <c r="BN310" i="7"/>
  <c r="BM310" i="7"/>
  <c r="BJ310" i="7"/>
  <c r="BT310" i="7" s="1"/>
  <c r="CE309" i="7"/>
  <c r="BX309" i="7"/>
  <c r="BW309" i="7"/>
  <c r="BV309" i="7"/>
  <c r="BU309" i="7"/>
  <c r="BR309" i="7"/>
  <c r="CD309" i="7" s="1"/>
  <c r="BO309" i="7"/>
  <c r="BN309" i="7"/>
  <c r="BM309" i="7"/>
  <c r="BJ309" i="7"/>
  <c r="BT309" i="7" s="1"/>
  <c r="CE308" i="7"/>
  <c r="BX308" i="7"/>
  <c r="BW308" i="7"/>
  <c r="BV308" i="7"/>
  <c r="BU308" i="7"/>
  <c r="BR308" i="7"/>
  <c r="CD308" i="7" s="1"/>
  <c r="BO308" i="7"/>
  <c r="BN308" i="7"/>
  <c r="BM308" i="7"/>
  <c r="BJ308" i="7"/>
  <c r="BT308" i="7" s="1"/>
  <c r="CE307" i="7"/>
  <c r="BX307" i="7"/>
  <c r="BW307" i="7"/>
  <c r="BV307" i="7"/>
  <c r="BU307" i="7"/>
  <c r="BR307" i="7"/>
  <c r="BO307" i="7"/>
  <c r="BN307" i="7"/>
  <c r="BM307" i="7"/>
  <c r="BJ307" i="7"/>
  <c r="BT307" i="7" s="1"/>
  <c r="CE306" i="7"/>
  <c r="BX306" i="7"/>
  <c r="BW306" i="7"/>
  <c r="BV306" i="7"/>
  <c r="BU306" i="7"/>
  <c r="BR306" i="7"/>
  <c r="CA306" i="7" s="1"/>
  <c r="CF306" i="7" s="1"/>
  <c r="BO306" i="7"/>
  <c r="BN306" i="7"/>
  <c r="BM306" i="7"/>
  <c r="BJ306" i="7"/>
  <c r="BT306" i="7" s="1"/>
  <c r="CE305" i="7"/>
  <c r="BX305" i="7"/>
  <c r="BW305" i="7"/>
  <c r="BV305" i="7"/>
  <c r="BU305" i="7"/>
  <c r="BR305" i="7"/>
  <c r="CB305" i="7" s="1"/>
  <c r="BO305" i="7"/>
  <c r="BN305" i="7"/>
  <c r="BM305" i="7"/>
  <c r="BJ305" i="7"/>
  <c r="BT305" i="7" s="1"/>
  <c r="CE304" i="7"/>
  <c r="BX304" i="7"/>
  <c r="BW304" i="7"/>
  <c r="BV304" i="7"/>
  <c r="BU304" i="7"/>
  <c r="BR304" i="7"/>
  <c r="BO304" i="7"/>
  <c r="BN304" i="7"/>
  <c r="BM304" i="7"/>
  <c r="BJ304" i="7"/>
  <c r="BT304" i="7" s="1"/>
  <c r="CE303" i="7"/>
  <c r="BX303" i="7"/>
  <c r="BW303" i="7"/>
  <c r="BV303" i="7"/>
  <c r="BU303" i="7"/>
  <c r="BR303" i="7"/>
  <c r="BO303" i="7"/>
  <c r="BN303" i="7"/>
  <c r="BM303" i="7"/>
  <c r="BJ303" i="7"/>
  <c r="BT303" i="7" s="1"/>
  <c r="CE302" i="7"/>
  <c r="BX302" i="7"/>
  <c r="BW302" i="7"/>
  <c r="BV302" i="7"/>
  <c r="BU302" i="7"/>
  <c r="BR302" i="7"/>
  <c r="BO302" i="7"/>
  <c r="BN302" i="7"/>
  <c r="BM302" i="7"/>
  <c r="BJ302" i="7"/>
  <c r="BT302" i="7" s="1"/>
  <c r="CE301" i="7"/>
  <c r="BX301" i="7"/>
  <c r="BW301" i="7"/>
  <c r="BV301" i="7"/>
  <c r="BU301" i="7"/>
  <c r="BR301" i="7"/>
  <c r="BO301" i="7"/>
  <c r="BN301" i="7"/>
  <c r="BM301" i="7"/>
  <c r="BJ301" i="7"/>
  <c r="BT301" i="7" s="1"/>
  <c r="CE300" i="7"/>
  <c r="BX300" i="7"/>
  <c r="BW300" i="7"/>
  <c r="BV300" i="7"/>
  <c r="BU300" i="7"/>
  <c r="BR300" i="7"/>
  <c r="CB300" i="7" s="1"/>
  <c r="BO300" i="7"/>
  <c r="BN300" i="7"/>
  <c r="BM300" i="7"/>
  <c r="BJ300" i="7"/>
  <c r="BT300" i="7" s="1"/>
  <c r="CE299" i="7"/>
  <c r="BX299" i="7"/>
  <c r="BW299" i="7"/>
  <c r="BV299" i="7"/>
  <c r="BU299" i="7"/>
  <c r="BR299" i="7"/>
  <c r="CA299" i="7" s="1"/>
  <c r="CF299" i="7" s="1"/>
  <c r="BO299" i="7"/>
  <c r="BN299" i="7"/>
  <c r="BM299" i="7"/>
  <c r="BJ299" i="7"/>
  <c r="BT299" i="7" s="1"/>
  <c r="CE298" i="7"/>
  <c r="BX298" i="7"/>
  <c r="BW298" i="7"/>
  <c r="BV298" i="7"/>
  <c r="BU298" i="7"/>
  <c r="BR298" i="7"/>
  <c r="CB298" i="7" s="1"/>
  <c r="BO298" i="7"/>
  <c r="BN298" i="7"/>
  <c r="BM298" i="7"/>
  <c r="BJ298" i="7"/>
  <c r="BT298" i="7" s="1"/>
  <c r="CE297" i="7"/>
  <c r="BX297" i="7"/>
  <c r="BW297" i="7"/>
  <c r="BV297" i="7"/>
  <c r="BU297" i="7"/>
  <c r="BR297" i="7"/>
  <c r="CB297" i="7" s="1"/>
  <c r="BO297" i="7"/>
  <c r="BN297" i="7"/>
  <c r="BM297" i="7"/>
  <c r="BJ297" i="7"/>
  <c r="BT297" i="7" s="1"/>
  <c r="CE296" i="7"/>
  <c r="BX296" i="7"/>
  <c r="BW296" i="7"/>
  <c r="BV296" i="7"/>
  <c r="BU296" i="7"/>
  <c r="BR296" i="7"/>
  <c r="BO296" i="7"/>
  <c r="BN296" i="7"/>
  <c r="BM296" i="7"/>
  <c r="BJ296" i="7"/>
  <c r="BT296" i="7" s="1"/>
  <c r="CE295" i="7"/>
  <c r="BX295" i="7"/>
  <c r="BW295" i="7"/>
  <c r="BV295" i="7"/>
  <c r="BU295" i="7"/>
  <c r="BR295" i="7"/>
  <c r="CD295" i="7" s="1"/>
  <c r="BO295" i="7"/>
  <c r="BN295" i="7"/>
  <c r="BM295" i="7"/>
  <c r="BJ295" i="7"/>
  <c r="BT295" i="7" s="1"/>
  <c r="CE294" i="7"/>
  <c r="BX294" i="7"/>
  <c r="BW294" i="7"/>
  <c r="BV294" i="7"/>
  <c r="BU294" i="7"/>
  <c r="BR294" i="7"/>
  <c r="BO294" i="7"/>
  <c r="BN294" i="7"/>
  <c r="BM294" i="7"/>
  <c r="BJ294" i="7"/>
  <c r="BT294" i="7" s="1"/>
  <c r="CE293" i="7"/>
  <c r="BX293" i="7"/>
  <c r="BW293" i="7"/>
  <c r="BV293" i="7"/>
  <c r="BU293" i="7"/>
  <c r="BR293" i="7"/>
  <c r="CD293" i="7" s="1"/>
  <c r="BO293" i="7"/>
  <c r="BN293" i="7"/>
  <c r="BM293" i="7"/>
  <c r="BJ293" i="7"/>
  <c r="BT293" i="7" s="1"/>
  <c r="CE292" i="7"/>
  <c r="BX292" i="7"/>
  <c r="BW292" i="7"/>
  <c r="BV292" i="7"/>
  <c r="BU292" i="7"/>
  <c r="BR292" i="7"/>
  <c r="CB292" i="7" s="1"/>
  <c r="BO292" i="7"/>
  <c r="BN292" i="7"/>
  <c r="BM292" i="7"/>
  <c r="BJ292" i="7"/>
  <c r="BT292" i="7" s="1"/>
  <c r="CE291" i="7"/>
  <c r="BX291" i="7"/>
  <c r="BW291" i="7"/>
  <c r="BV291" i="7"/>
  <c r="BU291" i="7"/>
  <c r="BR291" i="7"/>
  <c r="BZ291" i="7" s="1"/>
  <c r="BO291" i="7"/>
  <c r="BN291" i="7"/>
  <c r="BM291" i="7"/>
  <c r="BJ291" i="7"/>
  <c r="BT291" i="7" s="1"/>
  <c r="CE290" i="7"/>
  <c r="BX290" i="7"/>
  <c r="BW290" i="7"/>
  <c r="BV290" i="7"/>
  <c r="BU290" i="7"/>
  <c r="BR290" i="7"/>
  <c r="CA290" i="7" s="1"/>
  <c r="CF290" i="7" s="1"/>
  <c r="BO290" i="7"/>
  <c r="BN290" i="7"/>
  <c r="BM290" i="7"/>
  <c r="BJ290" i="7"/>
  <c r="BT290" i="7" s="1"/>
  <c r="CE289" i="7"/>
  <c r="BX289" i="7"/>
  <c r="BW289" i="7"/>
  <c r="BV289" i="7"/>
  <c r="BU289" i="7"/>
  <c r="BR289" i="7"/>
  <c r="BO289" i="7"/>
  <c r="BN289" i="7"/>
  <c r="BM289" i="7"/>
  <c r="BJ289" i="7"/>
  <c r="BT289" i="7" s="1"/>
  <c r="CE288" i="7"/>
  <c r="BX288" i="7"/>
  <c r="BW288" i="7"/>
  <c r="BV288" i="7"/>
  <c r="BU288" i="7"/>
  <c r="BR288" i="7"/>
  <c r="CD288" i="7" s="1"/>
  <c r="BO288" i="7"/>
  <c r="BN288" i="7"/>
  <c r="BM288" i="7"/>
  <c r="BJ288" i="7"/>
  <c r="BT288" i="7" s="1"/>
  <c r="CE287" i="7"/>
  <c r="BX287" i="7"/>
  <c r="BW287" i="7"/>
  <c r="BV287" i="7"/>
  <c r="BU287" i="7"/>
  <c r="BR287" i="7"/>
  <c r="BZ287" i="7" s="1"/>
  <c r="BO287" i="7"/>
  <c r="BN287" i="7"/>
  <c r="BM287" i="7"/>
  <c r="BJ287" i="7"/>
  <c r="BT287" i="7" s="1"/>
  <c r="CE286" i="7"/>
  <c r="BX286" i="7"/>
  <c r="BW286" i="7"/>
  <c r="BV286" i="7"/>
  <c r="BU286" i="7"/>
  <c r="BR286" i="7"/>
  <c r="CB286" i="7" s="1"/>
  <c r="BO286" i="7"/>
  <c r="BN286" i="7"/>
  <c r="BM286" i="7"/>
  <c r="BJ286" i="7"/>
  <c r="BT286" i="7" s="1"/>
  <c r="CE285" i="7"/>
  <c r="BX285" i="7"/>
  <c r="BW285" i="7"/>
  <c r="BV285" i="7"/>
  <c r="BU285" i="7"/>
  <c r="BR285" i="7"/>
  <c r="BO285" i="7"/>
  <c r="BN285" i="7"/>
  <c r="BM285" i="7"/>
  <c r="BJ285" i="7"/>
  <c r="BT285" i="7" s="1"/>
  <c r="CE284" i="7"/>
  <c r="BX284" i="7"/>
  <c r="BW284" i="7"/>
  <c r="BV284" i="7"/>
  <c r="BU284" i="7"/>
  <c r="BR284" i="7"/>
  <c r="BZ284" i="7" s="1"/>
  <c r="BO284" i="7"/>
  <c r="BN284" i="7"/>
  <c r="BM284" i="7"/>
  <c r="BJ284" i="7"/>
  <c r="BT284" i="7" s="1"/>
  <c r="CE283" i="7"/>
  <c r="BX283" i="7"/>
  <c r="BW283" i="7"/>
  <c r="BV283" i="7"/>
  <c r="BU283" i="7"/>
  <c r="BR283" i="7"/>
  <c r="CD283" i="7" s="1"/>
  <c r="BO283" i="7"/>
  <c r="BN283" i="7"/>
  <c r="BM283" i="7"/>
  <c r="BJ283" i="7"/>
  <c r="BT283" i="7" s="1"/>
  <c r="CE282" i="7"/>
  <c r="BX282" i="7"/>
  <c r="BW282" i="7"/>
  <c r="BV282" i="7"/>
  <c r="BU282" i="7"/>
  <c r="BR282" i="7"/>
  <c r="BO282" i="7"/>
  <c r="BN282" i="7"/>
  <c r="BM282" i="7"/>
  <c r="BJ282" i="7"/>
  <c r="BT282" i="7" s="1"/>
  <c r="CE281" i="7"/>
  <c r="BX281" i="7"/>
  <c r="BW281" i="7"/>
  <c r="BV281" i="7"/>
  <c r="BU281" i="7"/>
  <c r="BR281" i="7"/>
  <c r="BO281" i="7"/>
  <c r="BN281" i="7"/>
  <c r="BM281" i="7"/>
  <c r="BJ281" i="7"/>
  <c r="BT281" i="7" s="1"/>
  <c r="CE280" i="7"/>
  <c r="BX280" i="7"/>
  <c r="BW280" i="7"/>
  <c r="BV280" i="7"/>
  <c r="BU280" i="7"/>
  <c r="BR280" i="7"/>
  <c r="CA280" i="7" s="1"/>
  <c r="CF280" i="7" s="1"/>
  <c r="BO280" i="7"/>
  <c r="BN280" i="7"/>
  <c r="BM280" i="7"/>
  <c r="BJ280" i="7"/>
  <c r="BT280" i="7" s="1"/>
  <c r="CE279" i="7"/>
  <c r="BX279" i="7"/>
  <c r="BW279" i="7"/>
  <c r="BV279" i="7"/>
  <c r="BU279" i="7"/>
  <c r="BR279" i="7"/>
  <c r="BO279" i="7"/>
  <c r="BN279" i="7"/>
  <c r="BM279" i="7"/>
  <c r="BJ279" i="7"/>
  <c r="BT279" i="7" s="1"/>
  <c r="CE278" i="7"/>
  <c r="BX278" i="7"/>
  <c r="BW278" i="7"/>
  <c r="BV278" i="7"/>
  <c r="BU278" i="7"/>
  <c r="BR278" i="7"/>
  <c r="BO278" i="7"/>
  <c r="BN278" i="7"/>
  <c r="BM278" i="7"/>
  <c r="BJ278" i="7"/>
  <c r="BT278" i="7" s="1"/>
  <c r="CE277" i="7"/>
  <c r="BX277" i="7"/>
  <c r="BW277" i="7"/>
  <c r="BV277" i="7"/>
  <c r="BU277" i="7"/>
  <c r="BR277" i="7"/>
  <c r="BO277" i="7"/>
  <c r="BN277" i="7"/>
  <c r="BM277" i="7"/>
  <c r="BJ277" i="7"/>
  <c r="BT277" i="7" s="1"/>
  <c r="CE276" i="7"/>
  <c r="BX276" i="7"/>
  <c r="BW276" i="7"/>
  <c r="BV276" i="7"/>
  <c r="BU276" i="7"/>
  <c r="BR276" i="7"/>
  <c r="CA276" i="7" s="1"/>
  <c r="CF276" i="7" s="1"/>
  <c r="BO276" i="7"/>
  <c r="BN276" i="7"/>
  <c r="BM276" i="7"/>
  <c r="BJ276" i="7"/>
  <c r="BT276" i="7" s="1"/>
  <c r="CE275" i="7"/>
  <c r="BX275" i="7"/>
  <c r="BW275" i="7"/>
  <c r="BV275" i="7"/>
  <c r="BU275" i="7"/>
  <c r="BR275" i="7"/>
  <c r="BO275" i="7"/>
  <c r="BN275" i="7"/>
  <c r="BM275" i="7"/>
  <c r="BJ275" i="7"/>
  <c r="BT275" i="7" s="1"/>
  <c r="CE274" i="7"/>
  <c r="BX274" i="7"/>
  <c r="BW274" i="7"/>
  <c r="BV274" i="7"/>
  <c r="BU274" i="7"/>
  <c r="BR274" i="7"/>
  <c r="BO274" i="7"/>
  <c r="BN274" i="7"/>
  <c r="BM274" i="7"/>
  <c r="BJ274" i="7"/>
  <c r="BT274" i="7" s="1"/>
  <c r="CE273" i="7"/>
  <c r="BX273" i="7"/>
  <c r="BW273" i="7"/>
  <c r="BV273" i="7"/>
  <c r="BU273" i="7"/>
  <c r="BR273" i="7"/>
  <c r="BO273" i="7"/>
  <c r="BN273" i="7"/>
  <c r="BM273" i="7"/>
  <c r="BJ273" i="7"/>
  <c r="BT273" i="7" s="1"/>
  <c r="CE272" i="7"/>
  <c r="BX272" i="7"/>
  <c r="BW272" i="7"/>
  <c r="BV272" i="7"/>
  <c r="BU272" i="7"/>
  <c r="BR272" i="7"/>
  <c r="CB272" i="7" s="1"/>
  <c r="BO272" i="7"/>
  <c r="BN272" i="7"/>
  <c r="BM272" i="7"/>
  <c r="BJ272" i="7"/>
  <c r="BT272" i="7" s="1"/>
  <c r="CE271" i="7"/>
  <c r="BX271" i="7"/>
  <c r="BW271" i="7"/>
  <c r="BV271" i="7"/>
  <c r="BU271" i="7"/>
  <c r="BR271" i="7"/>
  <c r="BO271" i="7"/>
  <c r="BN271" i="7"/>
  <c r="BM271" i="7"/>
  <c r="BJ271" i="7"/>
  <c r="BT271" i="7" s="1"/>
  <c r="CE270" i="7"/>
  <c r="BX270" i="7"/>
  <c r="BW270" i="7"/>
  <c r="BV270" i="7"/>
  <c r="BU270" i="7"/>
  <c r="BR270" i="7"/>
  <c r="BO270" i="7"/>
  <c r="BN270" i="7"/>
  <c r="BM270" i="7"/>
  <c r="BJ270" i="7"/>
  <c r="BT270" i="7" s="1"/>
  <c r="CE269" i="7"/>
  <c r="BX269" i="7"/>
  <c r="BW269" i="7"/>
  <c r="BV269" i="7"/>
  <c r="BU269" i="7"/>
  <c r="BR269" i="7"/>
  <c r="BO269" i="7"/>
  <c r="BN269" i="7"/>
  <c r="BM269" i="7"/>
  <c r="BJ269" i="7"/>
  <c r="BT269" i="7" s="1"/>
  <c r="CE268" i="7"/>
  <c r="BX268" i="7"/>
  <c r="BW268" i="7"/>
  <c r="BV268" i="7"/>
  <c r="BU268" i="7"/>
  <c r="BR268" i="7"/>
  <c r="CD268" i="7" s="1"/>
  <c r="BO268" i="7"/>
  <c r="BN268" i="7"/>
  <c r="BM268" i="7"/>
  <c r="BJ268" i="7"/>
  <c r="BT268" i="7" s="1"/>
  <c r="CE267" i="7"/>
  <c r="BX267" i="7"/>
  <c r="BW267" i="7"/>
  <c r="BV267" i="7"/>
  <c r="BU267" i="7"/>
  <c r="BR267" i="7"/>
  <c r="CD267" i="7" s="1"/>
  <c r="BO267" i="7"/>
  <c r="BN267" i="7"/>
  <c r="BM267" i="7"/>
  <c r="BJ267" i="7"/>
  <c r="BT267" i="7" s="1"/>
  <c r="CE266" i="7"/>
  <c r="BX266" i="7"/>
  <c r="BW266" i="7"/>
  <c r="BV266" i="7"/>
  <c r="BU266" i="7"/>
  <c r="BR266" i="7"/>
  <c r="CA266" i="7" s="1"/>
  <c r="CF266" i="7" s="1"/>
  <c r="BO266" i="7"/>
  <c r="BN266" i="7"/>
  <c r="BM266" i="7"/>
  <c r="BJ266" i="7"/>
  <c r="BT266" i="7" s="1"/>
  <c r="CE265" i="7"/>
  <c r="BX265" i="7"/>
  <c r="BW265" i="7"/>
  <c r="BV265" i="7"/>
  <c r="BU265" i="7"/>
  <c r="BR265" i="7"/>
  <c r="BO265" i="7"/>
  <c r="BN265" i="7"/>
  <c r="BM265" i="7"/>
  <c r="BJ265" i="7"/>
  <c r="BT265" i="7" s="1"/>
  <c r="CE264" i="7"/>
  <c r="BX264" i="7"/>
  <c r="BW264" i="7"/>
  <c r="BV264" i="7"/>
  <c r="BU264" i="7"/>
  <c r="BR264" i="7"/>
  <c r="CB264" i="7" s="1"/>
  <c r="BO264" i="7"/>
  <c r="BN264" i="7"/>
  <c r="BM264" i="7"/>
  <c r="BJ264" i="7"/>
  <c r="BT264" i="7" s="1"/>
  <c r="CE263" i="7"/>
  <c r="BX263" i="7"/>
  <c r="BW263" i="7"/>
  <c r="BV263" i="7"/>
  <c r="BU263" i="7"/>
  <c r="BR263" i="7"/>
  <c r="CA263" i="7" s="1"/>
  <c r="CF263" i="7" s="1"/>
  <c r="BO263" i="7"/>
  <c r="BN263" i="7"/>
  <c r="BM263" i="7"/>
  <c r="BJ263" i="7"/>
  <c r="BT263" i="7" s="1"/>
  <c r="CE262" i="7"/>
  <c r="BX262" i="7"/>
  <c r="BW262" i="7"/>
  <c r="BV262" i="7"/>
  <c r="BU262" i="7"/>
  <c r="BR262" i="7"/>
  <c r="BO262" i="7"/>
  <c r="BN262" i="7"/>
  <c r="BM262" i="7"/>
  <c r="BJ262" i="7"/>
  <c r="BT262" i="7" s="1"/>
  <c r="CE261" i="7"/>
  <c r="BX261" i="7"/>
  <c r="BW261" i="7"/>
  <c r="BV261" i="7"/>
  <c r="BU261" i="7"/>
  <c r="BR261" i="7"/>
  <c r="CD261" i="7" s="1"/>
  <c r="BO261" i="7"/>
  <c r="BN261" i="7"/>
  <c r="BM261" i="7"/>
  <c r="BJ261" i="7"/>
  <c r="BT261" i="7" s="1"/>
  <c r="CE260" i="7"/>
  <c r="BX260" i="7"/>
  <c r="BW260" i="7"/>
  <c r="BV260" i="7"/>
  <c r="BU260" i="7"/>
  <c r="BR260" i="7"/>
  <c r="CB260" i="7" s="1"/>
  <c r="BO260" i="7"/>
  <c r="BN260" i="7"/>
  <c r="BM260" i="7"/>
  <c r="BJ260" i="7"/>
  <c r="BT260" i="7" s="1"/>
  <c r="CE259" i="7"/>
  <c r="BX259" i="7"/>
  <c r="BW259" i="7"/>
  <c r="BV259" i="7"/>
  <c r="BU259" i="7"/>
  <c r="BR259" i="7"/>
  <c r="CD259" i="7" s="1"/>
  <c r="BO259" i="7"/>
  <c r="BN259" i="7"/>
  <c r="BM259" i="7"/>
  <c r="BJ259" i="7"/>
  <c r="BT259" i="7" s="1"/>
  <c r="CE258" i="7"/>
  <c r="BX258" i="7"/>
  <c r="BW258" i="7"/>
  <c r="BV258" i="7"/>
  <c r="BU258" i="7"/>
  <c r="BR258" i="7"/>
  <c r="CA258" i="7" s="1"/>
  <c r="CF258" i="7" s="1"/>
  <c r="BO258" i="7"/>
  <c r="BN258" i="7"/>
  <c r="BM258" i="7"/>
  <c r="BJ258" i="7"/>
  <c r="BT258" i="7" s="1"/>
  <c r="CE257" i="7"/>
  <c r="BX257" i="7"/>
  <c r="BW257" i="7"/>
  <c r="BV257" i="7"/>
  <c r="BU257" i="7"/>
  <c r="BR257" i="7"/>
  <c r="CB257" i="7" s="1"/>
  <c r="BO257" i="7"/>
  <c r="BN257" i="7"/>
  <c r="BM257" i="7"/>
  <c r="BJ257" i="7"/>
  <c r="BT257" i="7" s="1"/>
  <c r="CE256" i="7"/>
  <c r="BX256" i="7"/>
  <c r="BW256" i="7"/>
  <c r="BV256" i="7"/>
  <c r="BU256" i="7"/>
  <c r="BR256" i="7"/>
  <c r="CB256" i="7" s="1"/>
  <c r="BO256" i="7"/>
  <c r="BN256" i="7"/>
  <c r="BM256" i="7"/>
  <c r="BJ256" i="7"/>
  <c r="BT256" i="7" s="1"/>
  <c r="CE255" i="7"/>
  <c r="BX255" i="7"/>
  <c r="BW255" i="7"/>
  <c r="BV255" i="7"/>
  <c r="BU255" i="7"/>
  <c r="BR255" i="7"/>
  <c r="BO255" i="7"/>
  <c r="BN255" i="7"/>
  <c r="BM255" i="7"/>
  <c r="BJ255" i="7"/>
  <c r="BT255" i="7" s="1"/>
  <c r="CE254" i="7"/>
  <c r="BX254" i="7"/>
  <c r="BW254" i="7"/>
  <c r="BV254" i="7"/>
  <c r="BU254" i="7"/>
  <c r="BR254" i="7"/>
  <c r="CB254" i="7" s="1"/>
  <c r="BO254" i="7"/>
  <c r="BN254" i="7"/>
  <c r="BM254" i="7"/>
  <c r="BJ254" i="7"/>
  <c r="BT254" i="7" s="1"/>
  <c r="CE253" i="7"/>
  <c r="BX253" i="7"/>
  <c r="BW253" i="7"/>
  <c r="BV253" i="7"/>
  <c r="BU253" i="7"/>
  <c r="BR253" i="7"/>
  <c r="BO253" i="7"/>
  <c r="BN253" i="7"/>
  <c r="BM253" i="7"/>
  <c r="BJ253" i="7"/>
  <c r="BT253" i="7" s="1"/>
  <c r="CE252" i="7"/>
  <c r="BX252" i="7"/>
  <c r="BW252" i="7"/>
  <c r="BV252" i="7"/>
  <c r="BU252" i="7"/>
  <c r="BR252" i="7"/>
  <c r="CB252" i="7" s="1"/>
  <c r="BO252" i="7"/>
  <c r="BN252" i="7"/>
  <c r="BM252" i="7"/>
  <c r="BJ252" i="7"/>
  <c r="BT252" i="7" s="1"/>
  <c r="CE251" i="7"/>
  <c r="BX251" i="7"/>
  <c r="BW251" i="7"/>
  <c r="BV251" i="7"/>
  <c r="BU251" i="7"/>
  <c r="BR251" i="7"/>
  <c r="CD251" i="7" s="1"/>
  <c r="BO251" i="7"/>
  <c r="BN251" i="7"/>
  <c r="BM251" i="7"/>
  <c r="BJ251" i="7"/>
  <c r="BT251" i="7" s="1"/>
  <c r="CE250" i="7"/>
  <c r="BX250" i="7"/>
  <c r="BW250" i="7"/>
  <c r="BV250" i="7"/>
  <c r="BU250" i="7"/>
  <c r="BR250" i="7"/>
  <c r="CA250" i="7" s="1"/>
  <c r="CF250" i="7" s="1"/>
  <c r="BO250" i="7"/>
  <c r="BN250" i="7"/>
  <c r="BM250" i="7"/>
  <c r="BJ250" i="7"/>
  <c r="BT250" i="7" s="1"/>
  <c r="CE249" i="7"/>
  <c r="BX249" i="7"/>
  <c r="BW249" i="7"/>
  <c r="BV249" i="7"/>
  <c r="BU249" i="7"/>
  <c r="BR249" i="7"/>
  <c r="CB249" i="7" s="1"/>
  <c r="BO249" i="7"/>
  <c r="BN249" i="7"/>
  <c r="BM249" i="7"/>
  <c r="BJ249" i="7"/>
  <c r="BT249" i="7" s="1"/>
  <c r="CE248" i="7"/>
  <c r="BX248" i="7"/>
  <c r="BW248" i="7"/>
  <c r="BV248" i="7"/>
  <c r="BU248" i="7"/>
  <c r="BR248" i="7"/>
  <c r="CB248" i="7" s="1"/>
  <c r="BO248" i="7"/>
  <c r="BN248" i="7"/>
  <c r="BM248" i="7"/>
  <c r="BJ248" i="7"/>
  <c r="BT248" i="7" s="1"/>
  <c r="CE247" i="7"/>
  <c r="BX247" i="7"/>
  <c r="BW247" i="7"/>
  <c r="BV247" i="7"/>
  <c r="BU247" i="7"/>
  <c r="BR247" i="7"/>
  <c r="CD247" i="7" s="1"/>
  <c r="BO247" i="7"/>
  <c r="BN247" i="7"/>
  <c r="BM247" i="7"/>
  <c r="BJ247" i="7"/>
  <c r="BT247" i="7" s="1"/>
  <c r="CE246" i="7"/>
  <c r="BX246" i="7"/>
  <c r="BW246" i="7"/>
  <c r="BV246" i="7"/>
  <c r="BU246" i="7"/>
  <c r="BR246" i="7"/>
  <c r="BO246" i="7"/>
  <c r="BN246" i="7"/>
  <c r="BM246" i="7"/>
  <c r="BJ246" i="7"/>
  <c r="BT246" i="7" s="1"/>
  <c r="CE245" i="7"/>
  <c r="BX245" i="7"/>
  <c r="BW245" i="7"/>
  <c r="BV245" i="7"/>
  <c r="BU245" i="7"/>
  <c r="BR245" i="7"/>
  <c r="BO245" i="7"/>
  <c r="BN245" i="7"/>
  <c r="BM245" i="7"/>
  <c r="BJ245" i="7"/>
  <c r="BT245" i="7" s="1"/>
  <c r="CE244" i="7"/>
  <c r="BX244" i="7"/>
  <c r="BW244" i="7"/>
  <c r="BV244" i="7"/>
  <c r="BU244" i="7"/>
  <c r="BR244" i="7"/>
  <c r="CB244" i="7" s="1"/>
  <c r="BO244" i="7"/>
  <c r="BN244" i="7"/>
  <c r="BM244" i="7"/>
  <c r="BJ244" i="7"/>
  <c r="BT244" i="7" s="1"/>
  <c r="CE243" i="7"/>
  <c r="BX243" i="7"/>
  <c r="BW243" i="7"/>
  <c r="BV243" i="7"/>
  <c r="BU243" i="7"/>
  <c r="BR243" i="7"/>
  <c r="CD243" i="7" s="1"/>
  <c r="BO243" i="7"/>
  <c r="BN243" i="7"/>
  <c r="BM243" i="7"/>
  <c r="BJ243" i="7"/>
  <c r="BT243" i="7" s="1"/>
  <c r="CE242" i="7"/>
  <c r="BX242" i="7"/>
  <c r="BW242" i="7"/>
  <c r="BV242" i="7"/>
  <c r="BU242" i="7"/>
  <c r="BR242" i="7"/>
  <c r="CA242" i="7" s="1"/>
  <c r="CF242" i="7" s="1"/>
  <c r="BO242" i="7"/>
  <c r="BN242" i="7"/>
  <c r="BM242" i="7"/>
  <c r="BJ242" i="7"/>
  <c r="BT242" i="7" s="1"/>
  <c r="CE241" i="7"/>
  <c r="BX241" i="7"/>
  <c r="BW241" i="7"/>
  <c r="BV241" i="7"/>
  <c r="BU241" i="7"/>
  <c r="BR241" i="7"/>
  <c r="CD241" i="7" s="1"/>
  <c r="BO241" i="7"/>
  <c r="BN241" i="7"/>
  <c r="BM241" i="7"/>
  <c r="BJ241" i="7"/>
  <c r="BT241" i="7" s="1"/>
  <c r="CE240" i="7"/>
  <c r="BX240" i="7"/>
  <c r="BW240" i="7"/>
  <c r="BV240" i="7"/>
  <c r="CS240" i="7" s="1"/>
  <c r="BU240" i="7"/>
  <c r="CR240" i="7" s="1"/>
  <c r="BR240" i="7"/>
  <c r="CD240" i="7" s="1"/>
  <c r="BO240" i="7"/>
  <c r="BN240" i="7"/>
  <c r="BM240" i="7"/>
  <c r="BJ240" i="7"/>
  <c r="BT240" i="7" s="1"/>
  <c r="CE239" i="7"/>
  <c r="BX239" i="7"/>
  <c r="BW239" i="7"/>
  <c r="BV239" i="7"/>
  <c r="BU239" i="7"/>
  <c r="BR239" i="7"/>
  <c r="BO239" i="7"/>
  <c r="BN239" i="7"/>
  <c r="BM239" i="7"/>
  <c r="BJ239" i="7"/>
  <c r="BT239" i="7" s="1"/>
  <c r="CE238" i="7"/>
  <c r="BX238" i="7"/>
  <c r="BW238" i="7"/>
  <c r="BV238" i="7"/>
  <c r="BU238" i="7"/>
  <c r="BR238" i="7"/>
  <c r="CD238" i="7" s="1"/>
  <c r="BO238" i="7"/>
  <c r="BN238" i="7"/>
  <c r="BM238" i="7"/>
  <c r="BJ238" i="7"/>
  <c r="BT238" i="7" s="1"/>
  <c r="CE237" i="7"/>
  <c r="BX237" i="7"/>
  <c r="BW237" i="7"/>
  <c r="BV237" i="7"/>
  <c r="BU237" i="7"/>
  <c r="BR237" i="7"/>
  <c r="CA237" i="7" s="1"/>
  <c r="CF237" i="7" s="1"/>
  <c r="BO237" i="7"/>
  <c r="BN237" i="7"/>
  <c r="BM237" i="7"/>
  <c r="BJ237" i="7"/>
  <c r="BT237" i="7" s="1"/>
  <c r="CE236" i="7"/>
  <c r="BX236" i="7"/>
  <c r="BW236" i="7"/>
  <c r="BV236" i="7"/>
  <c r="BU236" i="7"/>
  <c r="CD236" i="7"/>
  <c r="BO236" i="7"/>
  <c r="BN236" i="7"/>
  <c r="BM236" i="7"/>
  <c r="BJ236" i="7"/>
  <c r="BT236" i="7" s="1"/>
  <c r="CE235" i="7"/>
  <c r="BX235" i="7"/>
  <c r="BW235" i="7"/>
  <c r="BV235" i="7"/>
  <c r="BU235" i="7"/>
  <c r="BR235" i="7"/>
  <c r="CB235" i="7" s="1"/>
  <c r="BO235" i="7"/>
  <c r="BN235" i="7"/>
  <c r="BM235" i="7"/>
  <c r="BJ235" i="7"/>
  <c r="BT235" i="7" s="1"/>
  <c r="CE234" i="7"/>
  <c r="BX234" i="7"/>
  <c r="BW234" i="7"/>
  <c r="BV234" i="7"/>
  <c r="BU234" i="7"/>
  <c r="BR234" i="7"/>
  <c r="CD234" i="7" s="1"/>
  <c r="BO234" i="7"/>
  <c r="BN234" i="7"/>
  <c r="BM234" i="7"/>
  <c r="BJ234" i="7"/>
  <c r="BT234" i="7" s="1"/>
  <c r="CE233" i="7"/>
  <c r="BX233" i="7"/>
  <c r="BW233" i="7"/>
  <c r="BV233" i="7"/>
  <c r="BU233" i="7"/>
  <c r="BR233" i="7"/>
  <c r="CB233" i="7" s="1"/>
  <c r="BO233" i="7"/>
  <c r="BN233" i="7"/>
  <c r="BM233" i="7"/>
  <c r="BJ233" i="7"/>
  <c r="BT233" i="7" s="1"/>
  <c r="CE232" i="7"/>
  <c r="BX232" i="7"/>
  <c r="BW232" i="7"/>
  <c r="BV232" i="7"/>
  <c r="BU232" i="7"/>
  <c r="BR232" i="7"/>
  <c r="BO232" i="7"/>
  <c r="BN232" i="7"/>
  <c r="BM232" i="7"/>
  <c r="BJ232" i="7"/>
  <c r="BT232" i="7" s="1"/>
  <c r="CE231" i="7"/>
  <c r="BX231" i="7"/>
  <c r="BW231" i="7"/>
  <c r="BV231" i="7"/>
  <c r="BU231" i="7"/>
  <c r="BR231" i="7"/>
  <c r="CB231" i="7" s="1"/>
  <c r="BO231" i="7"/>
  <c r="BN231" i="7"/>
  <c r="BM231" i="7"/>
  <c r="BJ231" i="7"/>
  <c r="BT231" i="7" s="1"/>
  <c r="CE230" i="7"/>
  <c r="BX230" i="7"/>
  <c r="BW230" i="7"/>
  <c r="BV230" i="7"/>
  <c r="BU230" i="7"/>
  <c r="BR230" i="7"/>
  <c r="CD230" i="7" s="1"/>
  <c r="BO230" i="7"/>
  <c r="BN230" i="7"/>
  <c r="BM230" i="7"/>
  <c r="BJ230" i="7"/>
  <c r="BT230" i="7" s="1"/>
  <c r="CE229" i="7"/>
  <c r="BX229" i="7"/>
  <c r="BW229" i="7"/>
  <c r="BV229" i="7"/>
  <c r="BU229" i="7"/>
  <c r="BR229" i="7"/>
  <c r="CA229" i="7" s="1"/>
  <c r="CF229" i="7" s="1"/>
  <c r="BO229" i="7"/>
  <c r="BN229" i="7"/>
  <c r="BM229" i="7"/>
  <c r="BJ229" i="7"/>
  <c r="BT229" i="7" s="1"/>
  <c r="CE228" i="7"/>
  <c r="BX228" i="7"/>
  <c r="BW228" i="7"/>
  <c r="BV228" i="7"/>
  <c r="BU228" i="7"/>
  <c r="BR228" i="7"/>
  <c r="CB228" i="7" s="1"/>
  <c r="BO228" i="7"/>
  <c r="BN228" i="7"/>
  <c r="BM228" i="7"/>
  <c r="BJ228" i="7"/>
  <c r="BT228" i="7" s="1"/>
  <c r="CE227" i="7"/>
  <c r="BX227" i="7"/>
  <c r="BW227" i="7"/>
  <c r="BV227" i="7"/>
  <c r="BU227" i="7"/>
  <c r="BR227" i="7"/>
  <c r="CB227" i="7" s="1"/>
  <c r="BO227" i="7"/>
  <c r="BN227" i="7"/>
  <c r="BM227" i="7"/>
  <c r="BJ227" i="7"/>
  <c r="BT227" i="7" s="1"/>
  <c r="CE226" i="7"/>
  <c r="BX226" i="7"/>
  <c r="BW226" i="7"/>
  <c r="BV226" i="7"/>
  <c r="BU226" i="7"/>
  <c r="BR226" i="7"/>
  <c r="CD226" i="7" s="1"/>
  <c r="BO226" i="7"/>
  <c r="BN226" i="7"/>
  <c r="BM226" i="7"/>
  <c r="BJ226" i="7"/>
  <c r="BT226" i="7" s="1"/>
  <c r="CE225" i="7"/>
  <c r="BX225" i="7"/>
  <c r="BW225" i="7"/>
  <c r="BV225" i="7"/>
  <c r="BU225" i="7"/>
  <c r="BR225" i="7"/>
  <c r="BO225" i="7"/>
  <c r="BN225" i="7"/>
  <c r="BM225" i="7"/>
  <c r="BJ225" i="7"/>
  <c r="BT225" i="7" s="1"/>
  <c r="CE224" i="7"/>
  <c r="BX224" i="7"/>
  <c r="BW224" i="7"/>
  <c r="BV224" i="7"/>
  <c r="BU224" i="7"/>
  <c r="BR224" i="7"/>
  <c r="CD224" i="7" s="1"/>
  <c r="BO224" i="7"/>
  <c r="BN224" i="7"/>
  <c r="BM224" i="7"/>
  <c r="BJ224" i="7"/>
  <c r="BT224" i="7" s="1"/>
  <c r="CE223" i="7"/>
  <c r="BX223" i="7"/>
  <c r="BW223" i="7"/>
  <c r="BV223" i="7"/>
  <c r="BU223" i="7"/>
  <c r="BR223" i="7"/>
  <c r="CB223" i="7" s="1"/>
  <c r="BO223" i="7"/>
  <c r="BN223" i="7"/>
  <c r="BM223" i="7"/>
  <c r="BJ223" i="7"/>
  <c r="BT223" i="7" s="1"/>
  <c r="CE222" i="7"/>
  <c r="BX222" i="7"/>
  <c r="BW222" i="7"/>
  <c r="BV222" i="7"/>
  <c r="BU222" i="7"/>
  <c r="BR222" i="7"/>
  <c r="CD222" i="7" s="1"/>
  <c r="BO222" i="7"/>
  <c r="BN222" i="7"/>
  <c r="BM222" i="7"/>
  <c r="BJ222" i="7"/>
  <c r="BT222" i="7" s="1"/>
  <c r="CE221" i="7"/>
  <c r="BX221" i="7"/>
  <c r="BW221" i="7"/>
  <c r="BV221" i="7"/>
  <c r="BU221" i="7"/>
  <c r="BR221" i="7"/>
  <c r="CA221" i="7" s="1"/>
  <c r="CF221" i="7" s="1"/>
  <c r="BO221" i="7"/>
  <c r="BN221" i="7"/>
  <c r="BM221" i="7"/>
  <c r="BJ221" i="7"/>
  <c r="BT221" i="7" s="1"/>
  <c r="CE220" i="7"/>
  <c r="BX220" i="7"/>
  <c r="BW220" i="7"/>
  <c r="BV220" i="7"/>
  <c r="BU220" i="7"/>
  <c r="BR220" i="7"/>
  <c r="CB220" i="7" s="1"/>
  <c r="BO220" i="7"/>
  <c r="BN220" i="7"/>
  <c r="BM220" i="7"/>
  <c r="BJ220" i="7"/>
  <c r="BT220" i="7" s="1"/>
  <c r="CE219" i="7"/>
  <c r="BX219" i="7"/>
  <c r="BW219" i="7"/>
  <c r="BV219" i="7"/>
  <c r="CS219" i="7" s="1"/>
  <c r="BU219" i="7"/>
  <c r="CR219" i="7" s="1"/>
  <c r="BR219" i="7"/>
  <c r="CD219" i="7" s="1"/>
  <c r="BO219" i="7"/>
  <c r="BN219" i="7"/>
  <c r="BM219" i="7"/>
  <c r="BJ219" i="7"/>
  <c r="BT219" i="7" s="1"/>
  <c r="CE218" i="7"/>
  <c r="BX218" i="7"/>
  <c r="BW218" i="7"/>
  <c r="BV218" i="7"/>
  <c r="BU218" i="7"/>
  <c r="BR218" i="7"/>
  <c r="CB218" i="7" s="1"/>
  <c r="BO218" i="7"/>
  <c r="BN218" i="7"/>
  <c r="BM218" i="7"/>
  <c r="BJ218" i="7"/>
  <c r="BT218" i="7" s="1"/>
  <c r="CE217" i="7"/>
  <c r="BX217" i="7"/>
  <c r="BW217" i="7"/>
  <c r="BV217" i="7"/>
  <c r="BU217" i="7"/>
  <c r="BR217" i="7"/>
  <c r="CD217" i="7" s="1"/>
  <c r="BO217" i="7"/>
  <c r="BN217" i="7"/>
  <c r="BM217" i="7"/>
  <c r="BJ217" i="7"/>
  <c r="BT217" i="7" s="1"/>
  <c r="CE216" i="7"/>
  <c r="BX216" i="7"/>
  <c r="BW216" i="7"/>
  <c r="BV216" i="7"/>
  <c r="BU216" i="7"/>
  <c r="BR216" i="7"/>
  <c r="CA216" i="7" s="1"/>
  <c r="CF216" i="7" s="1"/>
  <c r="BO216" i="7"/>
  <c r="BN216" i="7"/>
  <c r="BM216" i="7"/>
  <c r="BJ216" i="7"/>
  <c r="BT216" i="7" s="1"/>
  <c r="CE215" i="7"/>
  <c r="BX215" i="7"/>
  <c r="BW215" i="7"/>
  <c r="BV215" i="7"/>
  <c r="BU215" i="7"/>
  <c r="BO215" i="7"/>
  <c r="BN215" i="7"/>
  <c r="BM215" i="7"/>
  <c r="BJ215" i="7"/>
  <c r="BT215" i="7" s="1"/>
  <c r="CE214" i="7"/>
  <c r="BX214" i="7"/>
  <c r="BW214" i="7"/>
  <c r="BV214" i="7"/>
  <c r="BU214" i="7"/>
  <c r="BR214" i="7"/>
  <c r="CB214" i="7" s="1"/>
  <c r="BO214" i="7"/>
  <c r="BN214" i="7"/>
  <c r="BM214" i="7"/>
  <c r="BJ214" i="7"/>
  <c r="BT214" i="7" s="1"/>
  <c r="CE213" i="7"/>
  <c r="BX213" i="7"/>
  <c r="BW213" i="7"/>
  <c r="BV213" i="7"/>
  <c r="BU213" i="7"/>
  <c r="BR213" i="7"/>
  <c r="BO213" i="7"/>
  <c r="BN213" i="7"/>
  <c r="BM213" i="7"/>
  <c r="BJ213" i="7"/>
  <c r="BT213" i="7" s="1"/>
  <c r="CE212" i="7"/>
  <c r="BX212" i="7"/>
  <c r="BW212" i="7"/>
  <c r="BV212" i="7"/>
  <c r="BU212" i="7"/>
  <c r="BR212" i="7"/>
  <c r="CB212" i="7" s="1"/>
  <c r="BO212" i="7"/>
  <c r="BN212" i="7"/>
  <c r="BM212" i="7"/>
  <c r="BJ212" i="7"/>
  <c r="BT212" i="7" s="1"/>
  <c r="CE211" i="7"/>
  <c r="BX211" i="7"/>
  <c r="BW211" i="7"/>
  <c r="BV211" i="7"/>
  <c r="BU211" i="7"/>
  <c r="BR211" i="7"/>
  <c r="BO211" i="7"/>
  <c r="BN211" i="7"/>
  <c r="BM211" i="7"/>
  <c r="BJ211" i="7"/>
  <c r="BT211" i="7" s="1"/>
  <c r="CE210" i="7"/>
  <c r="BX210" i="7"/>
  <c r="BW210" i="7"/>
  <c r="BV210" i="7"/>
  <c r="BU210" i="7"/>
  <c r="BR210" i="7"/>
  <c r="CB210" i="7" s="1"/>
  <c r="BO210" i="7"/>
  <c r="BN210" i="7"/>
  <c r="BM210" i="7"/>
  <c r="BJ210" i="7"/>
  <c r="BT210" i="7" s="1"/>
  <c r="CE209" i="7"/>
  <c r="BX209" i="7"/>
  <c r="BW209" i="7"/>
  <c r="BV209" i="7"/>
  <c r="BU209" i="7"/>
  <c r="BR209" i="7"/>
  <c r="CD209" i="7" s="1"/>
  <c r="BO209" i="7"/>
  <c r="BN209" i="7"/>
  <c r="BM209" i="7"/>
  <c r="BJ209" i="7"/>
  <c r="BT209" i="7" s="1"/>
  <c r="CE208" i="7"/>
  <c r="BX208" i="7"/>
  <c r="BW208" i="7"/>
  <c r="BV208" i="7"/>
  <c r="BU208" i="7"/>
  <c r="BR208" i="7"/>
  <c r="CB208" i="7" s="1"/>
  <c r="BO208" i="7"/>
  <c r="BN208" i="7"/>
  <c r="BM208" i="7"/>
  <c r="BJ208" i="7"/>
  <c r="BT208" i="7" s="1"/>
  <c r="CE207" i="7"/>
  <c r="BX207" i="7"/>
  <c r="BW207" i="7"/>
  <c r="BV207" i="7"/>
  <c r="BU207" i="7"/>
  <c r="BR207" i="7"/>
  <c r="CB207" i="7" s="1"/>
  <c r="BO207" i="7"/>
  <c r="BN207" i="7"/>
  <c r="BM207" i="7"/>
  <c r="BJ207" i="7"/>
  <c r="BT207" i="7" s="1"/>
  <c r="CE206" i="7"/>
  <c r="BX206" i="7"/>
  <c r="BW206" i="7"/>
  <c r="BV206" i="7"/>
  <c r="BU206" i="7"/>
  <c r="BR206" i="7"/>
  <c r="CB206" i="7" s="1"/>
  <c r="BO206" i="7"/>
  <c r="BN206" i="7"/>
  <c r="BM206" i="7"/>
  <c r="BJ206" i="7"/>
  <c r="BT206" i="7" s="1"/>
  <c r="CE205" i="7"/>
  <c r="BX205" i="7"/>
  <c r="BW205" i="7"/>
  <c r="BV205" i="7"/>
  <c r="CS205" i="7" s="1"/>
  <c r="BU205" i="7"/>
  <c r="CR205" i="7" s="1"/>
  <c r="BR205" i="7"/>
  <c r="CA205" i="7" s="1"/>
  <c r="CF205" i="7" s="1"/>
  <c r="BO205" i="7"/>
  <c r="BN205" i="7"/>
  <c r="BM205" i="7"/>
  <c r="BJ205" i="7"/>
  <c r="BT205" i="7" s="1"/>
  <c r="CE204" i="7"/>
  <c r="BX204" i="7"/>
  <c r="BW204" i="7"/>
  <c r="BV204" i="7"/>
  <c r="BU204" i="7"/>
  <c r="BR204" i="7"/>
  <c r="CD204" i="7" s="1"/>
  <c r="BO204" i="7"/>
  <c r="BN204" i="7"/>
  <c r="BM204" i="7"/>
  <c r="BJ204" i="7"/>
  <c r="BT204" i="7" s="1"/>
  <c r="CE203" i="7"/>
  <c r="BX203" i="7"/>
  <c r="BW203" i="7"/>
  <c r="BV203" i="7"/>
  <c r="BU203" i="7"/>
  <c r="BR203" i="7"/>
  <c r="CA203" i="7" s="1"/>
  <c r="CF203" i="7" s="1"/>
  <c r="BO203" i="7"/>
  <c r="BN203" i="7"/>
  <c r="BM203" i="7"/>
  <c r="BJ203" i="7"/>
  <c r="BT203" i="7" s="1"/>
  <c r="CE202" i="7"/>
  <c r="BX202" i="7"/>
  <c r="BW202" i="7"/>
  <c r="BV202" i="7"/>
  <c r="BU202" i="7"/>
  <c r="BR202" i="7"/>
  <c r="CB202" i="7" s="1"/>
  <c r="BO202" i="7"/>
  <c r="BN202" i="7"/>
  <c r="BM202" i="7"/>
  <c r="BJ202" i="7"/>
  <c r="BT202" i="7" s="1"/>
  <c r="CE201" i="7"/>
  <c r="BX201" i="7"/>
  <c r="BW201" i="7"/>
  <c r="BV201" i="7"/>
  <c r="CS201" i="7" s="1"/>
  <c r="BU201" i="7"/>
  <c r="CR201" i="7" s="1"/>
  <c r="CD201" i="7"/>
  <c r="BO201" i="7"/>
  <c r="BN201" i="7"/>
  <c r="BM201" i="7"/>
  <c r="BJ201" i="7"/>
  <c r="BT201" i="7" s="1"/>
  <c r="CE200" i="7"/>
  <c r="BX200" i="7"/>
  <c r="BW200" i="7"/>
  <c r="BV200" i="7"/>
  <c r="BU200" i="7"/>
  <c r="BR200" i="7"/>
  <c r="CB200" i="7" s="1"/>
  <c r="BO200" i="7"/>
  <c r="BN200" i="7"/>
  <c r="BM200" i="7"/>
  <c r="BJ200" i="7"/>
  <c r="BT200" i="7" s="1"/>
  <c r="CE199" i="7"/>
  <c r="BX199" i="7"/>
  <c r="BW199" i="7"/>
  <c r="BV199" i="7"/>
  <c r="BU199" i="7"/>
  <c r="BR199" i="7"/>
  <c r="CD199" i="7" s="1"/>
  <c r="BO199" i="7"/>
  <c r="BN199" i="7"/>
  <c r="BM199" i="7"/>
  <c r="BJ199" i="7"/>
  <c r="BT199" i="7" s="1"/>
  <c r="CE198" i="7"/>
  <c r="BX198" i="7"/>
  <c r="BW198" i="7"/>
  <c r="BV198" i="7"/>
  <c r="BU198" i="7"/>
  <c r="BR198" i="7"/>
  <c r="CA198" i="7" s="1"/>
  <c r="CF198" i="7" s="1"/>
  <c r="BO198" i="7"/>
  <c r="BN198" i="7"/>
  <c r="BM198" i="7"/>
  <c r="BJ198" i="7"/>
  <c r="BT198" i="7" s="1"/>
  <c r="CE197" i="7"/>
  <c r="BX197" i="7"/>
  <c r="BW197" i="7"/>
  <c r="BV197" i="7"/>
  <c r="BU197" i="7"/>
  <c r="BO197" i="7"/>
  <c r="BN197" i="7"/>
  <c r="BM197" i="7"/>
  <c r="BJ197" i="7"/>
  <c r="BT197" i="7" s="1"/>
  <c r="CE196" i="7"/>
  <c r="BX196" i="7"/>
  <c r="BW196" i="7"/>
  <c r="BV196" i="7"/>
  <c r="BU196" i="7"/>
  <c r="BR196" i="7"/>
  <c r="CB196" i="7" s="1"/>
  <c r="BO196" i="7"/>
  <c r="BN196" i="7"/>
  <c r="BM196" i="7"/>
  <c r="BJ196" i="7"/>
  <c r="BT196" i="7" s="1"/>
  <c r="CE195" i="7"/>
  <c r="BX195" i="7"/>
  <c r="BW195" i="7"/>
  <c r="BV195" i="7"/>
  <c r="BU195" i="7"/>
  <c r="BR195" i="7"/>
  <c r="BO195" i="7"/>
  <c r="BN195" i="7"/>
  <c r="BM195" i="7"/>
  <c r="BJ195" i="7"/>
  <c r="BT195" i="7" s="1"/>
  <c r="CE194" i="7"/>
  <c r="BX194" i="7"/>
  <c r="BW194" i="7"/>
  <c r="BV194" i="7"/>
  <c r="BU194" i="7"/>
  <c r="BR194" i="7"/>
  <c r="CB194" i="7" s="1"/>
  <c r="BO194" i="7"/>
  <c r="BN194" i="7"/>
  <c r="BM194" i="7"/>
  <c r="BJ194" i="7"/>
  <c r="BT194" i="7" s="1"/>
  <c r="CE193" i="7"/>
  <c r="BX193" i="7"/>
  <c r="BW193" i="7"/>
  <c r="BV193" i="7"/>
  <c r="BU193" i="7"/>
  <c r="BR193" i="7"/>
  <c r="BO193" i="7"/>
  <c r="BN193" i="7"/>
  <c r="BM193" i="7"/>
  <c r="BJ193" i="7"/>
  <c r="BT193" i="7" s="1"/>
  <c r="CE192" i="7"/>
  <c r="BX192" i="7"/>
  <c r="BW192" i="7"/>
  <c r="BV192" i="7"/>
  <c r="BU192" i="7"/>
  <c r="BR192" i="7"/>
  <c r="BO192" i="7"/>
  <c r="BN192" i="7"/>
  <c r="BM192" i="7"/>
  <c r="BJ192" i="7"/>
  <c r="BT192" i="7" s="1"/>
  <c r="CE191" i="7"/>
  <c r="BX191" i="7"/>
  <c r="BW191" i="7"/>
  <c r="BV191" i="7"/>
  <c r="BU191" i="7"/>
  <c r="BR191" i="7"/>
  <c r="CD191" i="7" s="1"/>
  <c r="BO191" i="7"/>
  <c r="BN191" i="7"/>
  <c r="BM191" i="7"/>
  <c r="BJ191" i="7"/>
  <c r="BT191" i="7" s="1"/>
  <c r="CE190" i="7"/>
  <c r="BX190" i="7"/>
  <c r="BW190" i="7"/>
  <c r="BV190" i="7"/>
  <c r="BU190" i="7"/>
  <c r="BR190" i="7"/>
  <c r="CB190" i="7" s="1"/>
  <c r="BO190" i="7"/>
  <c r="BN190" i="7"/>
  <c r="BM190" i="7"/>
  <c r="BY190" i="7" s="1"/>
  <c r="BJ190" i="7"/>
  <c r="BT190" i="7" s="1"/>
  <c r="CE189" i="7"/>
  <c r="BX189" i="7"/>
  <c r="BW189" i="7"/>
  <c r="BV189" i="7"/>
  <c r="BU189" i="7"/>
  <c r="BR189" i="7"/>
  <c r="CB189" i="7" s="1"/>
  <c r="BO189" i="7"/>
  <c r="BN189" i="7"/>
  <c r="BM189" i="7"/>
  <c r="BY189" i="7" s="1"/>
  <c r="BJ189" i="7"/>
  <c r="BT189" i="7" s="1"/>
  <c r="CE188" i="7"/>
  <c r="BX188" i="7"/>
  <c r="BW188" i="7"/>
  <c r="BV188" i="7"/>
  <c r="BU188" i="7"/>
  <c r="BR188" i="7"/>
  <c r="CB188" i="7" s="1"/>
  <c r="BO188" i="7"/>
  <c r="BN188" i="7"/>
  <c r="BM188" i="7"/>
  <c r="BY188" i="7" s="1"/>
  <c r="BJ188" i="7"/>
  <c r="BT188" i="7" s="1"/>
  <c r="CE187" i="7"/>
  <c r="BX187" i="7"/>
  <c r="BW187" i="7"/>
  <c r="BV187" i="7"/>
  <c r="BU187" i="7"/>
  <c r="BR187" i="7"/>
  <c r="CB187" i="7" s="1"/>
  <c r="BO187" i="7"/>
  <c r="BN187" i="7"/>
  <c r="BM187" i="7"/>
  <c r="BY187" i="7" s="1"/>
  <c r="BJ187" i="7"/>
  <c r="BT187" i="7" s="1"/>
  <c r="CE186" i="7"/>
  <c r="BX186" i="7"/>
  <c r="BW186" i="7"/>
  <c r="BV186" i="7"/>
  <c r="BU186" i="7"/>
  <c r="BR186" i="7"/>
  <c r="CB186" i="7" s="1"/>
  <c r="BO186" i="7"/>
  <c r="BN186" i="7"/>
  <c r="BM186" i="7"/>
  <c r="BY186" i="7" s="1"/>
  <c r="BJ186" i="7"/>
  <c r="BT186" i="7" s="1"/>
  <c r="CE185" i="7"/>
  <c r="BX185" i="7"/>
  <c r="BW185" i="7"/>
  <c r="BV185" i="7"/>
  <c r="BU185" i="7"/>
  <c r="BR185" i="7"/>
  <c r="CB185" i="7" s="1"/>
  <c r="BO185" i="7"/>
  <c r="BN185" i="7"/>
  <c r="BM185" i="7"/>
  <c r="BP185" i="7" s="1"/>
  <c r="BQ185" i="7" s="1"/>
  <c r="BJ185" i="7"/>
  <c r="BT185" i="7" s="1"/>
  <c r="CE184" i="7"/>
  <c r="BX184" i="7"/>
  <c r="BW184" i="7"/>
  <c r="BV184" i="7"/>
  <c r="BU184" i="7"/>
  <c r="BR184" i="7"/>
  <c r="CB184" i="7" s="1"/>
  <c r="BO184" i="7"/>
  <c r="BN184" i="7"/>
  <c r="BM184" i="7"/>
  <c r="BY184" i="7" s="1"/>
  <c r="BJ184" i="7"/>
  <c r="BT184" i="7" s="1"/>
  <c r="CE183" i="7"/>
  <c r="BX183" i="7"/>
  <c r="BW183" i="7"/>
  <c r="BV183" i="7"/>
  <c r="BU183" i="7"/>
  <c r="BR183" i="7"/>
  <c r="CB183" i="7" s="1"/>
  <c r="BO183" i="7"/>
  <c r="BN183" i="7"/>
  <c r="BM183" i="7"/>
  <c r="BY183" i="7" s="1"/>
  <c r="BJ183" i="7"/>
  <c r="BT183" i="7" s="1"/>
  <c r="CE182" i="7"/>
  <c r="BX182" i="7"/>
  <c r="BW182" i="7"/>
  <c r="BV182" i="7"/>
  <c r="BU182" i="7"/>
  <c r="BR182" i="7"/>
  <c r="CB182" i="7" s="1"/>
  <c r="BO182" i="7"/>
  <c r="BN182" i="7"/>
  <c r="BM182" i="7"/>
  <c r="BY182" i="7" s="1"/>
  <c r="BJ182" i="7"/>
  <c r="BT182" i="7" s="1"/>
  <c r="CE181" i="7"/>
  <c r="BX181" i="7"/>
  <c r="BW181" i="7"/>
  <c r="BV181" i="7"/>
  <c r="BU181" i="7"/>
  <c r="BR181" i="7"/>
  <c r="CB181" i="7" s="1"/>
  <c r="BO181" i="7"/>
  <c r="BN181" i="7"/>
  <c r="BM181" i="7"/>
  <c r="BP181" i="7" s="1"/>
  <c r="BQ181" i="7" s="1"/>
  <c r="BJ181" i="7"/>
  <c r="BT181" i="7" s="1"/>
  <c r="CE180" i="7"/>
  <c r="BX180" i="7"/>
  <c r="BW180" i="7"/>
  <c r="BV180" i="7"/>
  <c r="BU180" i="7"/>
  <c r="BR180" i="7"/>
  <c r="CB180" i="7" s="1"/>
  <c r="BO180" i="7"/>
  <c r="BN180" i="7"/>
  <c r="BM180" i="7"/>
  <c r="BY180" i="7" s="1"/>
  <c r="BJ180" i="7"/>
  <c r="BT180" i="7" s="1"/>
  <c r="CE179" i="7"/>
  <c r="BX179" i="7"/>
  <c r="BW179" i="7"/>
  <c r="BV179" i="7"/>
  <c r="BU179" i="7"/>
  <c r="BR179" i="7"/>
  <c r="CB179" i="7" s="1"/>
  <c r="BO179" i="7"/>
  <c r="BN179" i="7"/>
  <c r="BM179" i="7"/>
  <c r="BP179" i="7" s="1"/>
  <c r="BQ179" i="7" s="1"/>
  <c r="BJ179" i="7"/>
  <c r="BT179" i="7" s="1"/>
  <c r="CE178" i="7"/>
  <c r="BX178" i="7"/>
  <c r="BW178" i="7"/>
  <c r="BV178" i="7"/>
  <c r="BU178" i="7"/>
  <c r="BR178" i="7"/>
  <c r="CB178" i="7" s="1"/>
  <c r="BO178" i="7"/>
  <c r="BN178" i="7"/>
  <c r="BM178" i="7"/>
  <c r="BY178" i="7" s="1"/>
  <c r="BJ178" i="7"/>
  <c r="BT178" i="7" s="1"/>
  <c r="CE177" i="7"/>
  <c r="BX177" i="7"/>
  <c r="BW177" i="7"/>
  <c r="BV177" i="7"/>
  <c r="BU177" i="7"/>
  <c r="BR177" i="7"/>
  <c r="CB177" i="7" s="1"/>
  <c r="BO177" i="7"/>
  <c r="BN177" i="7"/>
  <c r="BM177" i="7"/>
  <c r="BP177" i="7" s="1"/>
  <c r="BQ177" i="7" s="1"/>
  <c r="BJ177" i="7"/>
  <c r="BT177" i="7" s="1"/>
  <c r="CE176" i="7"/>
  <c r="BX176" i="7"/>
  <c r="BW176" i="7"/>
  <c r="BV176" i="7"/>
  <c r="BU176" i="7"/>
  <c r="BR176" i="7"/>
  <c r="CB176" i="7" s="1"/>
  <c r="BO176" i="7"/>
  <c r="BN176" i="7"/>
  <c r="BM176" i="7"/>
  <c r="BP176" i="7" s="1"/>
  <c r="BQ176" i="7" s="1"/>
  <c r="BJ176" i="7"/>
  <c r="BT176" i="7" s="1"/>
  <c r="CE175" i="7"/>
  <c r="BX175" i="7"/>
  <c r="BW175" i="7"/>
  <c r="BV175" i="7"/>
  <c r="BU175" i="7"/>
  <c r="BR175" i="7"/>
  <c r="CB175" i="7" s="1"/>
  <c r="BO175" i="7"/>
  <c r="BN175" i="7"/>
  <c r="BM175" i="7"/>
  <c r="BP175" i="7" s="1"/>
  <c r="BQ175" i="7" s="1"/>
  <c r="BJ175" i="7"/>
  <c r="BT175" i="7" s="1"/>
  <c r="CE174" i="7"/>
  <c r="BX174" i="7"/>
  <c r="BW174" i="7"/>
  <c r="BV174" i="7"/>
  <c r="BU174" i="7"/>
  <c r="BR174" i="7"/>
  <c r="CB174" i="7" s="1"/>
  <c r="BO174" i="7"/>
  <c r="BN174" i="7"/>
  <c r="BM174" i="7"/>
  <c r="BP174" i="7" s="1"/>
  <c r="BQ174" i="7" s="1"/>
  <c r="BJ174" i="7"/>
  <c r="BT174" i="7" s="1"/>
  <c r="CE173" i="7"/>
  <c r="BX173" i="7"/>
  <c r="BW173" i="7"/>
  <c r="BV173" i="7"/>
  <c r="BU173" i="7"/>
  <c r="BR173" i="7"/>
  <c r="CB173" i="7" s="1"/>
  <c r="BO173" i="7"/>
  <c r="BN173" i="7"/>
  <c r="BM173" i="7"/>
  <c r="BP173" i="7" s="1"/>
  <c r="BQ173" i="7" s="1"/>
  <c r="BJ173" i="7"/>
  <c r="BT173" i="7" s="1"/>
  <c r="CE172" i="7"/>
  <c r="BX172" i="7"/>
  <c r="BW172" i="7"/>
  <c r="BV172" i="7"/>
  <c r="BU172" i="7"/>
  <c r="BR172" i="7"/>
  <c r="CB172" i="7" s="1"/>
  <c r="BO172" i="7"/>
  <c r="BN172" i="7"/>
  <c r="BM172" i="7"/>
  <c r="BP172" i="7" s="1"/>
  <c r="BQ172" i="7" s="1"/>
  <c r="BJ172" i="7"/>
  <c r="BT172" i="7" s="1"/>
  <c r="CE171" i="7"/>
  <c r="BX171" i="7"/>
  <c r="BW171" i="7"/>
  <c r="BV171" i="7"/>
  <c r="BU171" i="7"/>
  <c r="BR171" i="7"/>
  <c r="CB171" i="7" s="1"/>
  <c r="BO171" i="7"/>
  <c r="BN171" i="7"/>
  <c r="BM171" i="7"/>
  <c r="BP171" i="7" s="1"/>
  <c r="BQ171" i="7" s="1"/>
  <c r="BJ171" i="7"/>
  <c r="BT171" i="7" s="1"/>
  <c r="CE170" i="7"/>
  <c r="BX170" i="7"/>
  <c r="BW170" i="7"/>
  <c r="BV170" i="7"/>
  <c r="BU170" i="7"/>
  <c r="BR170" i="7"/>
  <c r="CB170" i="7" s="1"/>
  <c r="BO170" i="7"/>
  <c r="BN170" i="7"/>
  <c r="BM170" i="7"/>
  <c r="BP170" i="7" s="1"/>
  <c r="BQ170" i="7" s="1"/>
  <c r="BJ170" i="7"/>
  <c r="BT170" i="7" s="1"/>
  <c r="CE169" i="7"/>
  <c r="BX169" i="7"/>
  <c r="BW169" i="7"/>
  <c r="BV169" i="7"/>
  <c r="BU169" i="7"/>
  <c r="BR169" i="7"/>
  <c r="CB169" i="7" s="1"/>
  <c r="BO169" i="7"/>
  <c r="BN169" i="7"/>
  <c r="BM169" i="7"/>
  <c r="BP169" i="7" s="1"/>
  <c r="BQ169" i="7" s="1"/>
  <c r="BJ169" i="7"/>
  <c r="BT169" i="7" s="1"/>
  <c r="CE168" i="7"/>
  <c r="BX168" i="7"/>
  <c r="BW168" i="7"/>
  <c r="BV168" i="7"/>
  <c r="BU168" i="7"/>
  <c r="BR168" i="7"/>
  <c r="CB168" i="7" s="1"/>
  <c r="BO168" i="7"/>
  <c r="BN168" i="7"/>
  <c r="BM168" i="7"/>
  <c r="BP168" i="7" s="1"/>
  <c r="BQ168" i="7" s="1"/>
  <c r="BJ168" i="7"/>
  <c r="BT168" i="7" s="1"/>
  <c r="CE167" i="7"/>
  <c r="BX167" i="7"/>
  <c r="BW167" i="7"/>
  <c r="BV167" i="7"/>
  <c r="BU167" i="7"/>
  <c r="BR167" i="7"/>
  <c r="CB167" i="7" s="1"/>
  <c r="BO167" i="7"/>
  <c r="BN167" i="7"/>
  <c r="BM167" i="7"/>
  <c r="BP167" i="7" s="1"/>
  <c r="BQ167" i="7" s="1"/>
  <c r="BJ167" i="7"/>
  <c r="BT167" i="7" s="1"/>
  <c r="CE166" i="7"/>
  <c r="BX166" i="7"/>
  <c r="BW166" i="7"/>
  <c r="BV166" i="7"/>
  <c r="BU166" i="7"/>
  <c r="BR166" i="7"/>
  <c r="CB166" i="7" s="1"/>
  <c r="BO166" i="7"/>
  <c r="BN166" i="7"/>
  <c r="BM166" i="7"/>
  <c r="BP166" i="7" s="1"/>
  <c r="BQ166" i="7" s="1"/>
  <c r="BJ166" i="7"/>
  <c r="BT166" i="7" s="1"/>
  <c r="CE165" i="7"/>
  <c r="BX165" i="7"/>
  <c r="BW165" i="7"/>
  <c r="BV165" i="7"/>
  <c r="BU165" i="7"/>
  <c r="BR165" i="7"/>
  <c r="CB165" i="7" s="1"/>
  <c r="BO165" i="7"/>
  <c r="BN165" i="7"/>
  <c r="BM165" i="7"/>
  <c r="BP165" i="7" s="1"/>
  <c r="BQ165" i="7" s="1"/>
  <c r="BJ165" i="7"/>
  <c r="BT165" i="7" s="1"/>
  <c r="CE164" i="7"/>
  <c r="BX164" i="7"/>
  <c r="BW164" i="7"/>
  <c r="BV164" i="7"/>
  <c r="BU164" i="7"/>
  <c r="BR164" i="7"/>
  <c r="CB164" i="7" s="1"/>
  <c r="BO164" i="7"/>
  <c r="BN164" i="7"/>
  <c r="BM164" i="7"/>
  <c r="BP164" i="7" s="1"/>
  <c r="BQ164" i="7" s="1"/>
  <c r="BJ164" i="7"/>
  <c r="BT164" i="7" s="1"/>
  <c r="CE163" i="7"/>
  <c r="BX163" i="7"/>
  <c r="BW163" i="7"/>
  <c r="BV163" i="7"/>
  <c r="BU163" i="7"/>
  <c r="BR163" i="7"/>
  <c r="CB163" i="7" s="1"/>
  <c r="BO163" i="7"/>
  <c r="BN163" i="7"/>
  <c r="BM163" i="7"/>
  <c r="BP163" i="7" s="1"/>
  <c r="BQ163" i="7" s="1"/>
  <c r="BJ163" i="7"/>
  <c r="BT163" i="7" s="1"/>
  <c r="CE162" i="7"/>
  <c r="BX162" i="7"/>
  <c r="BW162" i="7"/>
  <c r="BV162" i="7"/>
  <c r="BU162" i="7"/>
  <c r="BR162" i="7"/>
  <c r="CB162" i="7" s="1"/>
  <c r="BO162" i="7"/>
  <c r="BN162" i="7"/>
  <c r="BM162" i="7"/>
  <c r="BP162" i="7" s="1"/>
  <c r="BQ162" i="7" s="1"/>
  <c r="BJ162" i="7"/>
  <c r="BT162" i="7" s="1"/>
  <c r="CE161" i="7"/>
  <c r="BX161" i="7"/>
  <c r="BW161" i="7"/>
  <c r="BV161" i="7"/>
  <c r="BU161" i="7"/>
  <c r="BR161" i="7"/>
  <c r="CB161" i="7" s="1"/>
  <c r="BO161" i="7"/>
  <c r="BN161" i="7"/>
  <c r="BM161" i="7"/>
  <c r="BP161" i="7" s="1"/>
  <c r="BQ161" i="7" s="1"/>
  <c r="BJ161" i="7"/>
  <c r="BT161" i="7" s="1"/>
  <c r="CE160" i="7"/>
  <c r="BX160" i="7"/>
  <c r="BW160" i="7"/>
  <c r="BV160" i="7"/>
  <c r="BU160" i="7"/>
  <c r="BR160" i="7"/>
  <c r="CB160" i="7" s="1"/>
  <c r="BO160" i="7"/>
  <c r="BN160" i="7"/>
  <c r="BM160" i="7"/>
  <c r="BP160" i="7" s="1"/>
  <c r="BQ160" i="7" s="1"/>
  <c r="BJ160" i="7"/>
  <c r="BT160" i="7" s="1"/>
  <c r="CE159" i="7"/>
  <c r="BX159" i="7"/>
  <c r="BW159" i="7"/>
  <c r="BV159" i="7"/>
  <c r="BU159" i="7"/>
  <c r="BR159" i="7"/>
  <c r="CB159" i="7" s="1"/>
  <c r="BO159" i="7"/>
  <c r="BN159" i="7"/>
  <c r="BM159" i="7"/>
  <c r="BY159" i="7" s="1"/>
  <c r="BJ159" i="7"/>
  <c r="BT159" i="7" s="1"/>
  <c r="CE158" i="7"/>
  <c r="BX158" i="7"/>
  <c r="BW158" i="7"/>
  <c r="BV158" i="7"/>
  <c r="BU158" i="7"/>
  <c r="BR158" i="7"/>
  <c r="CB158" i="7" s="1"/>
  <c r="BO158" i="7"/>
  <c r="BN158" i="7"/>
  <c r="BM158" i="7"/>
  <c r="BP158" i="7" s="1"/>
  <c r="BQ158" i="7" s="1"/>
  <c r="BJ158" i="7"/>
  <c r="BT158" i="7" s="1"/>
  <c r="CE157" i="7"/>
  <c r="BX157" i="7"/>
  <c r="BW157" i="7"/>
  <c r="BV157" i="7"/>
  <c r="BU157" i="7"/>
  <c r="BR157" i="7"/>
  <c r="CB157" i="7" s="1"/>
  <c r="BO157" i="7"/>
  <c r="BN157" i="7"/>
  <c r="BM157" i="7"/>
  <c r="BJ157" i="7"/>
  <c r="BT157" i="7" s="1"/>
  <c r="CE156" i="7"/>
  <c r="BX156" i="7"/>
  <c r="BW156" i="7"/>
  <c r="BV156" i="7"/>
  <c r="BU156" i="7"/>
  <c r="BR156" i="7"/>
  <c r="CB156" i="7" s="1"/>
  <c r="BO156" i="7"/>
  <c r="BN156" i="7"/>
  <c r="BM156" i="7"/>
  <c r="BP156" i="7" s="1"/>
  <c r="BQ156" i="7" s="1"/>
  <c r="BJ156" i="7"/>
  <c r="BT156" i="7" s="1"/>
  <c r="CE155" i="7"/>
  <c r="BX155" i="7"/>
  <c r="BW155" i="7"/>
  <c r="BV155" i="7"/>
  <c r="BU155" i="7"/>
  <c r="BR155" i="7"/>
  <c r="CB155" i="7" s="1"/>
  <c r="BO155" i="7"/>
  <c r="BN155" i="7"/>
  <c r="BM155" i="7"/>
  <c r="BJ155" i="7"/>
  <c r="BT155" i="7" s="1"/>
  <c r="CE154" i="7"/>
  <c r="BX154" i="7"/>
  <c r="BW154" i="7"/>
  <c r="BV154" i="7"/>
  <c r="BU154" i="7"/>
  <c r="BR154" i="7"/>
  <c r="CB154" i="7" s="1"/>
  <c r="BO154" i="7"/>
  <c r="BN154" i="7"/>
  <c r="BM154" i="7"/>
  <c r="BP154" i="7" s="1"/>
  <c r="BQ154" i="7" s="1"/>
  <c r="BJ154" i="7"/>
  <c r="BT154" i="7" s="1"/>
  <c r="CE153" i="7"/>
  <c r="BX153" i="7"/>
  <c r="BW153" i="7"/>
  <c r="BV153" i="7"/>
  <c r="BU153" i="7"/>
  <c r="BR153" i="7"/>
  <c r="CB153" i="7" s="1"/>
  <c r="BO153" i="7"/>
  <c r="BN153" i="7"/>
  <c r="BM153" i="7"/>
  <c r="BJ153" i="7"/>
  <c r="BT153" i="7" s="1"/>
  <c r="CE152" i="7"/>
  <c r="BX152" i="7"/>
  <c r="BW152" i="7"/>
  <c r="BV152" i="7"/>
  <c r="BU152" i="7"/>
  <c r="BR152" i="7"/>
  <c r="CB152" i="7" s="1"/>
  <c r="BO152" i="7"/>
  <c r="BN152" i="7"/>
  <c r="BM152" i="7"/>
  <c r="BP152" i="7" s="1"/>
  <c r="BQ152" i="7" s="1"/>
  <c r="BJ152" i="7"/>
  <c r="BT152" i="7" s="1"/>
  <c r="CE151" i="7"/>
  <c r="BX151" i="7"/>
  <c r="BW151" i="7"/>
  <c r="BV151" i="7"/>
  <c r="BU151" i="7"/>
  <c r="BR151" i="7"/>
  <c r="CB151" i="7" s="1"/>
  <c r="BO151" i="7"/>
  <c r="BN151" i="7"/>
  <c r="BM151" i="7"/>
  <c r="BJ151" i="7"/>
  <c r="BT151" i="7" s="1"/>
  <c r="CE150" i="7"/>
  <c r="BX150" i="7"/>
  <c r="BW150" i="7"/>
  <c r="BV150" i="7"/>
  <c r="BU150" i="7"/>
  <c r="BR150" i="7"/>
  <c r="CB150" i="7" s="1"/>
  <c r="BO150" i="7"/>
  <c r="BN150" i="7"/>
  <c r="BM150" i="7"/>
  <c r="BP150" i="7" s="1"/>
  <c r="BQ150" i="7" s="1"/>
  <c r="BJ150" i="7"/>
  <c r="BT150" i="7" s="1"/>
  <c r="CE149" i="7"/>
  <c r="BX149" i="7"/>
  <c r="BW149" i="7"/>
  <c r="BV149" i="7"/>
  <c r="BU149" i="7"/>
  <c r="BR149" i="7"/>
  <c r="CB149" i="7" s="1"/>
  <c r="BO149" i="7"/>
  <c r="BN149" i="7"/>
  <c r="BM149" i="7"/>
  <c r="BP149" i="7" s="1"/>
  <c r="BQ149" i="7" s="1"/>
  <c r="BJ149" i="7"/>
  <c r="BT149" i="7" s="1"/>
  <c r="CE148" i="7"/>
  <c r="BX148" i="7"/>
  <c r="BW148" i="7"/>
  <c r="BV148" i="7"/>
  <c r="BU148" i="7"/>
  <c r="BR148" i="7"/>
  <c r="CB148" i="7" s="1"/>
  <c r="BO148" i="7"/>
  <c r="BN148" i="7"/>
  <c r="BM148" i="7"/>
  <c r="BP148" i="7" s="1"/>
  <c r="BQ148" i="7" s="1"/>
  <c r="BJ148" i="7"/>
  <c r="BT148" i="7" s="1"/>
  <c r="CE147" i="7"/>
  <c r="BX147" i="7"/>
  <c r="BW147" i="7"/>
  <c r="BV147" i="7"/>
  <c r="BU147" i="7"/>
  <c r="BR147" i="7"/>
  <c r="CB147" i="7" s="1"/>
  <c r="BO147" i="7"/>
  <c r="BN147" i="7"/>
  <c r="BM147" i="7"/>
  <c r="BP147" i="7" s="1"/>
  <c r="BQ147" i="7" s="1"/>
  <c r="BJ147" i="7"/>
  <c r="BT147" i="7" s="1"/>
  <c r="CE146" i="7"/>
  <c r="BX146" i="7"/>
  <c r="BW146" i="7"/>
  <c r="BV146" i="7"/>
  <c r="BU146" i="7"/>
  <c r="BR146" i="7"/>
  <c r="CB146" i="7" s="1"/>
  <c r="BO146" i="7"/>
  <c r="BN146" i="7"/>
  <c r="BM146" i="7"/>
  <c r="BP146" i="7" s="1"/>
  <c r="BQ146" i="7" s="1"/>
  <c r="BJ146" i="7"/>
  <c r="BT146" i="7" s="1"/>
  <c r="CE145" i="7"/>
  <c r="BX145" i="7"/>
  <c r="BW145" i="7"/>
  <c r="BV145" i="7"/>
  <c r="BU145" i="7"/>
  <c r="BR145" i="7"/>
  <c r="CB145" i="7" s="1"/>
  <c r="BO145" i="7"/>
  <c r="BN145" i="7"/>
  <c r="BM145" i="7"/>
  <c r="BP145" i="7" s="1"/>
  <c r="BQ145" i="7" s="1"/>
  <c r="BJ145" i="7"/>
  <c r="BT145" i="7" s="1"/>
  <c r="CE144" i="7"/>
  <c r="BX144" i="7"/>
  <c r="BW144" i="7"/>
  <c r="BV144" i="7"/>
  <c r="BU144" i="7"/>
  <c r="BR144" i="7"/>
  <c r="CB144" i="7" s="1"/>
  <c r="BO144" i="7"/>
  <c r="BN144" i="7"/>
  <c r="BM144" i="7"/>
  <c r="BP144" i="7" s="1"/>
  <c r="BQ144" i="7" s="1"/>
  <c r="BJ144" i="7"/>
  <c r="BT144" i="7" s="1"/>
  <c r="CE143" i="7"/>
  <c r="BX143" i="7"/>
  <c r="BW143" i="7"/>
  <c r="BV143" i="7"/>
  <c r="BU143" i="7"/>
  <c r="BR143" i="7"/>
  <c r="CB143" i="7" s="1"/>
  <c r="BO143" i="7"/>
  <c r="BN143" i="7"/>
  <c r="BM143" i="7"/>
  <c r="BP143" i="7" s="1"/>
  <c r="BQ143" i="7" s="1"/>
  <c r="BJ143" i="7"/>
  <c r="BT143" i="7" s="1"/>
  <c r="CE142" i="7"/>
  <c r="BX142" i="7"/>
  <c r="BW142" i="7"/>
  <c r="BV142" i="7"/>
  <c r="BU142" i="7"/>
  <c r="BR142" i="7"/>
  <c r="CB142" i="7" s="1"/>
  <c r="BO142" i="7"/>
  <c r="BN142" i="7"/>
  <c r="BM142" i="7"/>
  <c r="BP142" i="7" s="1"/>
  <c r="BQ142" i="7" s="1"/>
  <c r="BJ142" i="7"/>
  <c r="BT142" i="7" s="1"/>
  <c r="CE141" i="7"/>
  <c r="BX141" i="7"/>
  <c r="BW141" i="7"/>
  <c r="BV141" i="7"/>
  <c r="BU141" i="7"/>
  <c r="BR141" i="7"/>
  <c r="CB141" i="7" s="1"/>
  <c r="BO141" i="7"/>
  <c r="BN141" i="7"/>
  <c r="BM141" i="7"/>
  <c r="BP141" i="7" s="1"/>
  <c r="BQ141" i="7" s="1"/>
  <c r="BJ141" i="7"/>
  <c r="BT141" i="7" s="1"/>
  <c r="CE140" i="7"/>
  <c r="BX140" i="7"/>
  <c r="BW140" i="7"/>
  <c r="BV140" i="7"/>
  <c r="BU140" i="7"/>
  <c r="BR140" i="7"/>
  <c r="CB140" i="7" s="1"/>
  <c r="BO140" i="7"/>
  <c r="BN140" i="7"/>
  <c r="BM140" i="7"/>
  <c r="BP140" i="7" s="1"/>
  <c r="BQ140" i="7" s="1"/>
  <c r="BJ140" i="7"/>
  <c r="BT140" i="7" s="1"/>
  <c r="CE139" i="7"/>
  <c r="BX139" i="7"/>
  <c r="BW139" i="7"/>
  <c r="BV139" i="7"/>
  <c r="BU139" i="7"/>
  <c r="BR139" i="7"/>
  <c r="CB139" i="7" s="1"/>
  <c r="BO139" i="7"/>
  <c r="BN139" i="7"/>
  <c r="BM139" i="7"/>
  <c r="BP139" i="7" s="1"/>
  <c r="BQ139" i="7" s="1"/>
  <c r="BJ139" i="7"/>
  <c r="BT139" i="7" s="1"/>
  <c r="CE138" i="7"/>
  <c r="BX138" i="7"/>
  <c r="BW138" i="7"/>
  <c r="BV138" i="7"/>
  <c r="BU138" i="7"/>
  <c r="BR138" i="7"/>
  <c r="CB138" i="7" s="1"/>
  <c r="BO138" i="7"/>
  <c r="BN138" i="7"/>
  <c r="BM138" i="7"/>
  <c r="BP138" i="7" s="1"/>
  <c r="BQ138" i="7" s="1"/>
  <c r="BJ138" i="7"/>
  <c r="BT138" i="7" s="1"/>
  <c r="CE137" i="7"/>
  <c r="BX137" i="7"/>
  <c r="BW137" i="7"/>
  <c r="BV137" i="7"/>
  <c r="BU137" i="7"/>
  <c r="BR137" i="7"/>
  <c r="CB137" i="7" s="1"/>
  <c r="BO137" i="7"/>
  <c r="BN137" i="7"/>
  <c r="BM137" i="7"/>
  <c r="BP137" i="7" s="1"/>
  <c r="BQ137" i="7" s="1"/>
  <c r="BJ137" i="7"/>
  <c r="BT137" i="7" s="1"/>
  <c r="CE136" i="7"/>
  <c r="BX136" i="7"/>
  <c r="BW136" i="7"/>
  <c r="BV136" i="7"/>
  <c r="BU136" i="7"/>
  <c r="BR136" i="7"/>
  <c r="CB136" i="7" s="1"/>
  <c r="BO136" i="7"/>
  <c r="BN136" i="7"/>
  <c r="BM136" i="7"/>
  <c r="BP136" i="7" s="1"/>
  <c r="BQ136" i="7" s="1"/>
  <c r="BJ136" i="7"/>
  <c r="BT136" i="7" s="1"/>
  <c r="CE135" i="7"/>
  <c r="BX135" i="7"/>
  <c r="BW135" i="7"/>
  <c r="BV135" i="7"/>
  <c r="BU135" i="7"/>
  <c r="BR135" i="7"/>
  <c r="CB135" i="7" s="1"/>
  <c r="BO135" i="7"/>
  <c r="BN135" i="7"/>
  <c r="BM135" i="7"/>
  <c r="BP135" i="7" s="1"/>
  <c r="BQ135" i="7" s="1"/>
  <c r="BJ135" i="7"/>
  <c r="BT135" i="7" s="1"/>
  <c r="CE134" i="7"/>
  <c r="BX134" i="7"/>
  <c r="BW134" i="7"/>
  <c r="BV134" i="7"/>
  <c r="BU134" i="7"/>
  <c r="BR134" i="7"/>
  <c r="CB134" i="7" s="1"/>
  <c r="BO134" i="7"/>
  <c r="BN134" i="7"/>
  <c r="BM134" i="7"/>
  <c r="BP134" i="7" s="1"/>
  <c r="BQ134" i="7" s="1"/>
  <c r="BJ134" i="7"/>
  <c r="BT134" i="7" s="1"/>
  <c r="CE133" i="7"/>
  <c r="BX133" i="7"/>
  <c r="BW133" i="7"/>
  <c r="BV133" i="7"/>
  <c r="BU133" i="7"/>
  <c r="BR133" i="7"/>
  <c r="BO133" i="7"/>
  <c r="BN133" i="7"/>
  <c r="BM133" i="7"/>
  <c r="BJ133" i="7"/>
  <c r="BT133" i="7" s="1"/>
  <c r="CE132" i="7"/>
  <c r="BX132" i="7"/>
  <c r="BW132" i="7"/>
  <c r="BV132" i="7"/>
  <c r="BU132" i="7"/>
  <c r="BR132" i="7"/>
  <c r="CB132" i="7" s="1"/>
  <c r="BO132" i="7"/>
  <c r="BN132" i="7"/>
  <c r="BM132" i="7"/>
  <c r="BJ132" i="7"/>
  <c r="BT132" i="7" s="1"/>
  <c r="CE131" i="7"/>
  <c r="BX131" i="7"/>
  <c r="BW131" i="7"/>
  <c r="BV131" i="7"/>
  <c r="BU131" i="7"/>
  <c r="BR131" i="7"/>
  <c r="CB131" i="7" s="1"/>
  <c r="BO131" i="7"/>
  <c r="BN131" i="7"/>
  <c r="BM131" i="7"/>
  <c r="BJ131" i="7"/>
  <c r="BT131" i="7" s="1"/>
  <c r="CE130" i="7"/>
  <c r="BX130" i="7"/>
  <c r="BW130" i="7"/>
  <c r="BV130" i="7"/>
  <c r="BU130" i="7"/>
  <c r="BR130" i="7"/>
  <c r="CB130" i="7" s="1"/>
  <c r="BO130" i="7"/>
  <c r="BN130" i="7"/>
  <c r="BM130" i="7"/>
  <c r="BJ130" i="7"/>
  <c r="BT130" i="7" s="1"/>
  <c r="CE129" i="7"/>
  <c r="BX129" i="7"/>
  <c r="BW129" i="7"/>
  <c r="BV129" i="7"/>
  <c r="BU129" i="7"/>
  <c r="BR129" i="7"/>
  <c r="BO129" i="7"/>
  <c r="BN129" i="7"/>
  <c r="BM129" i="7"/>
  <c r="BP129" i="7" s="1"/>
  <c r="BQ129" i="7" s="1"/>
  <c r="BJ129" i="7"/>
  <c r="BT129" i="7" s="1"/>
  <c r="CE128" i="7"/>
  <c r="BX128" i="7"/>
  <c r="BW128" i="7"/>
  <c r="BV128" i="7"/>
  <c r="BU128" i="7"/>
  <c r="BR128" i="7"/>
  <c r="CB128" i="7" s="1"/>
  <c r="BO128" i="7"/>
  <c r="BN128" i="7"/>
  <c r="BM128" i="7"/>
  <c r="BP128" i="7" s="1"/>
  <c r="BQ128" i="7" s="1"/>
  <c r="BJ128" i="7"/>
  <c r="BT128" i="7" s="1"/>
  <c r="CE127" i="7"/>
  <c r="BX127" i="7"/>
  <c r="BW127" i="7"/>
  <c r="BV127" i="7"/>
  <c r="BU127" i="7"/>
  <c r="BR127" i="7"/>
  <c r="CB127" i="7" s="1"/>
  <c r="BO127" i="7"/>
  <c r="BN127" i="7"/>
  <c r="BM127" i="7"/>
  <c r="BP127" i="7" s="1"/>
  <c r="BQ127" i="7" s="1"/>
  <c r="BJ127" i="7"/>
  <c r="BT127" i="7" s="1"/>
  <c r="CE126" i="7"/>
  <c r="BX126" i="7"/>
  <c r="BW126" i="7"/>
  <c r="BV126" i="7"/>
  <c r="BU126" i="7"/>
  <c r="BR126" i="7"/>
  <c r="CB126" i="7" s="1"/>
  <c r="BO126" i="7"/>
  <c r="BN126" i="7"/>
  <c r="BM126" i="7"/>
  <c r="BP126" i="7" s="1"/>
  <c r="BQ126" i="7" s="1"/>
  <c r="BJ126" i="7"/>
  <c r="BT126" i="7" s="1"/>
  <c r="CE125" i="7"/>
  <c r="BX125" i="7"/>
  <c r="BW125" i="7"/>
  <c r="BV125" i="7"/>
  <c r="BU125" i="7"/>
  <c r="BR125" i="7"/>
  <c r="BO125" i="7"/>
  <c r="BN125" i="7"/>
  <c r="BM125" i="7"/>
  <c r="BJ125" i="7"/>
  <c r="BT125" i="7" s="1"/>
  <c r="CE124" i="7"/>
  <c r="BX124" i="7"/>
  <c r="BW124" i="7"/>
  <c r="BV124" i="7"/>
  <c r="BU124" i="7"/>
  <c r="BR124" i="7"/>
  <c r="CB124" i="7" s="1"/>
  <c r="BO124" i="7"/>
  <c r="BN124" i="7"/>
  <c r="BM124" i="7"/>
  <c r="BP124" i="7" s="1"/>
  <c r="BQ124" i="7" s="1"/>
  <c r="BJ124" i="7"/>
  <c r="BT124" i="7" s="1"/>
  <c r="CE123" i="7"/>
  <c r="BX123" i="7"/>
  <c r="BW123" i="7"/>
  <c r="BV123" i="7"/>
  <c r="BU123" i="7"/>
  <c r="BR123" i="7"/>
  <c r="CB123" i="7" s="1"/>
  <c r="BO123" i="7"/>
  <c r="BN123" i="7"/>
  <c r="BM123" i="7"/>
  <c r="BJ123" i="7"/>
  <c r="BT123" i="7" s="1"/>
  <c r="CE122" i="7"/>
  <c r="BX122" i="7"/>
  <c r="BW122" i="7"/>
  <c r="BV122" i="7"/>
  <c r="BU122" i="7"/>
  <c r="BR122" i="7"/>
  <c r="CB122" i="7" s="1"/>
  <c r="BO122" i="7"/>
  <c r="BN122" i="7"/>
  <c r="BM122" i="7"/>
  <c r="BP122" i="7" s="1"/>
  <c r="BQ122" i="7" s="1"/>
  <c r="BJ122" i="7"/>
  <c r="BT122" i="7" s="1"/>
  <c r="CE121" i="7"/>
  <c r="BX121" i="7"/>
  <c r="BW121" i="7"/>
  <c r="BV121" i="7"/>
  <c r="BU121" i="7"/>
  <c r="BR121" i="7"/>
  <c r="BO121" i="7"/>
  <c r="BN121" i="7"/>
  <c r="BM121" i="7"/>
  <c r="BY121" i="7" s="1"/>
  <c r="BJ121" i="7"/>
  <c r="BT121" i="7" s="1"/>
  <c r="CE120" i="7"/>
  <c r="BX120" i="7"/>
  <c r="BW120" i="7"/>
  <c r="BV120" i="7"/>
  <c r="BU120" i="7"/>
  <c r="BR120" i="7"/>
  <c r="CB120" i="7" s="1"/>
  <c r="BO120" i="7"/>
  <c r="BN120" i="7"/>
  <c r="BM120" i="7"/>
  <c r="BY120" i="7" s="1"/>
  <c r="BJ120" i="7"/>
  <c r="BT120" i="7" s="1"/>
  <c r="CE119" i="7"/>
  <c r="BX119" i="7"/>
  <c r="BW119" i="7"/>
  <c r="BV119" i="7"/>
  <c r="BU119" i="7"/>
  <c r="BR119" i="7"/>
  <c r="CB119" i="7" s="1"/>
  <c r="BO119" i="7"/>
  <c r="BN119" i="7"/>
  <c r="BM119" i="7"/>
  <c r="BP119" i="7" s="1"/>
  <c r="BQ119" i="7" s="1"/>
  <c r="BJ119" i="7"/>
  <c r="BT119" i="7" s="1"/>
  <c r="CE118" i="7"/>
  <c r="BX118" i="7"/>
  <c r="BW118" i="7"/>
  <c r="BV118" i="7"/>
  <c r="BU118" i="7"/>
  <c r="BR118" i="7"/>
  <c r="CB118" i="7" s="1"/>
  <c r="BO118" i="7"/>
  <c r="BN118" i="7"/>
  <c r="BM118" i="7"/>
  <c r="BY118" i="7" s="1"/>
  <c r="BJ118" i="7"/>
  <c r="BT118" i="7" s="1"/>
  <c r="CE117" i="7"/>
  <c r="BX117" i="7"/>
  <c r="BW117" i="7"/>
  <c r="BV117" i="7"/>
  <c r="BU117" i="7"/>
  <c r="BR117" i="7"/>
  <c r="BO117" i="7"/>
  <c r="BN117" i="7"/>
  <c r="BM117" i="7"/>
  <c r="BJ117" i="7"/>
  <c r="BT117" i="7" s="1"/>
  <c r="CE116" i="7"/>
  <c r="BX116" i="7"/>
  <c r="BW116" i="7"/>
  <c r="BV116" i="7"/>
  <c r="BU116" i="7"/>
  <c r="BR116" i="7"/>
  <c r="CB116" i="7" s="1"/>
  <c r="BO116" i="7"/>
  <c r="BN116" i="7"/>
  <c r="BM116" i="7"/>
  <c r="BJ116" i="7"/>
  <c r="BT116" i="7" s="1"/>
  <c r="CE115" i="7"/>
  <c r="BX115" i="7"/>
  <c r="BW115" i="7"/>
  <c r="BV115" i="7"/>
  <c r="BU115" i="7"/>
  <c r="BR115" i="7"/>
  <c r="CB115" i="7" s="1"/>
  <c r="BO115" i="7"/>
  <c r="BN115" i="7"/>
  <c r="BM115" i="7"/>
  <c r="BJ115" i="7"/>
  <c r="BT115" i="7" s="1"/>
  <c r="CE114" i="7"/>
  <c r="BX114" i="7"/>
  <c r="BW114" i="7"/>
  <c r="BV114" i="7"/>
  <c r="BU114" i="7"/>
  <c r="BR114" i="7"/>
  <c r="CB114" i="7" s="1"/>
  <c r="BO114" i="7"/>
  <c r="BN114" i="7"/>
  <c r="BM114" i="7"/>
  <c r="BJ114" i="7"/>
  <c r="BT114" i="7" s="1"/>
  <c r="CE113" i="7"/>
  <c r="BX113" i="7"/>
  <c r="BW113" i="7"/>
  <c r="BV113" i="7"/>
  <c r="BU113" i="7"/>
  <c r="BR113" i="7"/>
  <c r="BO113" i="7"/>
  <c r="BN113" i="7"/>
  <c r="BM113" i="7"/>
  <c r="BY113" i="7" s="1"/>
  <c r="BJ113" i="7"/>
  <c r="BT113" i="7" s="1"/>
  <c r="CE112" i="7"/>
  <c r="BX112" i="7"/>
  <c r="BW112" i="7"/>
  <c r="BV112" i="7"/>
  <c r="BU112" i="7"/>
  <c r="BR112" i="7"/>
  <c r="CB112" i="7" s="1"/>
  <c r="BO112" i="7"/>
  <c r="BN112" i="7"/>
  <c r="BM112" i="7"/>
  <c r="BY112" i="7" s="1"/>
  <c r="BJ112" i="7"/>
  <c r="BT112" i="7" s="1"/>
  <c r="CE111" i="7"/>
  <c r="BX111" i="7"/>
  <c r="BW111" i="7"/>
  <c r="BV111" i="7"/>
  <c r="BU111" i="7"/>
  <c r="BR111" i="7"/>
  <c r="CB111" i="7" s="1"/>
  <c r="BO111" i="7"/>
  <c r="BN111" i="7"/>
  <c r="BM111" i="7"/>
  <c r="BJ111" i="7"/>
  <c r="BT111" i="7" s="1"/>
  <c r="CE110" i="7"/>
  <c r="BX110" i="7"/>
  <c r="BW110" i="7"/>
  <c r="BV110" i="7"/>
  <c r="BU110" i="7"/>
  <c r="BR110" i="7"/>
  <c r="CB110" i="7" s="1"/>
  <c r="BO110" i="7"/>
  <c r="BN110" i="7"/>
  <c r="BM110" i="7"/>
  <c r="BP110" i="7" s="1"/>
  <c r="BQ110" i="7" s="1"/>
  <c r="BJ110" i="7"/>
  <c r="BT110" i="7" s="1"/>
  <c r="CE109" i="7"/>
  <c r="BX109" i="7"/>
  <c r="BW109" i="7"/>
  <c r="BV109" i="7"/>
  <c r="BU109" i="7"/>
  <c r="BR109" i="7"/>
  <c r="BO109" i="7"/>
  <c r="BN109" i="7"/>
  <c r="BM109" i="7"/>
  <c r="BJ109" i="7"/>
  <c r="BT109" i="7" s="1"/>
  <c r="CE108" i="7"/>
  <c r="BX108" i="7"/>
  <c r="BW108" i="7"/>
  <c r="BV108" i="7"/>
  <c r="BU108" i="7"/>
  <c r="BR108" i="7"/>
  <c r="CB108" i="7" s="1"/>
  <c r="BO108" i="7"/>
  <c r="BN108" i="7"/>
  <c r="BM108" i="7"/>
  <c r="BP108" i="7" s="1"/>
  <c r="BQ108" i="7" s="1"/>
  <c r="BJ108" i="7"/>
  <c r="BT108" i="7" s="1"/>
  <c r="CE107" i="7"/>
  <c r="BX107" i="7"/>
  <c r="BW107" i="7"/>
  <c r="BV107" i="7"/>
  <c r="BU107" i="7"/>
  <c r="BR107" i="7"/>
  <c r="CB107" i="7" s="1"/>
  <c r="BO107" i="7"/>
  <c r="BN107" i="7"/>
  <c r="BM107" i="7"/>
  <c r="BJ107" i="7"/>
  <c r="BT107" i="7" s="1"/>
  <c r="CE106" i="7"/>
  <c r="BX106" i="7"/>
  <c r="BW106" i="7"/>
  <c r="BV106" i="7"/>
  <c r="BU106" i="7"/>
  <c r="BR106" i="7"/>
  <c r="CB106" i="7" s="1"/>
  <c r="BO106" i="7"/>
  <c r="BN106" i="7"/>
  <c r="BM106" i="7"/>
  <c r="BP106" i="7" s="1"/>
  <c r="BQ106" i="7" s="1"/>
  <c r="BJ106" i="7"/>
  <c r="BT106" i="7" s="1"/>
  <c r="CE105" i="7"/>
  <c r="BX105" i="7"/>
  <c r="BW105" i="7"/>
  <c r="BV105" i="7"/>
  <c r="BU105" i="7"/>
  <c r="BR105" i="7"/>
  <c r="BO105" i="7"/>
  <c r="BN105" i="7"/>
  <c r="BM105" i="7"/>
  <c r="BP105" i="7" s="1"/>
  <c r="BQ105" i="7" s="1"/>
  <c r="BJ105" i="7"/>
  <c r="BT105" i="7" s="1"/>
  <c r="CE104" i="7"/>
  <c r="BX104" i="7"/>
  <c r="BW104" i="7"/>
  <c r="BV104" i="7"/>
  <c r="BU104" i="7"/>
  <c r="BR104" i="7"/>
  <c r="CB104" i="7" s="1"/>
  <c r="BO104" i="7"/>
  <c r="BN104" i="7"/>
  <c r="BM104" i="7"/>
  <c r="BY104" i="7" s="1"/>
  <c r="BJ104" i="7"/>
  <c r="BT104" i="7" s="1"/>
  <c r="CE103" i="7"/>
  <c r="BX103" i="7"/>
  <c r="BW103" i="7"/>
  <c r="BV103" i="7"/>
  <c r="BU103" i="7"/>
  <c r="BR103" i="7"/>
  <c r="CB103" i="7" s="1"/>
  <c r="BO103" i="7"/>
  <c r="BN103" i="7"/>
  <c r="BM103" i="7"/>
  <c r="BP103" i="7" s="1"/>
  <c r="BQ103" i="7" s="1"/>
  <c r="BJ103" i="7"/>
  <c r="BT103" i="7" s="1"/>
  <c r="CE102" i="7"/>
  <c r="BX102" i="7"/>
  <c r="BW102" i="7"/>
  <c r="BV102" i="7"/>
  <c r="BU102" i="7"/>
  <c r="BR102" i="7"/>
  <c r="CB102" i="7" s="1"/>
  <c r="BO102" i="7"/>
  <c r="BN102" i="7"/>
  <c r="BM102" i="7"/>
  <c r="BY102" i="7" s="1"/>
  <c r="BJ102" i="7"/>
  <c r="BT102" i="7" s="1"/>
  <c r="CE101" i="7"/>
  <c r="BX101" i="7"/>
  <c r="BW101" i="7"/>
  <c r="BV101" i="7"/>
  <c r="BU101" i="7"/>
  <c r="BR101" i="7"/>
  <c r="CA101" i="7" s="1"/>
  <c r="CF101" i="7" s="1"/>
  <c r="BO101" i="7"/>
  <c r="BN101" i="7"/>
  <c r="BM101" i="7"/>
  <c r="BJ101" i="7"/>
  <c r="BT101" i="7" s="1"/>
  <c r="CE100" i="7"/>
  <c r="BX100" i="7"/>
  <c r="BW100" i="7"/>
  <c r="BV100" i="7"/>
  <c r="BU100" i="7"/>
  <c r="BR100" i="7"/>
  <c r="CA100" i="7" s="1"/>
  <c r="CF100" i="7" s="1"/>
  <c r="BO100" i="7"/>
  <c r="BN100" i="7"/>
  <c r="BM100" i="7"/>
  <c r="BP100" i="7" s="1"/>
  <c r="BQ100" i="7" s="1"/>
  <c r="BJ100" i="7"/>
  <c r="BT100" i="7" s="1"/>
  <c r="CE99" i="7"/>
  <c r="BX99" i="7"/>
  <c r="BW99" i="7"/>
  <c r="BV99" i="7"/>
  <c r="BU99" i="7"/>
  <c r="BR99" i="7"/>
  <c r="CA99" i="7" s="1"/>
  <c r="CF99" i="7" s="1"/>
  <c r="BO99" i="7"/>
  <c r="BN99" i="7"/>
  <c r="BM99" i="7"/>
  <c r="BJ99" i="7"/>
  <c r="BT99" i="7" s="1"/>
  <c r="CE98" i="7"/>
  <c r="BX98" i="7"/>
  <c r="BW98" i="7"/>
  <c r="BV98" i="7"/>
  <c r="BU98" i="7"/>
  <c r="BR98" i="7"/>
  <c r="CA98" i="7" s="1"/>
  <c r="CF98" i="7" s="1"/>
  <c r="BO98" i="7"/>
  <c r="BN98" i="7"/>
  <c r="BM98" i="7"/>
  <c r="BY98" i="7" s="1"/>
  <c r="BJ98" i="7"/>
  <c r="BT98" i="7" s="1"/>
  <c r="CE97" i="7"/>
  <c r="BX97" i="7"/>
  <c r="BW97" i="7"/>
  <c r="BV97" i="7"/>
  <c r="BU97" i="7"/>
  <c r="BR97" i="7"/>
  <c r="CA97" i="7" s="1"/>
  <c r="CF97" i="7" s="1"/>
  <c r="BO97" i="7"/>
  <c r="BN97" i="7"/>
  <c r="BM97" i="7"/>
  <c r="BP97" i="7" s="1"/>
  <c r="BQ97" i="7" s="1"/>
  <c r="BJ97" i="7"/>
  <c r="BT97" i="7" s="1"/>
  <c r="CE96" i="7"/>
  <c r="BX96" i="7"/>
  <c r="BW96" i="7"/>
  <c r="BV96" i="7"/>
  <c r="BU96" i="7"/>
  <c r="BR96" i="7"/>
  <c r="CA96" i="7" s="1"/>
  <c r="CF96" i="7" s="1"/>
  <c r="BO96" i="7"/>
  <c r="BN96" i="7"/>
  <c r="BM96" i="7"/>
  <c r="BY96" i="7" s="1"/>
  <c r="BJ96" i="7"/>
  <c r="BT96" i="7" s="1"/>
  <c r="CE95" i="7"/>
  <c r="BX95" i="7"/>
  <c r="BW95" i="7"/>
  <c r="BV95" i="7"/>
  <c r="BU95" i="7"/>
  <c r="BR95" i="7"/>
  <c r="CA95" i="7" s="1"/>
  <c r="CF95" i="7" s="1"/>
  <c r="BO95" i="7"/>
  <c r="BN95" i="7"/>
  <c r="BM95" i="7"/>
  <c r="BP95" i="7" s="1"/>
  <c r="BQ95" i="7" s="1"/>
  <c r="BJ95" i="7"/>
  <c r="BT95" i="7" s="1"/>
  <c r="CE94" i="7"/>
  <c r="BX94" i="7"/>
  <c r="BW94" i="7"/>
  <c r="BV94" i="7"/>
  <c r="BU94" i="7"/>
  <c r="BR94" i="7"/>
  <c r="CA94" i="7" s="1"/>
  <c r="CF94" i="7" s="1"/>
  <c r="BO94" i="7"/>
  <c r="BN94" i="7"/>
  <c r="BM94" i="7"/>
  <c r="BY94" i="7" s="1"/>
  <c r="BJ94" i="7"/>
  <c r="BT94" i="7" s="1"/>
  <c r="CE93" i="7"/>
  <c r="BX93" i="7"/>
  <c r="BW93" i="7"/>
  <c r="BV93" i="7"/>
  <c r="BU93" i="7"/>
  <c r="BR93" i="7"/>
  <c r="CA93" i="7" s="1"/>
  <c r="CF93" i="7" s="1"/>
  <c r="BO93" i="7"/>
  <c r="BN93" i="7"/>
  <c r="BM93" i="7"/>
  <c r="BP93" i="7" s="1"/>
  <c r="BQ93" i="7" s="1"/>
  <c r="BJ93" i="7"/>
  <c r="BT93" i="7" s="1"/>
  <c r="CE92" i="7"/>
  <c r="BX92" i="7"/>
  <c r="BW92" i="7"/>
  <c r="BV92" i="7"/>
  <c r="BU92" i="7"/>
  <c r="BR92" i="7"/>
  <c r="CA92" i="7" s="1"/>
  <c r="CF92" i="7" s="1"/>
  <c r="BO92" i="7"/>
  <c r="BN92" i="7"/>
  <c r="BM92" i="7"/>
  <c r="BY92" i="7" s="1"/>
  <c r="BJ92" i="7"/>
  <c r="BT92" i="7" s="1"/>
  <c r="CE91" i="7"/>
  <c r="BX91" i="7"/>
  <c r="BW91" i="7"/>
  <c r="BV91" i="7"/>
  <c r="BU91" i="7"/>
  <c r="BR91" i="7"/>
  <c r="CA91" i="7" s="1"/>
  <c r="CF91" i="7" s="1"/>
  <c r="BO91" i="7"/>
  <c r="BN91" i="7"/>
  <c r="BM91" i="7"/>
  <c r="BP91" i="7" s="1"/>
  <c r="BQ91" i="7" s="1"/>
  <c r="BJ91" i="7"/>
  <c r="BT91" i="7" s="1"/>
  <c r="CE90" i="7"/>
  <c r="BX90" i="7"/>
  <c r="BW90" i="7"/>
  <c r="BV90" i="7"/>
  <c r="BU90" i="7"/>
  <c r="BR90" i="7"/>
  <c r="CA90" i="7" s="1"/>
  <c r="CF90" i="7" s="1"/>
  <c r="BO90" i="7"/>
  <c r="BN90" i="7"/>
  <c r="BM90" i="7"/>
  <c r="BY90" i="7" s="1"/>
  <c r="BJ90" i="7"/>
  <c r="BT90" i="7" s="1"/>
  <c r="CE89" i="7"/>
  <c r="BX89" i="7"/>
  <c r="BW89" i="7"/>
  <c r="BV89" i="7"/>
  <c r="BU89" i="7"/>
  <c r="BR89" i="7"/>
  <c r="CA89" i="7" s="1"/>
  <c r="CF89" i="7" s="1"/>
  <c r="BO89" i="7"/>
  <c r="BN89" i="7"/>
  <c r="BM89" i="7"/>
  <c r="BP89" i="7" s="1"/>
  <c r="BQ89" i="7" s="1"/>
  <c r="BJ89" i="7"/>
  <c r="BT89" i="7" s="1"/>
  <c r="CE88" i="7"/>
  <c r="BX88" i="7"/>
  <c r="BW88" i="7"/>
  <c r="BV88" i="7"/>
  <c r="BU88" i="7"/>
  <c r="BR88" i="7"/>
  <c r="CA88" i="7" s="1"/>
  <c r="CF88" i="7" s="1"/>
  <c r="BO88" i="7"/>
  <c r="BN88" i="7"/>
  <c r="BM88" i="7"/>
  <c r="BY88" i="7" s="1"/>
  <c r="BJ88" i="7"/>
  <c r="BT88" i="7" s="1"/>
  <c r="CE87" i="7"/>
  <c r="BX87" i="7"/>
  <c r="BW87" i="7"/>
  <c r="BV87" i="7"/>
  <c r="BU87" i="7"/>
  <c r="BR87" i="7"/>
  <c r="CA87" i="7" s="1"/>
  <c r="CF87" i="7" s="1"/>
  <c r="BO87" i="7"/>
  <c r="BN87" i="7"/>
  <c r="BM87" i="7"/>
  <c r="BP87" i="7" s="1"/>
  <c r="BQ87" i="7" s="1"/>
  <c r="BJ87" i="7"/>
  <c r="BT87" i="7" s="1"/>
  <c r="CE86" i="7"/>
  <c r="BX86" i="7"/>
  <c r="BW86" i="7"/>
  <c r="BV86" i="7"/>
  <c r="BU86" i="7"/>
  <c r="BR86" i="7"/>
  <c r="CA86" i="7" s="1"/>
  <c r="CF86" i="7" s="1"/>
  <c r="BO86" i="7"/>
  <c r="BN86" i="7"/>
  <c r="BM86" i="7"/>
  <c r="BY86" i="7" s="1"/>
  <c r="BJ86" i="7"/>
  <c r="BT86" i="7" s="1"/>
  <c r="CE85" i="7"/>
  <c r="BX85" i="7"/>
  <c r="BW85" i="7"/>
  <c r="BV85" i="7"/>
  <c r="BU85" i="7"/>
  <c r="BR85" i="7"/>
  <c r="CA85" i="7" s="1"/>
  <c r="CF85" i="7" s="1"/>
  <c r="BO85" i="7"/>
  <c r="BN85" i="7"/>
  <c r="BM85" i="7"/>
  <c r="BP85" i="7" s="1"/>
  <c r="BQ85" i="7" s="1"/>
  <c r="BJ85" i="7"/>
  <c r="BT85" i="7" s="1"/>
  <c r="CE84" i="7"/>
  <c r="BX84" i="7"/>
  <c r="BW84" i="7"/>
  <c r="BV84" i="7"/>
  <c r="BU84" i="7"/>
  <c r="BR84" i="7"/>
  <c r="CA84" i="7" s="1"/>
  <c r="CF84" i="7" s="1"/>
  <c r="BO84" i="7"/>
  <c r="BN84" i="7"/>
  <c r="BM84" i="7"/>
  <c r="BJ84" i="7"/>
  <c r="BT84" i="7" s="1"/>
  <c r="CE83" i="7"/>
  <c r="BX83" i="7"/>
  <c r="BW83" i="7"/>
  <c r="BV83" i="7"/>
  <c r="BU83" i="7"/>
  <c r="BR83" i="7"/>
  <c r="CA83" i="7" s="1"/>
  <c r="CF83" i="7" s="1"/>
  <c r="BO83" i="7"/>
  <c r="BN83" i="7"/>
  <c r="BM83" i="7"/>
  <c r="BP83" i="7" s="1"/>
  <c r="BQ83" i="7" s="1"/>
  <c r="BJ83" i="7"/>
  <c r="BT83" i="7" s="1"/>
  <c r="CE82" i="7"/>
  <c r="BX82" i="7"/>
  <c r="BW82" i="7"/>
  <c r="BV82" i="7"/>
  <c r="BU82" i="7"/>
  <c r="BR82" i="7"/>
  <c r="CA82" i="7" s="1"/>
  <c r="CF82" i="7" s="1"/>
  <c r="BO82" i="7"/>
  <c r="BN82" i="7"/>
  <c r="BM82" i="7"/>
  <c r="BP82" i="7" s="1"/>
  <c r="BQ82" i="7" s="1"/>
  <c r="BJ82" i="7"/>
  <c r="BT82" i="7" s="1"/>
  <c r="CE81" i="7"/>
  <c r="BX81" i="7"/>
  <c r="BW81" i="7"/>
  <c r="BV81" i="7"/>
  <c r="BU81" i="7"/>
  <c r="BR81" i="7"/>
  <c r="CA81" i="7" s="1"/>
  <c r="CF81" i="7" s="1"/>
  <c r="BO81" i="7"/>
  <c r="BN81" i="7"/>
  <c r="BM81" i="7"/>
  <c r="BP81" i="7" s="1"/>
  <c r="BQ81" i="7" s="1"/>
  <c r="BJ81" i="7"/>
  <c r="BT81" i="7" s="1"/>
  <c r="CE80" i="7"/>
  <c r="BX80" i="7"/>
  <c r="BW80" i="7"/>
  <c r="BV80" i="7"/>
  <c r="BU80" i="7"/>
  <c r="BR80" i="7"/>
  <c r="CA80" i="7" s="1"/>
  <c r="CF80" i="7" s="1"/>
  <c r="BO80" i="7"/>
  <c r="BN80" i="7"/>
  <c r="BM80" i="7"/>
  <c r="BP80" i="7" s="1"/>
  <c r="BQ80" i="7" s="1"/>
  <c r="BJ80" i="7"/>
  <c r="BT80" i="7" s="1"/>
  <c r="CE79" i="7"/>
  <c r="BX79" i="7"/>
  <c r="BW79" i="7"/>
  <c r="BV79" i="7"/>
  <c r="BU79" i="7"/>
  <c r="BR79" i="7"/>
  <c r="CA79" i="7" s="1"/>
  <c r="CF79" i="7" s="1"/>
  <c r="BO79" i="7"/>
  <c r="BN79" i="7"/>
  <c r="BM79" i="7"/>
  <c r="BP79" i="7" s="1"/>
  <c r="BQ79" i="7" s="1"/>
  <c r="BJ79" i="7"/>
  <c r="BT79" i="7" s="1"/>
  <c r="CE78" i="7"/>
  <c r="BX78" i="7"/>
  <c r="BW78" i="7"/>
  <c r="BV78" i="7"/>
  <c r="BU78" i="7"/>
  <c r="BR78" i="7"/>
  <c r="CA78" i="7" s="1"/>
  <c r="CF78" i="7" s="1"/>
  <c r="BO78" i="7"/>
  <c r="BN78" i="7"/>
  <c r="BM78" i="7"/>
  <c r="BY78" i="7" s="1"/>
  <c r="BJ78" i="7"/>
  <c r="BT78" i="7" s="1"/>
  <c r="CE77" i="7"/>
  <c r="BX77" i="7"/>
  <c r="BW77" i="7"/>
  <c r="BV77" i="7"/>
  <c r="BU77" i="7"/>
  <c r="BR77" i="7"/>
  <c r="CA77" i="7" s="1"/>
  <c r="CF77" i="7" s="1"/>
  <c r="BO77" i="7"/>
  <c r="BN77" i="7"/>
  <c r="BM77" i="7"/>
  <c r="BJ77" i="7"/>
  <c r="BT77" i="7" s="1"/>
  <c r="CE76" i="7"/>
  <c r="BX76" i="7"/>
  <c r="BW76" i="7"/>
  <c r="BV76" i="7"/>
  <c r="BU76" i="7"/>
  <c r="BR76" i="7"/>
  <c r="CA76" i="7" s="1"/>
  <c r="CF76" i="7" s="1"/>
  <c r="BO76" i="7"/>
  <c r="BN76" i="7"/>
  <c r="BM76" i="7"/>
  <c r="BY76" i="7" s="1"/>
  <c r="BJ76" i="7"/>
  <c r="BT76" i="7" s="1"/>
  <c r="CE75" i="7"/>
  <c r="BX75" i="7"/>
  <c r="BW75" i="7"/>
  <c r="BV75" i="7"/>
  <c r="BU75" i="7"/>
  <c r="BR75" i="7"/>
  <c r="CB75" i="7" s="1"/>
  <c r="BO75" i="7"/>
  <c r="BN75" i="7"/>
  <c r="BM75" i="7"/>
  <c r="BY75" i="7" s="1"/>
  <c r="BJ75" i="7"/>
  <c r="BT75" i="7" s="1"/>
  <c r="CE74" i="7"/>
  <c r="BX74" i="7"/>
  <c r="BW74" i="7"/>
  <c r="BV74" i="7"/>
  <c r="BU74" i="7"/>
  <c r="BR74" i="7"/>
  <c r="CA74" i="7" s="1"/>
  <c r="CF74" i="7" s="1"/>
  <c r="BO74" i="7"/>
  <c r="BN74" i="7"/>
  <c r="BM74" i="7"/>
  <c r="BP74" i="7" s="1"/>
  <c r="BQ74" i="7" s="1"/>
  <c r="BJ74" i="7"/>
  <c r="BT74" i="7" s="1"/>
  <c r="CE73" i="7"/>
  <c r="BX73" i="7"/>
  <c r="BW73" i="7"/>
  <c r="BV73" i="7"/>
  <c r="BU73" i="7"/>
  <c r="BR73" i="7"/>
  <c r="CA73" i="7" s="1"/>
  <c r="CF73" i="7" s="1"/>
  <c r="BO73" i="7"/>
  <c r="BN73" i="7"/>
  <c r="BM73" i="7"/>
  <c r="BP73" i="7" s="1"/>
  <c r="BQ73" i="7" s="1"/>
  <c r="BJ73" i="7"/>
  <c r="BT73" i="7" s="1"/>
  <c r="CE72" i="7"/>
  <c r="BX72" i="7"/>
  <c r="BW72" i="7"/>
  <c r="BV72" i="7"/>
  <c r="BU72" i="7"/>
  <c r="BR72" i="7"/>
  <c r="CA72" i="7" s="1"/>
  <c r="CF72" i="7" s="1"/>
  <c r="BO72" i="7"/>
  <c r="BN72" i="7"/>
  <c r="BM72" i="7"/>
  <c r="BJ72" i="7"/>
  <c r="BT72" i="7" s="1"/>
  <c r="CE71" i="7"/>
  <c r="BX71" i="7"/>
  <c r="BW71" i="7"/>
  <c r="BV71" i="7"/>
  <c r="BU71" i="7"/>
  <c r="BR71" i="7"/>
  <c r="CB71" i="7" s="1"/>
  <c r="BO71" i="7"/>
  <c r="BN71" i="7"/>
  <c r="BM71" i="7"/>
  <c r="BY71" i="7" s="1"/>
  <c r="BJ71" i="7"/>
  <c r="BT71" i="7" s="1"/>
  <c r="CE70" i="7"/>
  <c r="BX70" i="7"/>
  <c r="BW70" i="7"/>
  <c r="BV70" i="7"/>
  <c r="BU70" i="7"/>
  <c r="BR70" i="7"/>
  <c r="CA70" i="7" s="1"/>
  <c r="CF70" i="7" s="1"/>
  <c r="BO70" i="7"/>
  <c r="BN70" i="7"/>
  <c r="BM70" i="7"/>
  <c r="BP70" i="7" s="1"/>
  <c r="BQ70" i="7" s="1"/>
  <c r="BJ70" i="7"/>
  <c r="BT70" i="7" s="1"/>
  <c r="CE69" i="7"/>
  <c r="BX69" i="7"/>
  <c r="BW69" i="7"/>
  <c r="BV69" i="7"/>
  <c r="BU69" i="7"/>
  <c r="BR69" i="7"/>
  <c r="CA69" i="7" s="1"/>
  <c r="CF69" i="7" s="1"/>
  <c r="BO69" i="7"/>
  <c r="BN69" i="7"/>
  <c r="BM69" i="7"/>
  <c r="BJ69" i="7"/>
  <c r="BT69" i="7" s="1"/>
  <c r="CE68" i="7"/>
  <c r="BX68" i="7"/>
  <c r="BW68" i="7"/>
  <c r="BV68" i="7"/>
  <c r="BU68" i="7"/>
  <c r="BR68" i="7"/>
  <c r="CA68" i="7" s="1"/>
  <c r="CF68" i="7" s="1"/>
  <c r="BO68" i="7"/>
  <c r="BN68" i="7"/>
  <c r="BM68" i="7"/>
  <c r="BP68" i="7" s="1"/>
  <c r="BQ68" i="7" s="1"/>
  <c r="BJ68" i="7"/>
  <c r="BT68" i="7" s="1"/>
  <c r="CE67" i="7"/>
  <c r="BX67" i="7"/>
  <c r="BW67" i="7"/>
  <c r="BV67" i="7"/>
  <c r="BU67" i="7"/>
  <c r="BR67" i="7"/>
  <c r="BO67" i="7"/>
  <c r="BN67" i="7"/>
  <c r="BM67" i="7"/>
  <c r="BY67" i="7" s="1"/>
  <c r="BJ67" i="7"/>
  <c r="BT67" i="7" s="1"/>
  <c r="CE66" i="7"/>
  <c r="BX66" i="7"/>
  <c r="BW66" i="7"/>
  <c r="BV66" i="7"/>
  <c r="BU66" i="7"/>
  <c r="BR66" i="7"/>
  <c r="CA66" i="7" s="1"/>
  <c r="CF66" i="7" s="1"/>
  <c r="BO66" i="7"/>
  <c r="BN66" i="7"/>
  <c r="BM66" i="7"/>
  <c r="BY66" i="7" s="1"/>
  <c r="BJ66" i="7"/>
  <c r="BT66" i="7" s="1"/>
  <c r="CE65" i="7"/>
  <c r="BX65" i="7"/>
  <c r="BW65" i="7"/>
  <c r="BV65" i="7"/>
  <c r="BU65" i="7"/>
  <c r="BR65" i="7"/>
  <c r="CA65" i="7" s="1"/>
  <c r="CF65" i="7" s="1"/>
  <c r="BO65" i="7"/>
  <c r="BN65" i="7"/>
  <c r="BM65" i="7"/>
  <c r="BP65" i="7" s="1"/>
  <c r="BQ65" i="7" s="1"/>
  <c r="BJ65" i="7"/>
  <c r="BT65" i="7" s="1"/>
  <c r="CE64" i="7"/>
  <c r="BX64" i="7"/>
  <c r="BW64" i="7"/>
  <c r="BV64" i="7"/>
  <c r="BU64" i="7"/>
  <c r="BR64" i="7"/>
  <c r="CA64" i="7" s="1"/>
  <c r="CF64" i="7" s="1"/>
  <c r="BO64" i="7"/>
  <c r="BN64" i="7"/>
  <c r="BM64" i="7"/>
  <c r="BP64" i="7" s="1"/>
  <c r="BQ64" i="7" s="1"/>
  <c r="BJ64" i="7"/>
  <c r="BT64" i="7" s="1"/>
  <c r="CE63" i="7"/>
  <c r="BX63" i="7"/>
  <c r="BW63" i="7"/>
  <c r="BV63" i="7"/>
  <c r="BU63" i="7"/>
  <c r="BR63" i="7"/>
  <c r="BO63" i="7"/>
  <c r="BN63" i="7"/>
  <c r="BM63" i="7"/>
  <c r="BY63" i="7" s="1"/>
  <c r="BJ63" i="7"/>
  <c r="BT63" i="7" s="1"/>
  <c r="CE62" i="7"/>
  <c r="BX62" i="7"/>
  <c r="BW62" i="7"/>
  <c r="BV62" i="7"/>
  <c r="BU62" i="7"/>
  <c r="BR62" i="7"/>
  <c r="CA62" i="7" s="1"/>
  <c r="CF62" i="7" s="1"/>
  <c r="BO62" i="7"/>
  <c r="BN62" i="7"/>
  <c r="BM62" i="7"/>
  <c r="BY62" i="7" s="1"/>
  <c r="BJ62" i="7"/>
  <c r="BT62" i="7" s="1"/>
  <c r="CE61" i="7"/>
  <c r="BX61" i="7"/>
  <c r="BW61" i="7"/>
  <c r="BV61" i="7"/>
  <c r="BU61" i="7"/>
  <c r="BR61" i="7"/>
  <c r="CA61" i="7" s="1"/>
  <c r="CF61" i="7" s="1"/>
  <c r="BO61" i="7"/>
  <c r="BN61" i="7"/>
  <c r="BM61" i="7"/>
  <c r="BP61" i="7" s="1"/>
  <c r="BQ61" i="7" s="1"/>
  <c r="BJ61" i="7"/>
  <c r="BT61" i="7" s="1"/>
  <c r="CE60" i="7"/>
  <c r="BX60" i="7"/>
  <c r="BW60" i="7"/>
  <c r="BV60" i="7"/>
  <c r="BU60" i="7"/>
  <c r="BR60" i="7"/>
  <c r="CA60" i="7" s="1"/>
  <c r="CF60" i="7" s="1"/>
  <c r="BO60" i="7"/>
  <c r="BN60" i="7"/>
  <c r="BM60" i="7"/>
  <c r="BP60" i="7" s="1"/>
  <c r="BQ60" i="7" s="1"/>
  <c r="BJ60" i="7"/>
  <c r="BT60" i="7" s="1"/>
  <c r="CE59" i="7"/>
  <c r="BX59" i="7"/>
  <c r="BW59" i="7"/>
  <c r="BV59" i="7"/>
  <c r="BU59" i="7"/>
  <c r="BR59" i="7"/>
  <c r="BO59" i="7"/>
  <c r="BN59" i="7"/>
  <c r="BM59" i="7"/>
  <c r="BJ59" i="7"/>
  <c r="BT59" i="7" s="1"/>
  <c r="CE58" i="7"/>
  <c r="BX58" i="7"/>
  <c r="BW58" i="7"/>
  <c r="BV58" i="7"/>
  <c r="BU58" i="7"/>
  <c r="BR58" i="7"/>
  <c r="CA58" i="7" s="1"/>
  <c r="CF58" i="7" s="1"/>
  <c r="BO58" i="7"/>
  <c r="BN58" i="7"/>
  <c r="BM58" i="7"/>
  <c r="BJ58" i="7"/>
  <c r="BT58" i="7" s="1"/>
  <c r="CE57" i="7"/>
  <c r="BX57" i="7"/>
  <c r="BW57" i="7"/>
  <c r="BV57" i="7"/>
  <c r="BU57" i="7"/>
  <c r="BR57" i="7"/>
  <c r="CA57" i="7" s="1"/>
  <c r="CF57" i="7" s="1"/>
  <c r="BO57" i="7"/>
  <c r="BN57" i="7"/>
  <c r="BM57" i="7"/>
  <c r="BP57" i="7" s="1"/>
  <c r="BQ57" i="7" s="1"/>
  <c r="BJ57" i="7"/>
  <c r="BT57" i="7" s="1"/>
  <c r="CE56" i="7"/>
  <c r="BX56" i="7"/>
  <c r="BW56" i="7"/>
  <c r="BV56" i="7"/>
  <c r="BU56" i="7"/>
  <c r="BR56" i="7"/>
  <c r="CA56" i="7" s="1"/>
  <c r="CF56" i="7" s="1"/>
  <c r="BO56" i="7"/>
  <c r="BN56" i="7"/>
  <c r="BM56" i="7"/>
  <c r="BP56" i="7" s="1"/>
  <c r="BQ56" i="7" s="1"/>
  <c r="BJ56" i="7"/>
  <c r="BT56" i="7" s="1"/>
  <c r="CE55" i="7"/>
  <c r="BX55" i="7"/>
  <c r="BW55" i="7"/>
  <c r="BV55" i="7"/>
  <c r="BU55" i="7"/>
  <c r="BR55" i="7"/>
  <c r="CB55" i="7" s="1"/>
  <c r="BO55" i="7"/>
  <c r="BN55" i="7"/>
  <c r="BM55" i="7"/>
  <c r="BJ55" i="7"/>
  <c r="BT55" i="7" s="1"/>
  <c r="CE54" i="7"/>
  <c r="BX54" i="7"/>
  <c r="BW54" i="7"/>
  <c r="BV54" i="7"/>
  <c r="BU54" i="7"/>
  <c r="BR54" i="7"/>
  <c r="CA54" i="7" s="1"/>
  <c r="CF54" i="7" s="1"/>
  <c r="BO54" i="7"/>
  <c r="BN54" i="7"/>
  <c r="BM54" i="7"/>
  <c r="BY54" i="7" s="1"/>
  <c r="BJ54" i="7"/>
  <c r="BT54" i="7" s="1"/>
  <c r="CE53" i="7"/>
  <c r="BX53" i="7"/>
  <c r="BW53" i="7"/>
  <c r="BV53" i="7"/>
  <c r="BU53" i="7"/>
  <c r="BR53" i="7"/>
  <c r="CA53" i="7" s="1"/>
  <c r="CF53" i="7" s="1"/>
  <c r="BO53" i="7"/>
  <c r="BN53" i="7"/>
  <c r="BM53" i="7"/>
  <c r="BP53" i="7" s="1"/>
  <c r="BQ53" i="7" s="1"/>
  <c r="BJ53" i="7"/>
  <c r="BT53" i="7" s="1"/>
  <c r="CE52" i="7"/>
  <c r="BX52" i="7"/>
  <c r="BW52" i="7"/>
  <c r="BV52" i="7"/>
  <c r="BU52" i="7"/>
  <c r="BR52" i="7"/>
  <c r="CA52" i="7" s="1"/>
  <c r="CF52" i="7" s="1"/>
  <c r="BO52" i="7"/>
  <c r="BN52" i="7"/>
  <c r="BM52" i="7"/>
  <c r="BP52" i="7" s="1"/>
  <c r="BQ52" i="7" s="1"/>
  <c r="BJ52" i="7"/>
  <c r="BT52" i="7" s="1"/>
  <c r="CE51" i="7"/>
  <c r="BX51" i="7"/>
  <c r="BW51" i="7"/>
  <c r="BV51" i="7"/>
  <c r="BU51" i="7"/>
  <c r="BR51" i="7"/>
  <c r="BO51" i="7"/>
  <c r="BN51" i="7"/>
  <c r="BM51" i="7"/>
  <c r="BY51" i="7" s="1"/>
  <c r="BJ51" i="7"/>
  <c r="BT51" i="7" s="1"/>
  <c r="CE50" i="7"/>
  <c r="BX50" i="7"/>
  <c r="BW50" i="7"/>
  <c r="BV50" i="7"/>
  <c r="BU50" i="7"/>
  <c r="BR50" i="7"/>
  <c r="CA50" i="7" s="1"/>
  <c r="CF50" i="7" s="1"/>
  <c r="BO50" i="7"/>
  <c r="BN50" i="7"/>
  <c r="BM50" i="7"/>
  <c r="BY50" i="7" s="1"/>
  <c r="BJ50" i="7"/>
  <c r="BT50" i="7" s="1"/>
  <c r="CE49" i="7"/>
  <c r="BX49" i="7"/>
  <c r="BW49" i="7"/>
  <c r="BV49" i="7"/>
  <c r="BU49" i="7"/>
  <c r="BR49" i="7"/>
  <c r="CA49" i="7" s="1"/>
  <c r="CF49" i="7" s="1"/>
  <c r="BO49" i="7"/>
  <c r="BN49" i="7"/>
  <c r="BM49" i="7"/>
  <c r="BP49" i="7" s="1"/>
  <c r="BQ49" i="7" s="1"/>
  <c r="BJ49" i="7"/>
  <c r="BT49" i="7" s="1"/>
  <c r="CE48" i="7"/>
  <c r="BX48" i="7"/>
  <c r="BW48" i="7"/>
  <c r="BV48" i="7"/>
  <c r="BU48" i="7"/>
  <c r="BR48" i="7"/>
  <c r="CA48" i="7" s="1"/>
  <c r="CF48" i="7" s="1"/>
  <c r="BO48" i="7"/>
  <c r="BN48" i="7"/>
  <c r="BM48" i="7"/>
  <c r="BP48" i="7" s="1"/>
  <c r="BQ48" i="7" s="1"/>
  <c r="BJ48" i="7"/>
  <c r="BT48" i="7" s="1"/>
  <c r="CE47" i="7"/>
  <c r="BX47" i="7"/>
  <c r="BW47" i="7"/>
  <c r="BV47" i="7"/>
  <c r="BU47" i="7"/>
  <c r="BR47" i="7"/>
  <c r="BO47" i="7"/>
  <c r="BN47" i="7"/>
  <c r="BM47" i="7"/>
  <c r="BY47" i="7" s="1"/>
  <c r="BJ47" i="7"/>
  <c r="BT47" i="7" s="1"/>
  <c r="CE46" i="7"/>
  <c r="BX46" i="7"/>
  <c r="BW46" i="7"/>
  <c r="BV46" i="7"/>
  <c r="BU46" i="7"/>
  <c r="BR46" i="7"/>
  <c r="CA46" i="7" s="1"/>
  <c r="CF46" i="7" s="1"/>
  <c r="BO46" i="7"/>
  <c r="BN46" i="7"/>
  <c r="BM46" i="7"/>
  <c r="BY46" i="7" s="1"/>
  <c r="BJ46" i="7"/>
  <c r="BT46" i="7" s="1"/>
  <c r="CE45" i="7"/>
  <c r="BX45" i="7"/>
  <c r="BW45" i="7"/>
  <c r="BV45" i="7"/>
  <c r="BU45" i="7"/>
  <c r="BR45" i="7"/>
  <c r="CA45" i="7" s="1"/>
  <c r="CF45" i="7" s="1"/>
  <c r="BO45" i="7"/>
  <c r="BN45" i="7"/>
  <c r="BM45" i="7"/>
  <c r="BY45" i="7" s="1"/>
  <c r="BJ45" i="7"/>
  <c r="BT45" i="7" s="1"/>
  <c r="CE44" i="7"/>
  <c r="BX44" i="7"/>
  <c r="BW44" i="7"/>
  <c r="BV44" i="7"/>
  <c r="BU44" i="7"/>
  <c r="BR44" i="7"/>
  <c r="CA44" i="7" s="1"/>
  <c r="CF44" i="7" s="1"/>
  <c r="BO44" i="7"/>
  <c r="BN44" i="7"/>
  <c r="BM44" i="7"/>
  <c r="BY44" i="7" s="1"/>
  <c r="BJ44" i="7"/>
  <c r="BT44" i="7" s="1"/>
  <c r="CE43" i="7"/>
  <c r="BX43" i="7"/>
  <c r="BW43" i="7"/>
  <c r="BV43" i="7"/>
  <c r="BU43" i="7"/>
  <c r="BR43" i="7"/>
  <c r="BO43" i="7"/>
  <c r="BN43" i="7"/>
  <c r="BM43" i="7"/>
  <c r="BY43" i="7" s="1"/>
  <c r="BJ43" i="7"/>
  <c r="BT43" i="7" s="1"/>
  <c r="CE42" i="7"/>
  <c r="BX42" i="7"/>
  <c r="BW42" i="7"/>
  <c r="BV42" i="7"/>
  <c r="BU42" i="7"/>
  <c r="BR42" i="7"/>
  <c r="CA42" i="7" s="1"/>
  <c r="CF42" i="7" s="1"/>
  <c r="BO42" i="7"/>
  <c r="BN42" i="7"/>
  <c r="BM42" i="7"/>
  <c r="BP42" i="7" s="1"/>
  <c r="BQ42" i="7" s="1"/>
  <c r="BJ42" i="7"/>
  <c r="BT42" i="7" s="1"/>
  <c r="CE41" i="7"/>
  <c r="BX41" i="7"/>
  <c r="BW41" i="7"/>
  <c r="BV41" i="7"/>
  <c r="BU41" i="7"/>
  <c r="BR41" i="7"/>
  <c r="CA41" i="7" s="1"/>
  <c r="CF41" i="7" s="1"/>
  <c r="BO41" i="7"/>
  <c r="BN41" i="7"/>
  <c r="BM41" i="7"/>
  <c r="BY41" i="7" s="1"/>
  <c r="BJ41" i="7"/>
  <c r="BT41" i="7" s="1"/>
  <c r="CE40" i="7"/>
  <c r="BX40" i="7"/>
  <c r="BW40" i="7"/>
  <c r="BV40" i="7"/>
  <c r="BU40" i="7"/>
  <c r="BR40" i="7"/>
  <c r="CA40" i="7" s="1"/>
  <c r="CF40" i="7" s="1"/>
  <c r="BO40" i="7"/>
  <c r="BN40" i="7"/>
  <c r="BM40" i="7"/>
  <c r="BY40" i="7" s="1"/>
  <c r="BJ40" i="7"/>
  <c r="BT40" i="7" s="1"/>
  <c r="CE39" i="7"/>
  <c r="BX39" i="7"/>
  <c r="BW39" i="7"/>
  <c r="BV39" i="7"/>
  <c r="BU39" i="7"/>
  <c r="BR39" i="7"/>
  <c r="BO39" i="7"/>
  <c r="BN39" i="7"/>
  <c r="BM39" i="7"/>
  <c r="BP39" i="7" s="1"/>
  <c r="BQ39" i="7" s="1"/>
  <c r="BJ39" i="7"/>
  <c r="BT39" i="7" s="1"/>
  <c r="CE38" i="7"/>
  <c r="BX38" i="7"/>
  <c r="BW38" i="7"/>
  <c r="BV38" i="7"/>
  <c r="BU38" i="7"/>
  <c r="BR38" i="7"/>
  <c r="CA38" i="7" s="1"/>
  <c r="CF38" i="7" s="1"/>
  <c r="BO38" i="7"/>
  <c r="BN38" i="7"/>
  <c r="BM38" i="7"/>
  <c r="BY38" i="7" s="1"/>
  <c r="BJ38" i="7"/>
  <c r="BT38" i="7" s="1"/>
  <c r="CE37" i="7"/>
  <c r="BX37" i="7"/>
  <c r="BW37" i="7"/>
  <c r="BV37" i="7"/>
  <c r="BU37" i="7"/>
  <c r="BR37" i="7"/>
  <c r="CA37" i="7" s="1"/>
  <c r="CF37" i="7" s="1"/>
  <c r="BO37" i="7"/>
  <c r="BN37" i="7"/>
  <c r="BM37" i="7"/>
  <c r="BY37" i="7" s="1"/>
  <c r="BJ37" i="7"/>
  <c r="BT37" i="7" s="1"/>
  <c r="CE36" i="7"/>
  <c r="BX36" i="7"/>
  <c r="BW36" i="7"/>
  <c r="BV36" i="7"/>
  <c r="BU36" i="7"/>
  <c r="BR36" i="7"/>
  <c r="CA36" i="7" s="1"/>
  <c r="CF36" i="7" s="1"/>
  <c r="BO36" i="7"/>
  <c r="BN36" i="7"/>
  <c r="BM36" i="7"/>
  <c r="BP36" i="7" s="1"/>
  <c r="BQ36" i="7" s="1"/>
  <c r="BJ36" i="7"/>
  <c r="BT36" i="7" s="1"/>
  <c r="CE35" i="7"/>
  <c r="BX35" i="7"/>
  <c r="BW35" i="7"/>
  <c r="BV35" i="7"/>
  <c r="CS35" i="7" s="1"/>
  <c r="BU35" i="7"/>
  <c r="CR35" i="7" s="1"/>
  <c r="BR35" i="7"/>
  <c r="CA35" i="7" s="1"/>
  <c r="CF35" i="7" s="1"/>
  <c r="BO35" i="7"/>
  <c r="BN35" i="7"/>
  <c r="BM35" i="7"/>
  <c r="BY35" i="7" s="1"/>
  <c r="BJ35" i="7"/>
  <c r="BT35" i="7" s="1"/>
  <c r="CE34" i="7"/>
  <c r="BX34" i="7"/>
  <c r="BW34" i="7"/>
  <c r="BV34" i="7"/>
  <c r="BU34" i="7"/>
  <c r="BR34" i="7"/>
  <c r="CA34" i="7" s="1"/>
  <c r="CF34" i="7" s="1"/>
  <c r="BO34" i="7"/>
  <c r="BN34" i="7"/>
  <c r="BM34" i="7"/>
  <c r="BP34" i="7" s="1"/>
  <c r="BQ34" i="7" s="1"/>
  <c r="BJ34" i="7"/>
  <c r="BT34" i="7" s="1"/>
  <c r="CE33" i="7"/>
  <c r="BX33" i="7"/>
  <c r="BW33" i="7"/>
  <c r="BV33" i="7"/>
  <c r="BU33" i="7"/>
  <c r="BR33" i="7"/>
  <c r="CA33" i="7" s="1"/>
  <c r="CF33" i="7" s="1"/>
  <c r="BO33" i="7"/>
  <c r="BN33" i="7"/>
  <c r="BM33" i="7"/>
  <c r="BY33" i="7" s="1"/>
  <c r="BJ33" i="7"/>
  <c r="BT33" i="7" s="1"/>
  <c r="CE32" i="7"/>
  <c r="BX32" i="7"/>
  <c r="BW32" i="7"/>
  <c r="BV32" i="7"/>
  <c r="BU32" i="7"/>
  <c r="BR32" i="7"/>
  <c r="CA32" i="7" s="1"/>
  <c r="CF32" i="7" s="1"/>
  <c r="BO32" i="7"/>
  <c r="BN32" i="7"/>
  <c r="BM32" i="7"/>
  <c r="BP32" i="7" s="1"/>
  <c r="BQ32" i="7" s="1"/>
  <c r="BJ32" i="7"/>
  <c r="BT32" i="7" s="1"/>
  <c r="CE31" i="7"/>
  <c r="BX31" i="7"/>
  <c r="BW31" i="7"/>
  <c r="BV31" i="7"/>
  <c r="BU31" i="7"/>
  <c r="CA31" i="7"/>
  <c r="CF31" i="7" s="1"/>
  <c r="BO31" i="7"/>
  <c r="BN31" i="7"/>
  <c r="BM31" i="7"/>
  <c r="BY31" i="7" s="1"/>
  <c r="BJ31" i="7"/>
  <c r="BT31" i="7" s="1"/>
  <c r="CE30" i="7"/>
  <c r="BX30" i="7"/>
  <c r="BW30" i="7"/>
  <c r="BV30" i="7"/>
  <c r="CS30" i="7" s="1"/>
  <c r="BU30" i="7"/>
  <c r="CR30" i="7" s="1"/>
  <c r="BR30" i="7"/>
  <c r="BO30" i="7"/>
  <c r="BN30" i="7"/>
  <c r="BM30" i="7"/>
  <c r="BY30" i="7" s="1"/>
  <c r="BJ30" i="7"/>
  <c r="BT30" i="7" s="1"/>
  <c r="CE29" i="7"/>
  <c r="BX29" i="7"/>
  <c r="BW29" i="7"/>
  <c r="BV29" i="7"/>
  <c r="BU29" i="7"/>
  <c r="BR29" i="7"/>
  <c r="CA29" i="7" s="1"/>
  <c r="CF29" i="7" s="1"/>
  <c r="BO29" i="7"/>
  <c r="BN29" i="7"/>
  <c r="BM29" i="7"/>
  <c r="BY29" i="7" s="1"/>
  <c r="BJ29" i="7"/>
  <c r="BT29" i="7" s="1"/>
  <c r="CE28" i="7"/>
  <c r="BX28" i="7"/>
  <c r="BW28" i="7"/>
  <c r="BV28" i="7"/>
  <c r="BU28" i="7"/>
  <c r="BR28" i="7"/>
  <c r="BO28" i="7"/>
  <c r="BN28" i="7"/>
  <c r="BM28" i="7"/>
  <c r="BP28" i="7" s="1"/>
  <c r="BQ28" i="7" s="1"/>
  <c r="BJ28" i="7"/>
  <c r="BT28" i="7" s="1"/>
  <c r="CE27" i="7"/>
  <c r="BX27" i="7"/>
  <c r="BW27" i="7"/>
  <c r="BV27" i="7"/>
  <c r="BU27" i="7"/>
  <c r="BR27" i="7"/>
  <c r="BO27" i="7"/>
  <c r="BN27" i="7"/>
  <c r="BM27" i="7"/>
  <c r="BY27" i="7" s="1"/>
  <c r="BJ27" i="7"/>
  <c r="BT27" i="7" s="1"/>
  <c r="CE26" i="7"/>
  <c r="BX26" i="7"/>
  <c r="BW26" i="7"/>
  <c r="BV26" i="7"/>
  <c r="CS26" i="7" s="1"/>
  <c r="BU26" i="7"/>
  <c r="CR26" i="7" s="1"/>
  <c r="BO26" i="7"/>
  <c r="BN26" i="7"/>
  <c r="BM26" i="7"/>
  <c r="BP26" i="7" s="1"/>
  <c r="BQ26" i="7" s="1"/>
  <c r="BJ26" i="7"/>
  <c r="BT26" i="7" s="1"/>
  <c r="CE25" i="7"/>
  <c r="BX25" i="7"/>
  <c r="BW25" i="7"/>
  <c r="BV25" i="7"/>
  <c r="BU25" i="7"/>
  <c r="BR25" i="7"/>
  <c r="CA25" i="7" s="1"/>
  <c r="CF25" i="7" s="1"/>
  <c r="BO25" i="7"/>
  <c r="BN25" i="7"/>
  <c r="BM25" i="7"/>
  <c r="BP25" i="7" s="1"/>
  <c r="BJ25" i="7"/>
  <c r="BT25" i="7" s="1"/>
  <c r="CE24" i="7"/>
  <c r="BX24" i="7"/>
  <c r="BW24" i="7"/>
  <c r="BV24" i="7"/>
  <c r="BU24" i="7"/>
  <c r="BR24" i="7"/>
  <c r="CA24" i="7" s="1"/>
  <c r="CF24" i="7" s="1"/>
  <c r="BO24" i="7"/>
  <c r="BN24" i="7"/>
  <c r="BM24" i="7"/>
  <c r="BP24" i="7" s="1"/>
  <c r="BQ24" i="7" s="1"/>
  <c r="BJ24" i="7"/>
  <c r="BT24" i="7" s="1"/>
  <c r="CE23" i="7"/>
  <c r="BX23" i="7"/>
  <c r="BW23" i="7"/>
  <c r="BV23" i="7"/>
  <c r="BU23" i="7"/>
  <c r="BR23" i="7"/>
  <c r="CA23" i="7" s="1"/>
  <c r="CF23" i="7" s="1"/>
  <c r="BO23" i="7"/>
  <c r="BN23" i="7"/>
  <c r="BM23" i="7"/>
  <c r="BP23" i="7" s="1"/>
  <c r="BQ23" i="7" s="1"/>
  <c r="BJ23" i="7"/>
  <c r="BT23" i="7" s="1"/>
  <c r="CE22" i="7"/>
  <c r="BX22" i="7"/>
  <c r="BW22" i="7"/>
  <c r="BV22" i="7"/>
  <c r="BU22" i="7"/>
  <c r="BO22" i="7"/>
  <c r="BN22" i="7"/>
  <c r="BM22" i="7"/>
  <c r="BY22" i="7" s="1"/>
  <c r="BJ22" i="7"/>
  <c r="BT22" i="7" s="1"/>
  <c r="CE21" i="7"/>
  <c r="BX21" i="7"/>
  <c r="BW21" i="7"/>
  <c r="BV21" i="7"/>
  <c r="BU21" i="7"/>
  <c r="BR21" i="7"/>
  <c r="CA21" i="7" s="1"/>
  <c r="CF21" i="7" s="1"/>
  <c r="BO21" i="7"/>
  <c r="BN21" i="7"/>
  <c r="BM21" i="7"/>
  <c r="BY21" i="7" s="1"/>
  <c r="BJ21" i="7"/>
  <c r="BT21" i="7" s="1"/>
  <c r="CE20" i="7"/>
  <c r="BX20" i="7"/>
  <c r="BW20" i="7"/>
  <c r="BV20" i="7"/>
  <c r="BU20" i="7"/>
  <c r="BR20" i="7"/>
  <c r="CA20" i="7" s="1"/>
  <c r="CF20" i="7" s="1"/>
  <c r="BO20" i="7"/>
  <c r="BN20" i="7"/>
  <c r="BM20" i="7"/>
  <c r="BY20" i="7" s="1"/>
  <c r="BJ20" i="7"/>
  <c r="BT20" i="7" s="1"/>
  <c r="CE19" i="7"/>
  <c r="BX19" i="7"/>
  <c r="BW19" i="7"/>
  <c r="BV19" i="7"/>
  <c r="BU19" i="7"/>
  <c r="BR19" i="7"/>
  <c r="CA19" i="7" s="1"/>
  <c r="CF19" i="7" s="1"/>
  <c r="BO19" i="7"/>
  <c r="BN19" i="7"/>
  <c r="BM19" i="7"/>
  <c r="BY19" i="7" s="1"/>
  <c r="BJ19" i="7"/>
  <c r="BT19" i="7" s="1"/>
  <c r="CE18" i="7"/>
  <c r="BX18" i="7"/>
  <c r="BW18" i="7"/>
  <c r="BV18" i="7"/>
  <c r="BU18" i="7"/>
  <c r="BR18" i="7"/>
  <c r="CB18" i="7" s="1"/>
  <c r="BO18" i="7"/>
  <c r="BN18" i="7"/>
  <c r="BM18" i="7"/>
  <c r="BP18" i="7" s="1"/>
  <c r="BQ18" i="7" s="1"/>
  <c r="BJ18" i="7"/>
  <c r="BT18" i="7" s="1"/>
  <c r="CE17" i="7"/>
  <c r="BX17" i="7"/>
  <c r="BW17" i="7"/>
  <c r="BV17" i="7"/>
  <c r="CS17" i="7" s="1"/>
  <c r="BU17" i="7"/>
  <c r="CR17" i="7" s="1"/>
  <c r="BR17" i="7"/>
  <c r="BO17" i="7"/>
  <c r="BN17" i="7"/>
  <c r="BM17" i="7"/>
  <c r="BP17" i="7" s="1"/>
  <c r="BJ17" i="7"/>
  <c r="BT17" i="7" s="1"/>
  <c r="CE16" i="7"/>
  <c r="BX16" i="7"/>
  <c r="BW16" i="7"/>
  <c r="BV16" i="7"/>
  <c r="BU16" i="7"/>
  <c r="BR16" i="7"/>
  <c r="CA16" i="7" s="1"/>
  <c r="CF16" i="7" s="1"/>
  <c r="BO16" i="7"/>
  <c r="BN16" i="7"/>
  <c r="BM16" i="7"/>
  <c r="BY16" i="7" s="1"/>
  <c r="BJ16" i="7"/>
  <c r="BT16" i="7" s="1"/>
  <c r="CE15" i="7"/>
  <c r="BX15" i="7"/>
  <c r="BW15" i="7"/>
  <c r="BV15" i="7"/>
  <c r="BU15" i="7"/>
  <c r="BR15" i="7"/>
  <c r="CA15" i="7" s="1"/>
  <c r="CF15" i="7" s="1"/>
  <c r="BO15" i="7"/>
  <c r="BN15" i="7"/>
  <c r="BM15" i="7"/>
  <c r="BY15" i="7" s="1"/>
  <c r="BJ15" i="7"/>
  <c r="BT15" i="7" s="1"/>
  <c r="CE14" i="7"/>
  <c r="BX14" i="7"/>
  <c r="BW14" i="7"/>
  <c r="BV14" i="7"/>
  <c r="BU14" i="7"/>
  <c r="BR14" i="7"/>
  <c r="CA14" i="7" s="1"/>
  <c r="CF14" i="7" s="1"/>
  <c r="BO14" i="7"/>
  <c r="BN14" i="7"/>
  <c r="BM14" i="7"/>
  <c r="BP14" i="7" s="1"/>
  <c r="BQ14" i="7" s="1"/>
  <c r="BJ14" i="7"/>
  <c r="BT14" i="7" s="1"/>
  <c r="CE13" i="7"/>
  <c r="BX13" i="7"/>
  <c r="BW13" i="7"/>
  <c r="BV13" i="7"/>
  <c r="BU13" i="7"/>
  <c r="BO13" i="7"/>
  <c r="BN13" i="7"/>
  <c r="BM13" i="7"/>
  <c r="BY13" i="7" s="1"/>
  <c r="BJ13" i="7"/>
  <c r="BT13" i="7" s="1"/>
  <c r="CE12" i="7"/>
  <c r="BX12" i="7"/>
  <c r="BW12" i="7"/>
  <c r="BV12" i="7"/>
  <c r="BU12" i="7"/>
  <c r="BR12" i="7"/>
  <c r="CA12" i="7" s="1"/>
  <c r="CF12" i="7" s="1"/>
  <c r="BO12" i="7"/>
  <c r="BN12" i="7"/>
  <c r="BM12" i="7"/>
  <c r="BY12" i="7" s="1"/>
  <c r="BJ12" i="7"/>
  <c r="BT12" i="7" s="1"/>
  <c r="CE11" i="7"/>
  <c r="BX11" i="7"/>
  <c r="BW11" i="7"/>
  <c r="BV11" i="7"/>
  <c r="BU11" i="7"/>
  <c r="BR11" i="7"/>
  <c r="CA11" i="7" s="1"/>
  <c r="CF11" i="7" s="1"/>
  <c r="BO11" i="7"/>
  <c r="BN11" i="7"/>
  <c r="BM11" i="7"/>
  <c r="BY11" i="7" s="1"/>
  <c r="BJ11" i="7"/>
  <c r="BT11" i="7" s="1"/>
  <c r="CE10" i="7"/>
  <c r="BX10" i="7"/>
  <c r="BW10" i="7"/>
  <c r="BV10" i="7"/>
  <c r="BU10" i="7"/>
  <c r="BR10" i="7"/>
  <c r="CA10" i="7" s="1"/>
  <c r="CF10" i="7" s="1"/>
  <c r="BO10" i="7"/>
  <c r="BN10" i="7"/>
  <c r="BM10" i="7"/>
  <c r="BY10" i="7" s="1"/>
  <c r="BJ10" i="7"/>
  <c r="BT10" i="7" s="1"/>
  <c r="CE9" i="7"/>
  <c r="BX9" i="7"/>
  <c r="BW9" i="7"/>
  <c r="BV9" i="7"/>
  <c r="BU9" i="7"/>
  <c r="BR9" i="7"/>
  <c r="BO9" i="7"/>
  <c r="BN9" i="7"/>
  <c r="BM9" i="7"/>
  <c r="BP9" i="7" s="1"/>
  <c r="BJ9" i="7"/>
  <c r="BT9" i="7" s="1"/>
  <c r="CE8" i="7"/>
  <c r="BX8" i="7"/>
  <c r="BW8" i="7"/>
  <c r="BV8" i="7"/>
  <c r="BU8" i="7"/>
  <c r="BR8" i="7"/>
  <c r="CA8" i="7" s="1"/>
  <c r="CF8" i="7" s="1"/>
  <c r="BO8" i="7"/>
  <c r="BN8" i="7"/>
  <c r="BM8" i="7"/>
  <c r="BY8" i="7" s="1"/>
  <c r="BJ8" i="7"/>
  <c r="BT8" i="7" s="1"/>
  <c r="CE7" i="7"/>
  <c r="BX7" i="7"/>
  <c r="BW7" i="7"/>
  <c r="BV7" i="7"/>
  <c r="BU7" i="7"/>
  <c r="BR7" i="7"/>
  <c r="CA7" i="7" s="1"/>
  <c r="CF7" i="7" s="1"/>
  <c r="BO7" i="7"/>
  <c r="BN7" i="7"/>
  <c r="BM7" i="7"/>
  <c r="BY7" i="7" s="1"/>
  <c r="BJ7" i="7"/>
  <c r="BT7" i="7" s="1"/>
  <c r="CE6" i="7"/>
  <c r="BX6" i="7"/>
  <c r="BW6" i="7"/>
  <c r="BV6" i="7"/>
  <c r="BU6" i="7"/>
  <c r="BR6" i="7"/>
  <c r="CA6" i="7" s="1"/>
  <c r="CF6" i="7" s="1"/>
  <c r="BO6" i="7"/>
  <c r="BN6" i="7"/>
  <c r="BM6" i="7"/>
  <c r="BP6" i="7" s="1"/>
  <c r="BQ6" i="7" s="1"/>
  <c r="BJ6" i="7"/>
  <c r="BT6" i="7" s="1"/>
  <c r="CE5" i="7"/>
  <c r="BX5" i="7"/>
  <c r="BW5" i="7"/>
  <c r="BV5" i="7"/>
  <c r="BU5" i="7"/>
  <c r="BR5" i="7"/>
  <c r="BO5" i="7"/>
  <c r="BN5" i="7"/>
  <c r="BM5" i="7"/>
  <c r="BY5" i="7" s="1"/>
  <c r="BJ5" i="7"/>
  <c r="BT5" i="7" s="1"/>
  <c r="CE4" i="7"/>
  <c r="BX4" i="7"/>
  <c r="BW4" i="7"/>
  <c r="BV4" i="7"/>
  <c r="BU4" i="7"/>
  <c r="BR4" i="7"/>
  <c r="CA4" i="7" s="1"/>
  <c r="CF4" i="7" s="1"/>
  <c r="BO4" i="7"/>
  <c r="BN4" i="7"/>
  <c r="BM4" i="7"/>
  <c r="BP4" i="7" s="1"/>
  <c r="BQ4" i="7" s="1"/>
  <c r="BJ4" i="7"/>
  <c r="BT4" i="7" s="1"/>
  <c r="BY538" i="7" l="1"/>
  <c r="BP538" i="7"/>
  <c r="BQ538" i="7" s="1"/>
  <c r="BY554" i="7"/>
  <c r="BP554" i="7"/>
  <c r="CB558" i="7"/>
  <c r="BZ558" i="7"/>
  <c r="CB290" i="7"/>
  <c r="CB215" i="7"/>
  <c r="CD558" i="7"/>
  <c r="BZ231" i="7"/>
  <c r="BP66" i="7"/>
  <c r="BQ66" i="7" s="1"/>
  <c r="BP187" i="7"/>
  <c r="BQ187" i="7" s="1"/>
  <c r="CD447" i="7"/>
  <c r="BP41" i="7"/>
  <c r="BQ41" i="7" s="1"/>
  <c r="BZ214" i="7"/>
  <c r="BZ247" i="7"/>
  <c r="CA483" i="7"/>
  <c r="CF483" i="7" s="1"/>
  <c r="BZ359" i="7"/>
  <c r="BZ470" i="7"/>
  <c r="BP71" i="7"/>
  <c r="BQ71" i="7" s="1"/>
  <c r="BP88" i="7"/>
  <c r="BQ88" i="7" s="1"/>
  <c r="CB201" i="7"/>
  <c r="CI201" i="7" s="1"/>
  <c r="CT201" i="7" s="1"/>
  <c r="BY179" i="7"/>
  <c r="BY185" i="7"/>
  <c r="CA209" i="7"/>
  <c r="CF209" i="7" s="1"/>
  <c r="CA292" i="7"/>
  <c r="CF292" i="7" s="1"/>
  <c r="BZ333" i="7"/>
  <c r="BZ458" i="7"/>
  <c r="CB261" i="7"/>
  <c r="CB306" i="7"/>
  <c r="CA494" i="7"/>
  <c r="CF494" i="7" s="1"/>
  <c r="BP21" i="7"/>
  <c r="BQ21" i="7" s="1"/>
  <c r="BP78" i="7"/>
  <c r="BQ78" i="7" s="1"/>
  <c r="BY106" i="7"/>
  <c r="BP112" i="7"/>
  <c r="BQ112" i="7" s="1"/>
  <c r="CA212" i="7"/>
  <c r="CF212" i="7" s="1"/>
  <c r="CB242" i="7"/>
  <c r="CD292" i="7"/>
  <c r="CA332" i="7"/>
  <c r="CF332" i="7" s="1"/>
  <c r="CA450" i="7"/>
  <c r="CF450" i="7" s="1"/>
  <c r="BZ572" i="7"/>
  <c r="CB603" i="7"/>
  <c r="BP615" i="7"/>
  <c r="BQ615" i="7" s="1"/>
  <c r="CA234" i="7"/>
  <c r="CF234" i="7" s="1"/>
  <c r="CA354" i="7"/>
  <c r="CF354" i="7" s="1"/>
  <c r="CA362" i="7"/>
  <c r="CF362" i="7" s="1"/>
  <c r="CB572" i="7"/>
  <c r="BP574" i="7"/>
  <c r="CC574" i="7" s="1"/>
  <c r="BP76" i="7"/>
  <c r="BQ76" i="7" s="1"/>
  <c r="CA204" i="7"/>
  <c r="CF204" i="7" s="1"/>
  <c r="CA238" i="7"/>
  <c r="CF238" i="7" s="1"/>
  <c r="CB258" i="7"/>
  <c r="CA267" i="7"/>
  <c r="CF267" i="7" s="1"/>
  <c r="BZ268" i="7"/>
  <c r="BZ292" i="7"/>
  <c r="BZ300" i="7"/>
  <c r="CB309" i="7"/>
  <c r="CA314" i="7"/>
  <c r="CF314" i="7" s="1"/>
  <c r="CA323" i="7"/>
  <c r="CF323" i="7" s="1"/>
  <c r="BZ328" i="7"/>
  <c r="BZ466" i="7"/>
  <c r="BZ494" i="7"/>
  <c r="CC538" i="7"/>
  <c r="CD557" i="7"/>
  <c r="BP560" i="7"/>
  <c r="BQ560" i="7" s="1"/>
  <c r="BP584" i="7"/>
  <c r="CC584" i="7" s="1"/>
  <c r="BP603" i="7"/>
  <c r="BQ603" i="7" s="1"/>
  <c r="BP12" i="7"/>
  <c r="BQ12" i="7" s="1"/>
  <c r="BY17" i="7"/>
  <c r="BP38" i="7"/>
  <c r="BQ38" i="7" s="1"/>
  <c r="BY49" i="7"/>
  <c r="BY58" i="7"/>
  <c r="BP58" i="7"/>
  <c r="BQ58" i="7" s="1"/>
  <c r="BY99" i="7"/>
  <c r="BP99" i="7"/>
  <c r="BQ99" i="7" s="1"/>
  <c r="BY111" i="7"/>
  <c r="BP111" i="7"/>
  <c r="BQ111" i="7" s="1"/>
  <c r="BY173" i="7"/>
  <c r="BY177" i="7"/>
  <c r="CB198" i="7"/>
  <c r="CD213" i="7"/>
  <c r="BZ213" i="7"/>
  <c r="CD245" i="7"/>
  <c r="CB245" i="7"/>
  <c r="CD255" i="7"/>
  <c r="CA255" i="7"/>
  <c r="CF255" i="7" s="1"/>
  <c r="CA259" i="7"/>
  <c r="CF259" i="7" s="1"/>
  <c r="CD272" i="7"/>
  <c r="CD305" i="7"/>
  <c r="CD311" i="7"/>
  <c r="BZ311" i="7"/>
  <c r="CD316" i="7"/>
  <c r="CA316" i="7"/>
  <c r="CF316" i="7" s="1"/>
  <c r="CB336" i="7"/>
  <c r="CA336" i="7"/>
  <c r="CF336" i="7" s="1"/>
  <c r="BZ336" i="7"/>
  <c r="CB465" i="7"/>
  <c r="BZ465" i="7"/>
  <c r="CA568" i="7"/>
  <c r="CF568" i="7" s="1"/>
  <c r="CB568" i="7"/>
  <c r="BZ568" i="7"/>
  <c r="BY580" i="7"/>
  <c r="BP580" i="7"/>
  <c r="CA600" i="7"/>
  <c r="CF600" i="7" s="1"/>
  <c r="BZ600" i="7"/>
  <c r="BY608" i="7"/>
  <c r="BP608" i="7"/>
  <c r="BQ608" i="7" s="1"/>
  <c r="BY4" i="7"/>
  <c r="BY55" i="7"/>
  <c r="BP55" i="7"/>
  <c r="BQ55" i="7" s="1"/>
  <c r="BY84" i="7"/>
  <c r="BP84" i="7"/>
  <c r="BQ84" i="7" s="1"/>
  <c r="BY108" i="7"/>
  <c r="BP117" i="7"/>
  <c r="BQ117" i="7" s="1"/>
  <c r="BY117" i="7"/>
  <c r="BY169" i="7"/>
  <c r="CD195" i="7"/>
  <c r="BZ195" i="7"/>
  <c r="CB239" i="7"/>
  <c r="BZ239" i="7"/>
  <c r="CB284" i="7"/>
  <c r="CA284" i="7"/>
  <c r="CF284" i="7" s="1"/>
  <c r="CD289" i="7"/>
  <c r="CB289" i="7"/>
  <c r="CD307" i="7"/>
  <c r="BZ307" i="7"/>
  <c r="CB340" i="7"/>
  <c r="BZ340" i="7"/>
  <c r="BY524" i="7"/>
  <c r="BP524" i="7"/>
  <c r="CC524" i="7" s="1"/>
  <c r="BY566" i="7"/>
  <c r="BP566" i="7"/>
  <c r="CC566" i="7" s="1"/>
  <c r="BY600" i="7"/>
  <c r="BP600" i="7"/>
  <c r="CC600" i="7" s="1"/>
  <c r="BY39" i="7"/>
  <c r="BP20" i="7"/>
  <c r="BQ20" i="7" s="1"/>
  <c r="BY28" i="7"/>
  <c r="BP30" i="7"/>
  <c r="BQ30" i="7" s="1"/>
  <c r="BY36" i="7"/>
  <c r="BP43" i="7"/>
  <c r="BQ43" i="7" s="1"/>
  <c r="BP50" i="7"/>
  <c r="BQ50" i="7" s="1"/>
  <c r="BP51" i="7"/>
  <c r="BQ51" i="7" s="1"/>
  <c r="BP63" i="7"/>
  <c r="BQ63" i="7" s="1"/>
  <c r="BY82" i="7"/>
  <c r="BY103" i="7"/>
  <c r="BP121" i="7"/>
  <c r="BQ121" i="7" s="1"/>
  <c r="BY122" i="7"/>
  <c r="BY128" i="7"/>
  <c r="BY165" i="7"/>
  <c r="BY181" i="7"/>
  <c r="BP183" i="7"/>
  <c r="BQ183" i="7" s="1"/>
  <c r="BP189" i="7"/>
  <c r="BQ189" i="7" s="1"/>
  <c r="CB192" i="7"/>
  <c r="BZ192" i="7"/>
  <c r="CB219" i="7"/>
  <c r="CI219" i="7" s="1"/>
  <c r="CT219" i="7" s="1"/>
  <c r="CB236" i="7"/>
  <c r="CB250" i="7"/>
  <c r="CA251" i="7"/>
  <c r="CF251" i="7" s="1"/>
  <c r="CA254" i="7"/>
  <c r="CF254" i="7" s="1"/>
  <c r="BZ255" i="7"/>
  <c r="BZ267" i="7"/>
  <c r="CD487" i="7"/>
  <c r="CA487" i="7"/>
  <c r="CF487" i="7" s="1"/>
  <c r="CB533" i="7"/>
  <c r="CD533" i="7"/>
  <c r="BZ533" i="7"/>
  <c r="CB541" i="7"/>
  <c r="CD541" i="7"/>
  <c r="BQ554" i="7"/>
  <c r="CC554" i="7"/>
  <c r="CB563" i="7"/>
  <c r="BZ563" i="7"/>
  <c r="CB591" i="7"/>
  <c r="CD591" i="7"/>
  <c r="BY605" i="7"/>
  <c r="BP605" i="7"/>
  <c r="BQ605" i="7" s="1"/>
  <c r="BY613" i="7"/>
  <c r="BP613" i="7"/>
  <c r="BQ613" i="7" s="1"/>
  <c r="BY59" i="7"/>
  <c r="BP59" i="7"/>
  <c r="BQ59" i="7" s="1"/>
  <c r="BY73" i="7"/>
  <c r="BY80" i="7"/>
  <c r="BY126" i="7"/>
  <c r="BY161" i="7"/>
  <c r="CB454" i="7"/>
  <c r="CA454" i="7"/>
  <c r="CF454" i="7" s="1"/>
  <c r="BZ454" i="7"/>
  <c r="CB482" i="7"/>
  <c r="CA482" i="7"/>
  <c r="CF482" i="7" s="1"/>
  <c r="BP533" i="7"/>
  <c r="CC533" i="7" s="1"/>
  <c r="BY533" i="7"/>
  <c r="BY541" i="7"/>
  <c r="BP541" i="7"/>
  <c r="CC541" i="7" s="1"/>
  <c r="CB580" i="7"/>
  <c r="CD580" i="7"/>
  <c r="CA466" i="7"/>
  <c r="CF466" i="7" s="1"/>
  <c r="CA467" i="7"/>
  <c r="CF467" i="7" s="1"/>
  <c r="BZ490" i="7"/>
  <c r="BY65" i="7"/>
  <c r="BY163" i="7"/>
  <c r="BY167" i="7"/>
  <c r="BY171" i="7"/>
  <c r="BY175" i="7"/>
  <c r="BZ323" i="7"/>
  <c r="BZ332" i="7"/>
  <c r="BZ447" i="7"/>
  <c r="CA490" i="7"/>
  <c r="CF490" i="7" s="1"/>
  <c r="BZ502" i="7"/>
  <c r="BZ552" i="7"/>
  <c r="BP555" i="7"/>
  <c r="BQ555" i="7" s="1"/>
  <c r="CD562" i="7"/>
  <c r="CB574" i="7"/>
  <c r="CB575" i="7"/>
  <c r="BZ576" i="7"/>
  <c r="BP611" i="7"/>
  <c r="BQ611" i="7" s="1"/>
  <c r="CA626" i="7"/>
  <c r="CF626" i="7" s="1"/>
  <c r="CA552" i="7"/>
  <c r="CF552" i="7" s="1"/>
  <c r="CD574" i="7"/>
  <c r="CD576" i="7"/>
  <c r="BP33" i="7"/>
  <c r="BQ33" i="7" s="1"/>
  <c r="BP35" i="7"/>
  <c r="BQ35" i="7" s="1"/>
  <c r="BP44" i="7"/>
  <c r="BQ44" i="7" s="1"/>
  <c r="BP46" i="7"/>
  <c r="BQ46" i="7" s="1"/>
  <c r="BY60" i="7"/>
  <c r="BP62" i="7"/>
  <c r="BQ62" i="7" s="1"/>
  <c r="BP67" i="7"/>
  <c r="BQ67" i="7" s="1"/>
  <c r="BY70" i="7"/>
  <c r="BP75" i="7"/>
  <c r="BQ75" i="7" s="1"/>
  <c r="BP90" i="7"/>
  <c r="BQ90" i="7" s="1"/>
  <c r="BP92" i="7"/>
  <c r="BQ92" i="7" s="1"/>
  <c r="BP96" i="7"/>
  <c r="BQ96" i="7" s="1"/>
  <c r="BY100" i="7"/>
  <c r="BY101" i="7"/>
  <c r="BP101" i="7"/>
  <c r="BQ101" i="7" s="1"/>
  <c r="BP120" i="7"/>
  <c r="BQ120" i="7" s="1"/>
  <c r="BY135" i="7"/>
  <c r="BY139" i="7"/>
  <c r="BY143" i="7"/>
  <c r="BY147" i="7"/>
  <c r="BY151" i="7"/>
  <c r="BP151" i="7"/>
  <c r="BQ151" i="7" s="1"/>
  <c r="BY153" i="7"/>
  <c r="BP153" i="7"/>
  <c r="BQ153" i="7" s="1"/>
  <c r="BY155" i="7"/>
  <c r="BP155" i="7"/>
  <c r="BQ155" i="7" s="1"/>
  <c r="BY157" i="7"/>
  <c r="BP157" i="7"/>
  <c r="BQ157" i="7" s="1"/>
  <c r="BY9" i="7"/>
  <c r="BY18" i="7"/>
  <c r="BY23" i="7"/>
  <c r="BY24" i="7"/>
  <c r="BY25" i="7"/>
  <c r="BY26" i="7"/>
  <c r="BY53" i="7"/>
  <c r="BY110" i="7"/>
  <c r="BP115" i="7"/>
  <c r="BQ115" i="7" s="1"/>
  <c r="BY115" i="7"/>
  <c r="BP131" i="7"/>
  <c r="BQ131" i="7" s="1"/>
  <c r="BY131" i="7"/>
  <c r="BP11" i="7"/>
  <c r="BQ11" i="7" s="1"/>
  <c r="BP13" i="7"/>
  <c r="BQ13" i="7" s="1"/>
  <c r="BY14" i="7"/>
  <c r="BY32" i="7"/>
  <c r="BY34" i="7"/>
  <c r="BY68" i="7"/>
  <c r="BP86" i="7"/>
  <c r="BQ86" i="7" s="1"/>
  <c r="BP94" i="7"/>
  <c r="BQ94" i="7" s="1"/>
  <c r="BP98" i="7"/>
  <c r="BQ98" i="7" s="1"/>
  <c r="BP102" i="7"/>
  <c r="BQ102" i="7" s="1"/>
  <c r="BY119" i="7"/>
  <c r="BY124" i="7"/>
  <c r="BP133" i="7"/>
  <c r="BQ133" i="7" s="1"/>
  <c r="BY133" i="7"/>
  <c r="BY137" i="7"/>
  <c r="BY141" i="7"/>
  <c r="BY145" i="7"/>
  <c r="BY149" i="7"/>
  <c r="BP5" i="7"/>
  <c r="BQ5" i="7" s="1"/>
  <c r="BY6" i="7"/>
  <c r="BP10" i="7"/>
  <c r="BQ10" i="7" s="1"/>
  <c r="BP27" i="7"/>
  <c r="BQ27" i="7" s="1"/>
  <c r="BY42" i="7"/>
  <c r="BP54" i="7"/>
  <c r="BQ54" i="7" s="1"/>
  <c r="BY105" i="7"/>
  <c r="BP104" i="7"/>
  <c r="BQ104" i="7" s="1"/>
  <c r="BP113" i="7"/>
  <c r="BQ113" i="7" s="1"/>
  <c r="BP118" i="7"/>
  <c r="BQ118" i="7" s="1"/>
  <c r="BP180" i="7"/>
  <c r="BQ180" i="7" s="1"/>
  <c r="BP184" i="7"/>
  <c r="BQ184" i="7" s="1"/>
  <c r="BP188" i="7"/>
  <c r="BQ188" i="7" s="1"/>
  <c r="CA192" i="7"/>
  <c r="CF192" i="7" s="1"/>
  <c r="BZ199" i="7"/>
  <c r="CB203" i="7"/>
  <c r="BZ204" i="7"/>
  <c r="CA213" i="7"/>
  <c r="CF213" i="7" s="1"/>
  <c r="BZ223" i="7"/>
  <c r="CA226" i="7"/>
  <c r="CF226" i="7" s="1"/>
  <c r="CA239" i="7"/>
  <c r="CF239" i="7" s="1"/>
  <c r="BZ243" i="7"/>
  <c r="CA247" i="7"/>
  <c r="CF247" i="7" s="1"/>
  <c r="CA248" i="7"/>
  <c r="CF248" i="7" s="1"/>
  <c r="CD249" i="7"/>
  <c r="CD257" i="7"/>
  <c r="BZ264" i="7"/>
  <c r="CB281" i="7"/>
  <c r="CD281" i="7"/>
  <c r="BP159" i="7"/>
  <c r="BQ159" i="7" s="1"/>
  <c r="CA196" i="7"/>
  <c r="CF196" i="7" s="1"/>
  <c r="CB197" i="7"/>
  <c r="CA206" i="7"/>
  <c r="CF206" i="7" s="1"/>
  <c r="CD207" i="7"/>
  <c r="CA208" i="7"/>
  <c r="CF208" i="7" s="1"/>
  <c r="CB216" i="7"/>
  <c r="BZ217" i="7"/>
  <c r="CD220" i="7"/>
  <c r="BZ227" i="7"/>
  <c r="CB229" i="7"/>
  <c r="BZ230" i="7"/>
  <c r="CB241" i="7"/>
  <c r="CA264" i="7"/>
  <c r="CF264" i="7" s="1"/>
  <c r="CD273" i="7"/>
  <c r="CB273" i="7"/>
  <c r="CB280" i="7"/>
  <c r="CD280" i="7"/>
  <c r="CD303" i="7"/>
  <c r="CA303" i="7"/>
  <c r="CF303" i="7" s="1"/>
  <c r="BZ303" i="7"/>
  <c r="CB320" i="7"/>
  <c r="CA320" i="7"/>
  <c r="CF320" i="7" s="1"/>
  <c r="BZ320" i="7"/>
  <c r="CB452" i="7"/>
  <c r="CD452" i="7"/>
  <c r="CB474" i="7"/>
  <c r="CA474" i="7"/>
  <c r="CF474" i="7" s="1"/>
  <c r="BZ474" i="7"/>
  <c r="CB501" i="7"/>
  <c r="CA501" i="7"/>
  <c r="CF501" i="7" s="1"/>
  <c r="BZ501" i="7"/>
  <c r="BY525" i="7"/>
  <c r="BP525" i="7"/>
  <c r="BY534" i="7"/>
  <c r="BP178" i="7"/>
  <c r="BQ178" i="7" s="1"/>
  <c r="BP182" i="7"/>
  <c r="BQ182" i="7" s="1"/>
  <c r="BP186" i="7"/>
  <c r="BQ186" i="7" s="1"/>
  <c r="BP190" i="7"/>
  <c r="CC190" i="7" s="1"/>
  <c r="CA194" i="7"/>
  <c r="CF194" i="7" s="1"/>
  <c r="CA217" i="7"/>
  <c r="CF217" i="7" s="1"/>
  <c r="CA218" i="7"/>
  <c r="CF218" i="7" s="1"/>
  <c r="CA227" i="7"/>
  <c r="CF227" i="7" s="1"/>
  <c r="CA230" i="7"/>
  <c r="CF230" i="7" s="1"/>
  <c r="BZ259" i="7"/>
  <c r="CA260" i="7"/>
  <c r="CF260" i="7" s="1"/>
  <c r="CB457" i="7"/>
  <c r="BZ457" i="7"/>
  <c r="BY527" i="7"/>
  <c r="CA529" i="7"/>
  <c r="CF529" i="7" s="1"/>
  <c r="CB529" i="7"/>
  <c r="CB276" i="7"/>
  <c r="BZ276" i="7"/>
  <c r="CB282" i="7"/>
  <c r="CA282" i="7"/>
  <c r="CF282" i="7" s="1"/>
  <c r="CB302" i="7"/>
  <c r="CA302" i="7"/>
  <c r="CF302" i="7" s="1"/>
  <c r="CB347" i="7"/>
  <c r="CA347" i="7"/>
  <c r="CF347" i="7" s="1"/>
  <c r="CD475" i="7"/>
  <c r="CA475" i="7"/>
  <c r="CF475" i="7" s="1"/>
  <c r="CD515" i="7"/>
  <c r="CA515" i="7"/>
  <c r="CF515" i="7" s="1"/>
  <c r="CB517" i="7"/>
  <c r="CA517" i="7"/>
  <c r="CF517" i="7" s="1"/>
  <c r="BZ517" i="7"/>
  <c r="CB521" i="7"/>
  <c r="BZ521" i="7"/>
  <c r="BP526" i="7"/>
  <c r="BY526" i="7"/>
  <c r="BZ295" i="7"/>
  <c r="CD297" i="7"/>
  <c r="CA298" i="7"/>
  <c r="CF298" i="7" s="1"/>
  <c r="CA307" i="7"/>
  <c r="CF307" i="7" s="1"/>
  <c r="CA328" i="7"/>
  <c r="CF328" i="7" s="1"/>
  <c r="CA333" i="7"/>
  <c r="CF333" i="7" s="1"/>
  <c r="BZ344" i="7"/>
  <c r="CA348" i="7"/>
  <c r="CF348" i="7" s="1"/>
  <c r="BZ350" i="7"/>
  <c r="BZ354" i="7"/>
  <c r="CA359" i="7"/>
  <c r="CF359" i="7" s="1"/>
  <c r="BZ362" i="7"/>
  <c r="BP366" i="7"/>
  <c r="BQ366" i="7" s="1"/>
  <c r="CA458" i="7"/>
  <c r="CF458" i="7" s="1"/>
  <c r="BZ461" i="7"/>
  <c r="BZ478" i="7"/>
  <c r="BZ497" i="7"/>
  <c r="BZ505" i="7"/>
  <c r="BZ509" i="7"/>
  <c r="BZ570" i="7"/>
  <c r="BY588" i="7"/>
  <c r="CC593" i="7"/>
  <c r="BZ596" i="7"/>
  <c r="BP616" i="7"/>
  <c r="BQ616" i="7" s="1"/>
  <c r="BY618" i="7"/>
  <c r="CA620" i="7"/>
  <c r="CF620" i="7" s="1"/>
  <c r="CA295" i="7"/>
  <c r="CF295" i="7" s="1"/>
  <c r="CA350" i="7"/>
  <c r="CF350" i="7" s="1"/>
  <c r="CA461" i="7"/>
  <c r="CF461" i="7" s="1"/>
  <c r="BZ473" i="7"/>
  <c r="BZ482" i="7"/>
  <c r="BP537" i="7"/>
  <c r="CA540" i="7"/>
  <c r="CF540" i="7" s="1"/>
  <c r="CA545" i="7"/>
  <c r="CF545" i="7" s="1"/>
  <c r="BP558" i="7"/>
  <c r="BQ558" i="7" s="1"/>
  <c r="BP562" i="7"/>
  <c r="BQ562" i="7" s="1"/>
  <c r="BP563" i="7"/>
  <c r="CD563" i="7"/>
  <c r="CB566" i="7"/>
  <c r="CC568" i="7"/>
  <c r="CB570" i="7"/>
  <c r="BZ584" i="7"/>
  <c r="BZ588" i="7"/>
  <c r="BZ591" i="7"/>
  <c r="CA596" i="7"/>
  <c r="CF596" i="7" s="1"/>
  <c r="BY610" i="7"/>
  <c r="CA624" i="7"/>
  <c r="CF624" i="7" s="1"/>
  <c r="CA628" i="7"/>
  <c r="CF628" i="7" s="1"/>
  <c r="BZ541" i="7"/>
  <c r="CD566" i="7"/>
  <c r="BP570" i="7"/>
  <c r="CC570" i="7" s="1"/>
  <c r="CD570" i="7"/>
  <c r="BZ574" i="7"/>
  <c r="BZ580" i="7"/>
  <c r="CD584" i="7"/>
  <c r="CD588" i="7"/>
  <c r="CA591" i="7"/>
  <c r="CF591" i="7" s="1"/>
  <c r="BP596" i="7"/>
  <c r="CC596" i="7" s="1"/>
  <c r="BP601" i="7"/>
  <c r="CA622" i="7"/>
  <c r="CF622" i="7" s="1"/>
  <c r="BQ17" i="7"/>
  <c r="CC17" i="7"/>
  <c r="BQ9" i="7"/>
  <c r="CC9" i="7"/>
  <c r="BQ25" i="7"/>
  <c r="CC25" i="7"/>
  <c r="CC21" i="7"/>
  <c r="BP7" i="7"/>
  <c r="BQ7" i="7" s="1"/>
  <c r="BP8" i="7"/>
  <c r="BP15" i="7"/>
  <c r="BQ15" i="7" s="1"/>
  <c r="BP16" i="7"/>
  <c r="BP19" i="7"/>
  <c r="BQ19" i="7" s="1"/>
  <c r="BP22" i="7"/>
  <c r="BP29" i="7"/>
  <c r="BQ29" i="7" s="1"/>
  <c r="BP31" i="7"/>
  <c r="BQ31" i="7" s="1"/>
  <c r="BP37" i="7"/>
  <c r="BQ37" i="7" s="1"/>
  <c r="BP40" i="7"/>
  <c r="BQ40" i="7" s="1"/>
  <c r="BP45" i="7"/>
  <c r="BQ45" i="7" s="1"/>
  <c r="BY48" i="7"/>
  <c r="BY52" i="7"/>
  <c r="BY56" i="7"/>
  <c r="BY64" i="7"/>
  <c r="BY69" i="7"/>
  <c r="BP69" i="7"/>
  <c r="BQ69" i="7" s="1"/>
  <c r="BY116" i="7"/>
  <c r="BP116" i="7"/>
  <c r="BQ116" i="7" s="1"/>
  <c r="BY109" i="7"/>
  <c r="BP109" i="7"/>
  <c r="BQ109" i="7" s="1"/>
  <c r="CC18" i="7"/>
  <c r="BY114" i="7"/>
  <c r="BP114" i="7"/>
  <c r="BQ114" i="7" s="1"/>
  <c r="BY77" i="7"/>
  <c r="BP77" i="7"/>
  <c r="BQ77" i="7" s="1"/>
  <c r="BY123" i="7"/>
  <c r="BP123" i="7"/>
  <c r="BQ123" i="7" s="1"/>
  <c r="BY130" i="7"/>
  <c r="BP130" i="7"/>
  <c r="BQ130" i="7" s="1"/>
  <c r="BY132" i="7"/>
  <c r="BP132" i="7"/>
  <c r="BQ132" i="7" s="1"/>
  <c r="CC26" i="7"/>
  <c r="CC4" i="7"/>
  <c r="CC12" i="7"/>
  <c r="CB30" i="7"/>
  <c r="CI30" i="7" s="1"/>
  <c r="CT30" i="7" s="1"/>
  <c r="BP47" i="7"/>
  <c r="BQ47" i="7" s="1"/>
  <c r="BY57" i="7"/>
  <c r="BY61" i="7"/>
  <c r="BY72" i="7"/>
  <c r="BP72" i="7"/>
  <c r="BQ72" i="7" s="1"/>
  <c r="BY107" i="7"/>
  <c r="BP107" i="7"/>
  <c r="BQ107" i="7" s="1"/>
  <c r="BY125" i="7"/>
  <c r="BP125" i="7"/>
  <c r="BQ125" i="7" s="1"/>
  <c r="CA191" i="7"/>
  <c r="CF191" i="7" s="1"/>
  <c r="CD196" i="7"/>
  <c r="CA200" i="7"/>
  <c r="CF200" i="7" s="1"/>
  <c r="CD202" i="7"/>
  <c r="CB205" i="7"/>
  <c r="CI205" i="7" s="1"/>
  <c r="CT205" i="7" s="1"/>
  <c r="CD205" i="7"/>
  <c r="CD206" i="7"/>
  <c r="CA210" i="7"/>
  <c r="CF210" i="7" s="1"/>
  <c r="CD215" i="7"/>
  <c r="CD218" i="7"/>
  <c r="CA222" i="7"/>
  <c r="CF222" i="7" s="1"/>
  <c r="CA235" i="7"/>
  <c r="CF235" i="7" s="1"/>
  <c r="CA244" i="7"/>
  <c r="CF244" i="7" s="1"/>
  <c r="CD248" i="7"/>
  <c r="CA252" i="7"/>
  <c r="CF252" i="7" s="1"/>
  <c r="CD260" i="7"/>
  <c r="CD271" i="7"/>
  <c r="BZ271" i="7"/>
  <c r="CD275" i="7"/>
  <c r="BZ275" i="7"/>
  <c r="CD279" i="7"/>
  <c r="CA279" i="7"/>
  <c r="CF279" i="7" s="1"/>
  <c r="BZ283" i="7"/>
  <c r="CB296" i="7"/>
  <c r="BZ296" i="7"/>
  <c r="CB304" i="7"/>
  <c r="CA304" i="7"/>
  <c r="CF304" i="7" s="1"/>
  <c r="CD327" i="7"/>
  <c r="CA327" i="7"/>
  <c r="CF327" i="7" s="1"/>
  <c r="BZ327" i="7"/>
  <c r="CB355" i="7"/>
  <c r="CA355" i="7"/>
  <c r="CF355" i="7" s="1"/>
  <c r="BZ355" i="7"/>
  <c r="CB373" i="7"/>
  <c r="CA373" i="7"/>
  <c r="CF373" i="7" s="1"/>
  <c r="CD373" i="7"/>
  <c r="CB389" i="7"/>
  <c r="CA389" i="7"/>
  <c r="CF389" i="7" s="1"/>
  <c r="CD389" i="7"/>
  <c r="CB405" i="7"/>
  <c r="CA405" i="7"/>
  <c r="CF405" i="7" s="1"/>
  <c r="CD405" i="7"/>
  <c r="CB421" i="7"/>
  <c r="CA421" i="7"/>
  <c r="CF421" i="7" s="1"/>
  <c r="CD421" i="7"/>
  <c r="CD200" i="7"/>
  <c r="CD210" i="7"/>
  <c r="CD235" i="7"/>
  <c r="CD244" i="7"/>
  <c r="CD252" i="7"/>
  <c r="BZ256" i="7"/>
  <c r="CB265" i="7"/>
  <c r="CD265" i="7"/>
  <c r="CB270" i="7"/>
  <c r="CA270" i="7"/>
  <c r="CF270" i="7" s="1"/>
  <c r="BZ272" i="7"/>
  <c r="CA274" i="7"/>
  <c r="CF274" i="7" s="1"/>
  <c r="CB274" i="7"/>
  <c r="CA283" i="7"/>
  <c r="CF283" i="7" s="1"/>
  <c r="CA286" i="7"/>
  <c r="CF286" i="7" s="1"/>
  <c r="CA288" i="7"/>
  <c r="CF288" i="7" s="1"/>
  <c r="CD291" i="7"/>
  <c r="CA291" i="7"/>
  <c r="CF291" i="7" s="1"/>
  <c r="CB293" i="7"/>
  <c r="CA300" i="7"/>
  <c r="CF300" i="7" s="1"/>
  <c r="CA308" i="7"/>
  <c r="CF308" i="7" s="1"/>
  <c r="CA311" i="7"/>
  <c r="CF311" i="7" s="1"/>
  <c r="BZ312" i="7"/>
  <c r="CD313" i="7"/>
  <c r="CD319" i="7"/>
  <c r="BZ319" i="7"/>
  <c r="CD321" i="7"/>
  <c r="CB321" i="7"/>
  <c r="CD330" i="7"/>
  <c r="CA330" i="7"/>
  <c r="CF330" i="7" s="1"/>
  <c r="CA338" i="7"/>
  <c r="CF338" i="7" s="1"/>
  <c r="CD338" i="7"/>
  <c r="CB341" i="7"/>
  <c r="CA341" i="7"/>
  <c r="CF341" i="7" s="1"/>
  <c r="BZ341" i="7"/>
  <c r="BY74" i="7"/>
  <c r="BY79" i="7"/>
  <c r="BY81" i="7"/>
  <c r="BY83" i="7"/>
  <c r="BY85" i="7"/>
  <c r="BY87" i="7"/>
  <c r="BY89" i="7"/>
  <c r="BY91" i="7"/>
  <c r="BY93" i="7"/>
  <c r="BY95" i="7"/>
  <c r="BY97" i="7"/>
  <c r="BY127" i="7"/>
  <c r="BY129" i="7"/>
  <c r="BY134" i="7"/>
  <c r="BY136" i="7"/>
  <c r="BY138" i="7"/>
  <c r="BY140" i="7"/>
  <c r="BY142" i="7"/>
  <c r="BY144" i="7"/>
  <c r="BY146" i="7"/>
  <c r="BY148" i="7"/>
  <c r="BY150" i="7"/>
  <c r="BY152" i="7"/>
  <c r="BY154" i="7"/>
  <c r="BY156" i="7"/>
  <c r="BY158" i="7"/>
  <c r="BY160" i="7"/>
  <c r="BY162" i="7"/>
  <c r="BY164" i="7"/>
  <c r="BY166" i="7"/>
  <c r="BY168" i="7"/>
  <c r="BY170" i="7"/>
  <c r="BY172" i="7"/>
  <c r="BY174" i="7"/>
  <c r="BY176" i="7"/>
  <c r="CD192" i="7"/>
  <c r="CA195" i="7"/>
  <c r="CF195" i="7" s="1"/>
  <c r="BZ196" i="7"/>
  <c r="CA199" i="7"/>
  <c r="CF199" i="7" s="1"/>
  <c r="BZ205" i="7"/>
  <c r="BZ206" i="7"/>
  <c r="BZ209" i="7"/>
  <c r="CA214" i="7"/>
  <c r="CF214" i="7" s="1"/>
  <c r="BZ218" i="7"/>
  <c r="CA223" i="7"/>
  <c r="CF223" i="7" s="1"/>
  <c r="BZ226" i="7"/>
  <c r="CD227" i="7"/>
  <c r="CD228" i="7"/>
  <c r="CA231" i="7"/>
  <c r="CF231" i="7" s="1"/>
  <c r="CA233" i="7"/>
  <c r="CF233" i="7" s="1"/>
  <c r="BZ234" i="7"/>
  <c r="CB237" i="7"/>
  <c r="BZ238" i="7"/>
  <c r="CD239" i="7"/>
  <c r="CB240" i="7"/>
  <c r="CI240" i="7" s="1"/>
  <c r="CT240" i="7" s="1"/>
  <c r="CA243" i="7"/>
  <c r="CF243" i="7" s="1"/>
  <c r="BZ248" i="7"/>
  <c r="BZ251" i="7"/>
  <c r="CA256" i="7"/>
  <c r="CF256" i="7" s="1"/>
  <c r="BZ260" i="7"/>
  <c r="CB266" i="7"/>
  <c r="CB268" i="7"/>
  <c r="CA268" i="7"/>
  <c r="CF268" i="7" s="1"/>
  <c r="CA271" i="7"/>
  <c r="CF271" i="7" s="1"/>
  <c r="CA272" i="7"/>
  <c r="CF272" i="7" s="1"/>
  <c r="CA275" i="7"/>
  <c r="CF275" i="7" s="1"/>
  <c r="CD277" i="7"/>
  <c r="CB277" i="7"/>
  <c r="BZ279" i="7"/>
  <c r="BZ280" i="7"/>
  <c r="CA296" i="7"/>
  <c r="CF296" i="7" s="1"/>
  <c r="CD300" i="7"/>
  <c r="BZ304" i="7"/>
  <c r="CA319" i="7"/>
  <c r="CF319" i="7" s="1"/>
  <c r="CB346" i="7"/>
  <c r="CA346" i="7"/>
  <c r="CF346" i="7" s="1"/>
  <c r="BZ346" i="7"/>
  <c r="CB381" i="7"/>
  <c r="CA381" i="7"/>
  <c r="CF381" i="7" s="1"/>
  <c r="CD381" i="7"/>
  <c r="CB397" i="7"/>
  <c r="CA397" i="7"/>
  <c r="CF397" i="7" s="1"/>
  <c r="CD397" i="7"/>
  <c r="CB413" i="7"/>
  <c r="CA413" i="7"/>
  <c r="CF413" i="7" s="1"/>
  <c r="CD413" i="7"/>
  <c r="CB429" i="7"/>
  <c r="CA429" i="7"/>
  <c r="CF429" i="7" s="1"/>
  <c r="CD429" i="7"/>
  <c r="BZ191" i="7"/>
  <c r="BZ200" i="7"/>
  <c r="BZ210" i="7"/>
  <c r="CD214" i="7"/>
  <c r="CB221" i="7"/>
  <c r="BZ222" i="7"/>
  <c r="CD223" i="7"/>
  <c r="CB224" i="7"/>
  <c r="CD231" i="7"/>
  <c r="BZ235" i="7"/>
  <c r="BZ244" i="7"/>
  <c r="BZ252" i="7"/>
  <c r="CD256" i="7"/>
  <c r="CD263" i="7"/>
  <c r="BZ263" i="7"/>
  <c r="CD287" i="7"/>
  <c r="CA287" i="7"/>
  <c r="CF287" i="7" s="1"/>
  <c r="CB288" i="7"/>
  <c r="BZ288" i="7"/>
  <c r="CD296" i="7"/>
  <c r="CD299" i="7"/>
  <c r="BZ299" i="7"/>
  <c r="CD304" i="7"/>
  <c r="CB308" i="7"/>
  <c r="BZ308" i="7"/>
  <c r="CB312" i="7"/>
  <c r="CA312" i="7"/>
  <c r="CF312" i="7" s="1"/>
  <c r="CD315" i="7"/>
  <c r="CA315" i="7"/>
  <c r="CF315" i="7" s="1"/>
  <c r="CB316" i="7"/>
  <c r="BZ316" i="7"/>
  <c r="CB318" i="7"/>
  <c r="CA318" i="7"/>
  <c r="CF318" i="7" s="1"/>
  <c r="CB329" i="7"/>
  <c r="CD329" i="7"/>
  <c r="CB352" i="7"/>
  <c r="CA352" i="7"/>
  <c r="CF352" i="7" s="1"/>
  <c r="CB437" i="7"/>
  <c r="CA437" i="7"/>
  <c r="CF437" i="7" s="1"/>
  <c r="CB445" i="7"/>
  <c r="CD445" i="7"/>
  <c r="BZ445" i="7"/>
  <c r="CB453" i="7"/>
  <c r="CA453" i="7"/>
  <c r="CF453" i="7" s="1"/>
  <c r="CD463" i="7"/>
  <c r="CA463" i="7"/>
  <c r="CF463" i="7" s="1"/>
  <c r="CD479" i="7"/>
  <c r="CA479" i="7"/>
  <c r="CF479" i="7" s="1"/>
  <c r="CB486" i="7"/>
  <c r="CA486" i="7"/>
  <c r="CF486" i="7" s="1"/>
  <c r="BZ486" i="7"/>
  <c r="BY528" i="7"/>
  <c r="BQ546" i="7"/>
  <c r="CC546" i="7"/>
  <c r="BY546" i="7"/>
  <c r="CB548" i="7"/>
  <c r="CA548" i="7"/>
  <c r="CF548" i="7" s="1"/>
  <c r="BZ548" i="7"/>
  <c r="BY564" i="7"/>
  <c r="BP564" i="7"/>
  <c r="BQ564" i="7" s="1"/>
  <c r="CA571" i="7"/>
  <c r="CF571" i="7" s="1"/>
  <c r="BZ571" i="7"/>
  <c r="CD571" i="7"/>
  <c r="CB571" i="7"/>
  <c r="BZ324" i="7"/>
  <c r="CA334" i="7"/>
  <c r="CF334" i="7" s="1"/>
  <c r="BZ337" i="7"/>
  <c r="BZ351" i="7"/>
  <c r="CB358" i="7"/>
  <c r="CA358" i="7"/>
  <c r="CF358" i="7" s="1"/>
  <c r="CB365" i="7"/>
  <c r="CA365" i="7"/>
  <c r="CF365" i="7" s="1"/>
  <c r="CB375" i="7"/>
  <c r="CA375" i="7"/>
  <c r="CF375" i="7" s="1"/>
  <c r="CB383" i="7"/>
  <c r="CA383" i="7"/>
  <c r="CF383" i="7" s="1"/>
  <c r="CB391" i="7"/>
  <c r="CA391" i="7"/>
  <c r="CF391" i="7" s="1"/>
  <c r="CB399" i="7"/>
  <c r="CA399" i="7"/>
  <c r="CF399" i="7" s="1"/>
  <c r="CB407" i="7"/>
  <c r="CA407" i="7"/>
  <c r="CF407" i="7" s="1"/>
  <c r="CB415" i="7"/>
  <c r="CA415" i="7"/>
  <c r="CF415" i="7" s="1"/>
  <c r="CB423" i="7"/>
  <c r="CA423" i="7"/>
  <c r="CF423" i="7" s="1"/>
  <c r="CB431" i="7"/>
  <c r="CA431" i="7"/>
  <c r="CF431" i="7" s="1"/>
  <c r="CD437" i="7"/>
  <c r="CB439" i="7"/>
  <c r="CA439" i="7"/>
  <c r="CF439" i="7" s="1"/>
  <c r="CA445" i="7"/>
  <c r="CF445" i="7" s="1"/>
  <c r="CD451" i="7"/>
  <c r="CA451" i="7"/>
  <c r="CF451" i="7" s="1"/>
  <c r="BZ453" i="7"/>
  <c r="CB489" i="7"/>
  <c r="CA489" i="7"/>
  <c r="CF489" i="7" s="1"/>
  <c r="BZ489" i="7"/>
  <c r="CB493" i="7"/>
  <c r="CA493" i="7"/>
  <c r="CF493" i="7" s="1"/>
  <c r="BZ493" i="7"/>
  <c r="CD519" i="7"/>
  <c r="CA519" i="7"/>
  <c r="CF519" i="7" s="1"/>
  <c r="CB522" i="7"/>
  <c r="CA522" i="7"/>
  <c r="CF522" i="7" s="1"/>
  <c r="BZ522" i="7"/>
  <c r="BQ527" i="7"/>
  <c r="CC527" i="7"/>
  <c r="CA530" i="7"/>
  <c r="CF530" i="7" s="1"/>
  <c r="CB530" i="7"/>
  <c r="BY571" i="7"/>
  <c r="BP571" i="7"/>
  <c r="CC571" i="7" s="1"/>
  <c r="CB587" i="7"/>
  <c r="CA587" i="7"/>
  <c r="CF587" i="7" s="1"/>
  <c r="BZ587" i="7"/>
  <c r="CD587" i="7"/>
  <c r="CB595" i="7"/>
  <c r="CA595" i="7"/>
  <c r="CF595" i="7" s="1"/>
  <c r="BZ595" i="7"/>
  <c r="BY597" i="7"/>
  <c r="BP597" i="7"/>
  <c r="CD264" i="7"/>
  <c r="CD276" i="7"/>
  <c r="CD284" i="7"/>
  <c r="CD320" i="7"/>
  <c r="CA324" i="7"/>
  <c r="CF324" i="7" s="1"/>
  <c r="CD328" i="7"/>
  <c r="CA337" i="7"/>
  <c r="CF337" i="7" s="1"/>
  <c r="CA340" i="7"/>
  <c r="CF340" i="7" s="1"/>
  <c r="CA351" i="7"/>
  <c r="CF351" i="7" s="1"/>
  <c r="BZ358" i="7"/>
  <c r="CA360" i="7"/>
  <c r="CF360" i="7" s="1"/>
  <c r="BP365" i="7"/>
  <c r="BQ365" i="7" s="1"/>
  <c r="BY365" i="7"/>
  <c r="BZ365" i="7"/>
  <c r="CB369" i="7"/>
  <c r="CA369" i="7"/>
  <c r="CF369" i="7" s="1"/>
  <c r="CD375" i="7"/>
  <c r="CB377" i="7"/>
  <c r="CA377" i="7"/>
  <c r="CF377" i="7" s="1"/>
  <c r="CD383" i="7"/>
  <c r="CB385" i="7"/>
  <c r="CA385" i="7"/>
  <c r="CF385" i="7" s="1"/>
  <c r="CD391" i="7"/>
  <c r="CB393" i="7"/>
  <c r="CA393" i="7"/>
  <c r="CF393" i="7" s="1"/>
  <c r="CD399" i="7"/>
  <c r="CB401" i="7"/>
  <c r="CA401" i="7"/>
  <c r="CF401" i="7" s="1"/>
  <c r="CD407" i="7"/>
  <c r="CB409" i="7"/>
  <c r="CA409" i="7"/>
  <c r="CF409" i="7" s="1"/>
  <c r="CD415" i="7"/>
  <c r="CB417" i="7"/>
  <c r="CA417" i="7"/>
  <c r="CF417" i="7" s="1"/>
  <c r="CD423" i="7"/>
  <c r="CB425" i="7"/>
  <c r="CA425" i="7"/>
  <c r="CF425" i="7" s="1"/>
  <c r="CD431" i="7"/>
  <c r="CB433" i="7"/>
  <c r="CA433" i="7"/>
  <c r="CF433" i="7" s="1"/>
  <c r="CD439" i="7"/>
  <c r="CB441" i="7"/>
  <c r="CA441" i="7"/>
  <c r="CF441" i="7" s="1"/>
  <c r="BZ451" i="7"/>
  <c r="CD471" i="7"/>
  <c r="CA471" i="7"/>
  <c r="CF471" i="7" s="1"/>
  <c r="BY530" i="7"/>
  <c r="BP530" i="7"/>
  <c r="BQ534" i="7"/>
  <c r="CC534" i="7"/>
  <c r="CB536" i="7"/>
  <c r="CA536" i="7"/>
  <c r="CF536" i="7" s="1"/>
  <c r="BZ536" i="7"/>
  <c r="CB549" i="7"/>
  <c r="BZ549" i="7"/>
  <c r="CD549" i="7"/>
  <c r="CA549" i="7"/>
  <c r="CF549" i="7" s="1"/>
  <c r="BY587" i="7"/>
  <c r="BP587" i="7"/>
  <c r="CC587" i="7" s="1"/>
  <c r="CB592" i="7"/>
  <c r="BZ592" i="7"/>
  <c r="CD592" i="7"/>
  <c r="CB322" i="7"/>
  <c r="CD324" i="7"/>
  <c r="CB325" i="7"/>
  <c r="BZ347" i="7"/>
  <c r="CB363" i="7"/>
  <c r="CA363" i="7"/>
  <c r="CF363" i="7" s="1"/>
  <c r="CB371" i="7"/>
  <c r="CA371" i="7"/>
  <c r="CF371" i="7" s="1"/>
  <c r="CB379" i="7"/>
  <c r="CA379" i="7"/>
  <c r="CF379" i="7" s="1"/>
  <c r="CB387" i="7"/>
  <c r="CA387" i="7"/>
  <c r="CF387" i="7" s="1"/>
  <c r="CB395" i="7"/>
  <c r="CA395" i="7"/>
  <c r="CF395" i="7" s="1"/>
  <c r="CB403" i="7"/>
  <c r="CA403" i="7"/>
  <c r="CF403" i="7" s="1"/>
  <c r="CB411" i="7"/>
  <c r="CA411" i="7"/>
  <c r="CF411" i="7" s="1"/>
  <c r="CB419" i="7"/>
  <c r="CA419" i="7"/>
  <c r="CF419" i="7" s="1"/>
  <c r="CB427" i="7"/>
  <c r="CA427" i="7"/>
  <c r="CF427" i="7" s="1"/>
  <c r="CB435" i="7"/>
  <c r="CA435" i="7"/>
  <c r="CF435" i="7" s="1"/>
  <c r="CB443" i="7"/>
  <c r="CA443" i="7"/>
  <c r="CF443" i="7" s="1"/>
  <c r="CD499" i="7"/>
  <c r="CA499" i="7"/>
  <c r="CF499" i="7" s="1"/>
  <c r="CB514" i="7"/>
  <c r="CA514" i="7"/>
  <c r="CF514" i="7" s="1"/>
  <c r="BZ514" i="7"/>
  <c r="CA531" i="7"/>
  <c r="CF531" i="7" s="1"/>
  <c r="CB531" i="7"/>
  <c r="CD531" i="7"/>
  <c r="BZ531" i="7"/>
  <c r="BY549" i="7"/>
  <c r="BP549" i="7"/>
  <c r="CC549" i="7" s="1"/>
  <c r="CB564" i="7"/>
  <c r="CD564" i="7"/>
  <c r="BZ564" i="7"/>
  <c r="BY576" i="7"/>
  <c r="BY592" i="7"/>
  <c r="BP592" i="7"/>
  <c r="CC592" i="7" s="1"/>
  <c r="BQ601" i="7"/>
  <c r="CC601" i="7"/>
  <c r="CA447" i="7"/>
  <c r="CF447" i="7" s="1"/>
  <c r="BZ452" i="7"/>
  <c r="BZ462" i="7"/>
  <c r="BZ469" i="7"/>
  <c r="BZ477" i="7"/>
  <c r="BZ485" i="7"/>
  <c r="CA497" i="7"/>
  <c r="CF497" i="7" s="1"/>
  <c r="BZ498" i="7"/>
  <c r="CA502" i="7"/>
  <c r="CF502" i="7" s="1"/>
  <c r="CA503" i="7"/>
  <c r="CF503" i="7" s="1"/>
  <c r="CA505" i="7"/>
  <c r="CF505" i="7" s="1"/>
  <c r="BZ506" i="7"/>
  <c r="CA509" i="7"/>
  <c r="CF509" i="7" s="1"/>
  <c r="BZ510" i="7"/>
  <c r="BZ513" i="7"/>
  <c r="BZ518" i="7"/>
  <c r="BY531" i="7"/>
  <c r="CB532" i="7"/>
  <c r="BZ532" i="7"/>
  <c r="BY536" i="7"/>
  <c r="BP536" i="7"/>
  <c r="CB537" i="7"/>
  <c r="BZ537" i="7"/>
  <c r="BQ550" i="7"/>
  <c r="CC550" i="7"/>
  <c r="BY550" i="7"/>
  <c r="CB559" i="7"/>
  <c r="CD559" i="7"/>
  <c r="CB560" i="7"/>
  <c r="CD560" i="7"/>
  <c r="BZ560" i="7"/>
  <c r="CA567" i="7"/>
  <c r="CF567" i="7" s="1"/>
  <c r="CB567" i="7"/>
  <c r="BZ567" i="7"/>
  <c r="BY572" i="7"/>
  <c r="CA573" i="7"/>
  <c r="CF573" i="7" s="1"/>
  <c r="CB573" i="7"/>
  <c r="BZ573" i="7"/>
  <c r="BQ577" i="7"/>
  <c r="CC577" i="7"/>
  <c r="BY577" i="7"/>
  <c r="CB579" i="7"/>
  <c r="CD579" i="7"/>
  <c r="CA579" i="7"/>
  <c r="CF579" i="7" s="1"/>
  <c r="CB599" i="7"/>
  <c r="CA599" i="7"/>
  <c r="CF599" i="7" s="1"/>
  <c r="BZ599" i="7"/>
  <c r="BP612" i="7"/>
  <c r="BQ612" i="7" s="1"/>
  <c r="BY612" i="7"/>
  <c r="BP614" i="7"/>
  <c r="BQ614" i="7" s="1"/>
  <c r="BY614" i="7"/>
  <c r="BP617" i="7"/>
  <c r="BQ617" i="7" s="1"/>
  <c r="BY617" i="7"/>
  <c r="BP619" i="7"/>
  <c r="BQ619" i="7" s="1"/>
  <c r="BY619" i="7"/>
  <c r="CA462" i="7"/>
  <c r="CF462" i="7" s="1"/>
  <c r="CA470" i="7"/>
  <c r="CF470" i="7" s="1"/>
  <c r="CA478" i="7"/>
  <c r="CF478" i="7" s="1"/>
  <c r="CA485" i="7"/>
  <c r="CF485" i="7" s="1"/>
  <c r="CA498" i="7"/>
  <c r="CF498" i="7" s="1"/>
  <c r="CA506" i="7"/>
  <c r="CF506" i="7" s="1"/>
  <c r="CA510" i="7"/>
  <c r="CF510" i="7" s="1"/>
  <c r="CA513" i="7"/>
  <c r="CF513" i="7" s="1"/>
  <c r="CA518" i="7"/>
  <c r="CF518" i="7" s="1"/>
  <c r="CA521" i="7"/>
  <c r="CF521" i="7" s="1"/>
  <c r="CA532" i="7"/>
  <c r="CF532" i="7" s="1"/>
  <c r="BP542" i="7"/>
  <c r="BP545" i="7"/>
  <c r="CC545" i="7" s="1"/>
  <c r="CB553" i="7"/>
  <c r="CA553" i="7"/>
  <c r="CF553" i="7" s="1"/>
  <c r="BZ553" i="7"/>
  <c r="BY559" i="7"/>
  <c r="BP559" i="7"/>
  <c r="BZ559" i="7"/>
  <c r="CB565" i="7"/>
  <c r="CD565" i="7"/>
  <c r="BZ565" i="7"/>
  <c r="BY567" i="7"/>
  <c r="CA569" i="7"/>
  <c r="CF569" i="7" s="1"/>
  <c r="CB569" i="7"/>
  <c r="BZ569" i="7"/>
  <c r="CD573" i="7"/>
  <c r="BP575" i="7"/>
  <c r="CC575" i="7" s="1"/>
  <c r="BZ579" i="7"/>
  <c r="BY581" i="7"/>
  <c r="CB583" i="7"/>
  <c r="CD583" i="7"/>
  <c r="CA583" i="7"/>
  <c r="CF583" i="7" s="1"/>
  <c r="BQ589" i="7"/>
  <c r="CC589" i="7"/>
  <c r="BY589" i="7"/>
  <c r="BY602" i="7"/>
  <c r="BP606" i="7"/>
  <c r="BQ606" i="7" s="1"/>
  <c r="CA356" i="7"/>
  <c r="CF356" i="7" s="1"/>
  <c r="BZ481" i="7"/>
  <c r="CA524" i="7"/>
  <c r="CF524" i="7" s="1"/>
  <c r="BQ526" i="7"/>
  <c r="CC526" i="7"/>
  <c r="BY529" i="7"/>
  <c r="CD537" i="7"/>
  <c r="CB544" i="7"/>
  <c r="CA544" i="7"/>
  <c r="CF544" i="7" s="1"/>
  <c r="CB545" i="7"/>
  <c r="BZ545" i="7"/>
  <c r="BY553" i="7"/>
  <c r="CB561" i="7"/>
  <c r="CD561" i="7"/>
  <c r="BZ561" i="7"/>
  <c r="CD567" i="7"/>
  <c r="CA575" i="7"/>
  <c r="CF575" i="7" s="1"/>
  <c r="BZ575" i="7"/>
  <c r="BZ583" i="7"/>
  <c r="BY585" i="7"/>
  <c r="BP604" i="7"/>
  <c r="BQ604" i="7" s="1"/>
  <c r="BY604" i="7"/>
  <c r="BP607" i="7"/>
  <c r="BQ607" i="7" s="1"/>
  <c r="BY607" i="7"/>
  <c r="BP609" i="7"/>
  <c r="BQ609" i="7" s="1"/>
  <c r="BY609" i="7"/>
  <c r="CD596" i="7"/>
  <c r="BP620" i="7"/>
  <c r="BQ620" i="7" s="1"/>
  <c r="BZ540" i="7"/>
  <c r="BZ557" i="7"/>
  <c r="BZ562" i="7"/>
  <c r="BZ566" i="7"/>
  <c r="BY568" i="7"/>
  <c r="CD568" i="7"/>
  <c r="CD572" i="7"/>
  <c r="BY593" i="7"/>
  <c r="CD9" i="7"/>
  <c r="BZ9" i="7"/>
  <c r="CD13" i="7"/>
  <c r="BZ13" i="7"/>
  <c r="CB13" i="7"/>
  <c r="CD22" i="7"/>
  <c r="BZ22" i="7"/>
  <c r="CD28" i="7"/>
  <c r="BZ28" i="7"/>
  <c r="CB28" i="7"/>
  <c r="CD39" i="7"/>
  <c r="BZ39" i="7"/>
  <c r="CB39" i="7"/>
  <c r="CD51" i="7"/>
  <c r="BZ51" i="7"/>
  <c r="CD59" i="7"/>
  <c r="BZ59" i="7"/>
  <c r="CD67" i="7"/>
  <c r="BZ67" i="7"/>
  <c r="CB67" i="7"/>
  <c r="CD113" i="7"/>
  <c r="BZ113" i="7"/>
  <c r="CA113" i="7"/>
  <c r="CF113" i="7" s="1"/>
  <c r="CD125" i="7"/>
  <c r="BZ125" i="7"/>
  <c r="CA125" i="7"/>
  <c r="CF125" i="7" s="1"/>
  <c r="BY207" i="7"/>
  <c r="BP207" i="7"/>
  <c r="BY281" i="7"/>
  <c r="BP281" i="7"/>
  <c r="CB342" i="7"/>
  <c r="BZ342" i="7"/>
  <c r="CD342" i="7"/>
  <c r="CA342" i="7"/>
  <c r="CF342" i="7" s="1"/>
  <c r="CB361" i="7"/>
  <c r="CA361" i="7"/>
  <c r="CF361" i="7" s="1"/>
  <c r="BZ361" i="7"/>
  <c r="CD361" i="7"/>
  <c r="CD6" i="7"/>
  <c r="BZ6" i="7"/>
  <c r="CB6" i="7"/>
  <c r="CD10" i="7"/>
  <c r="BZ10" i="7"/>
  <c r="CB10" i="7"/>
  <c r="CD14" i="7"/>
  <c r="BZ14" i="7"/>
  <c r="CB14" i="7"/>
  <c r="CD19" i="7"/>
  <c r="BZ19" i="7"/>
  <c r="CB19" i="7"/>
  <c r="CD23" i="7"/>
  <c r="BZ23" i="7"/>
  <c r="CB23" i="7"/>
  <c r="CA30" i="7"/>
  <c r="CF30" i="7" s="1"/>
  <c r="CD38" i="7"/>
  <c r="BZ38" i="7"/>
  <c r="CB38" i="7"/>
  <c r="CD42" i="7"/>
  <c r="BZ42" i="7"/>
  <c r="CB42" i="7"/>
  <c r="CD46" i="7"/>
  <c r="BZ46" i="7"/>
  <c r="CB46" i="7"/>
  <c r="CD50" i="7"/>
  <c r="BZ50" i="7"/>
  <c r="CB50" i="7"/>
  <c r="CD54" i="7"/>
  <c r="BZ54" i="7"/>
  <c r="CB54" i="7"/>
  <c r="CD58" i="7"/>
  <c r="BZ58" i="7"/>
  <c r="CB58" i="7"/>
  <c r="CD62" i="7"/>
  <c r="BZ62" i="7"/>
  <c r="CB62" i="7"/>
  <c r="CD66" i="7"/>
  <c r="BZ66" i="7"/>
  <c r="CB66" i="7"/>
  <c r="CD70" i="7"/>
  <c r="BZ70" i="7"/>
  <c r="CB70" i="7"/>
  <c r="CD74" i="7"/>
  <c r="BZ74" i="7"/>
  <c r="CB74" i="7"/>
  <c r="CD104" i="7"/>
  <c r="BZ104" i="7"/>
  <c r="CA104" i="7"/>
  <c r="CF104" i="7" s="1"/>
  <c r="CD108" i="7"/>
  <c r="BZ108" i="7"/>
  <c r="CA108" i="7"/>
  <c r="CF108" i="7" s="1"/>
  <c r="CD112" i="7"/>
  <c r="BZ112" i="7"/>
  <c r="CA112" i="7"/>
  <c r="CF112" i="7" s="1"/>
  <c r="CD116" i="7"/>
  <c r="BZ116" i="7"/>
  <c r="CA116" i="7"/>
  <c r="CF116" i="7" s="1"/>
  <c r="CD120" i="7"/>
  <c r="BZ120" i="7"/>
  <c r="CA120" i="7"/>
  <c r="CF120" i="7" s="1"/>
  <c r="CD124" i="7"/>
  <c r="BZ124" i="7"/>
  <c r="CA124" i="7"/>
  <c r="CF124" i="7" s="1"/>
  <c r="CD128" i="7"/>
  <c r="BZ128" i="7"/>
  <c r="CA128" i="7"/>
  <c r="CF128" i="7" s="1"/>
  <c r="CD132" i="7"/>
  <c r="BZ132" i="7"/>
  <c r="CA132" i="7"/>
  <c r="CF132" i="7" s="1"/>
  <c r="CD136" i="7"/>
  <c r="BZ136" i="7"/>
  <c r="CA136" i="7"/>
  <c r="CF136" i="7" s="1"/>
  <c r="CD138" i="7"/>
  <c r="BZ138" i="7"/>
  <c r="CA138" i="7"/>
  <c r="CF138" i="7" s="1"/>
  <c r="CD140" i="7"/>
  <c r="BZ140" i="7"/>
  <c r="CA140" i="7"/>
  <c r="CF140" i="7" s="1"/>
  <c r="CD142" i="7"/>
  <c r="BZ142" i="7"/>
  <c r="CA142" i="7"/>
  <c r="CF142" i="7" s="1"/>
  <c r="CD144" i="7"/>
  <c r="BZ144" i="7"/>
  <c r="CA144" i="7"/>
  <c r="CF144" i="7" s="1"/>
  <c r="CD146" i="7"/>
  <c r="BZ146" i="7"/>
  <c r="CA146" i="7"/>
  <c r="CF146" i="7" s="1"/>
  <c r="CD148" i="7"/>
  <c r="BZ148" i="7"/>
  <c r="CA148" i="7"/>
  <c r="CF148" i="7" s="1"/>
  <c r="CD150" i="7"/>
  <c r="BZ150" i="7"/>
  <c r="CA150" i="7"/>
  <c r="CF150" i="7" s="1"/>
  <c r="CD152" i="7"/>
  <c r="BZ152" i="7"/>
  <c r="CA152" i="7"/>
  <c r="CF152" i="7" s="1"/>
  <c r="CD154" i="7"/>
  <c r="BZ154" i="7"/>
  <c r="CA154" i="7"/>
  <c r="CF154" i="7" s="1"/>
  <c r="CD156" i="7"/>
  <c r="BZ156" i="7"/>
  <c r="CA156" i="7"/>
  <c r="CF156" i="7" s="1"/>
  <c r="CD158" i="7"/>
  <c r="BZ158" i="7"/>
  <c r="CA158" i="7"/>
  <c r="CF158" i="7" s="1"/>
  <c r="CD160" i="7"/>
  <c r="BZ160" i="7"/>
  <c r="CA160" i="7"/>
  <c r="CF160" i="7" s="1"/>
  <c r="CD162" i="7"/>
  <c r="BZ162" i="7"/>
  <c r="CA162" i="7"/>
  <c r="CF162" i="7" s="1"/>
  <c r="CD164" i="7"/>
  <c r="BZ164" i="7"/>
  <c r="CA164" i="7"/>
  <c r="CF164" i="7" s="1"/>
  <c r="CD166" i="7"/>
  <c r="BZ166" i="7"/>
  <c r="CA166" i="7"/>
  <c r="CF166" i="7" s="1"/>
  <c r="CD168" i="7"/>
  <c r="BZ168" i="7"/>
  <c r="CA168" i="7"/>
  <c r="CF168" i="7" s="1"/>
  <c r="CD170" i="7"/>
  <c r="BZ170" i="7"/>
  <c r="CA170" i="7"/>
  <c r="CF170" i="7" s="1"/>
  <c r="CD172" i="7"/>
  <c r="BZ172" i="7"/>
  <c r="CA172" i="7"/>
  <c r="CF172" i="7" s="1"/>
  <c r="CD174" i="7"/>
  <c r="BZ174" i="7"/>
  <c r="CA174" i="7"/>
  <c r="CF174" i="7" s="1"/>
  <c r="CD176" i="7"/>
  <c r="BZ176" i="7"/>
  <c r="CA176" i="7"/>
  <c r="CF176" i="7" s="1"/>
  <c r="CD178" i="7"/>
  <c r="BZ178" i="7"/>
  <c r="CA178" i="7"/>
  <c r="CF178" i="7" s="1"/>
  <c r="CD180" i="7"/>
  <c r="BZ180" i="7"/>
  <c r="CA180" i="7"/>
  <c r="CF180" i="7" s="1"/>
  <c r="CD182" i="7"/>
  <c r="BZ182" i="7"/>
  <c r="CA182" i="7"/>
  <c r="CF182" i="7" s="1"/>
  <c r="CD184" i="7"/>
  <c r="BZ184" i="7"/>
  <c r="CA184" i="7"/>
  <c r="CF184" i="7" s="1"/>
  <c r="CD186" i="7"/>
  <c r="BZ186" i="7"/>
  <c r="CA186" i="7"/>
  <c r="CF186" i="7" s="1"/>
  <c r="CD188" i="7"/>
  <c r="BZ188" i="7"/>
  <c r="CA188" i="7"/>
  <c r="CF188" i="7" s="1"/>
  <c r="BZ190" i="7"/>
  <c r="CD190" i="7"/>
  <c r="CA190" i="7"/>
  <c r="CF190" i="7" s="1"/>
  <c r="CA193" i="7"/>
  <c r="CF193" i="7" s="1"/>
  <c r="BZ193" i="7"/>
  <c r="CD193" i="7"/>
  <c r="CB193" i="7"/>
  <c r="CA211" i="7"/>
  <c r="CF211" i="7" s="1"/>
  <c r="BZ211" i="7"/>
  <c r="CD211" i="7"/>
  <c r="CB211" i="7"/>
  <c r="BY246" i="7"/>
  <c r="BP246" i="7"/>
  <c r="CA253" i="7"/>
  <c r="CF253" i="7" s="1"/>
  <c r="BZ253" i="7"/>
  <c r="CD253" i="7"/>
  <c r="CB253" i="7"/>
  <c r="BY278" i="7"/>
  <c r="BP278" i="7"/>
  <c r="CA285" i="7"/>
  <c r="CF285" i="7" s="1"/>
  <c r="BZ285" i="7"/>
  <c r="CD285" i="7"/>
  <c r="CB285" i="7"/>
  <c r="BY310" i="7"/>
  <c r="BP310" i="7"/>
  <c r="CA317" i="7"/>
  <c r="CF317" i="7" s="1"/>
  <c r="BZ317" i="7"/>
  <c r="CD317" i="7"/>
  <c r="CB317" i="7"/>
  <c r="BY342" i="7"/>
  <c r="BP342" i="7"/>
  <c r="BY345" i="7"/>
  <c r="BP345" i="7"/>
  <c r="BY455" i="7"/>
  <c r="BP455" i="7"/>
  <c r="CD17" i="7"/>
  <c r="BZ17" i="7"/>
  <c r="CB17" i="7"/>
  <c r="CI17" i="7" s="1"/>
  <c r="CT17" i="7" s="1"/>
  <c r="CD27" i="7"/>
  <c r="BZ27" i="7"/>
  <c r="CB27" i="7"/>
  <c r="CD47" i="7"/>
  <c r="BZ47" i="7"/>
  <c r="CB51" i="7"/>
  <c r="CB59" i="7"/>
  <c r="CD71" i="7"/>
  <c r="BZ71" i="7"/>
  <c r="CD109" i="7"/>
  <c r="BZ109" i="7"/>
  <c r="CA109" i="7"/>
  <c r="CF109" i="7" s="1"/>
  <c r="CD117" i="7"/>
  <c r="BZ117" i="7"/>
  <c r="CA117" i="7"/>
  <c r="CF117" i="7" s="1"/>
  <c r="CD129" i="7"/>
  <c r="BZ129" i="7"/>
  <c r="CA129" i="7"/>
  <c r="CF129" i="7" s="1"/>
  <c r="BZ246" i="7"/>
  <c r="CD246" i="7"/>
  <c r="CB246" i="7"/>
  <c r="CA246" i="7"/>
  <c r="CF246" i="7" s="1"/>
  <c r="BY249" i="7"/>
  <c r="BP249" i="7"/>
  <c r="BZ278" i="7"/>
  <c r="CD278" i="7"/>
  <c r="CB278" i="7"/>
  <c r="CA278" i="7"/>
  <c r="CF278" i="7" s="1"/>
  <c r="CD11" i="7"/>
  <c r="BZ11" i="7"/>
  <c r="CC14" i="7"/>
  <c r="CD20" i="7"/>
  <c r="BZ20" i="7"/>
  <c r="CB20" i="7"/>
  <c r="CD24" i="7"/>
  <c r="BZ24" i="7"/>
  <c r="CB24" i="7"/>
  <c r="CD41" i="7"/>
  <c r="BZ41" i="7"/>
  <c r="CD45" i="7"/>
  <c r="BZ45" i="7"/>
  <c r="CB45" i="7"/>
  <c r="CD53" i="7"/>
  <c r="BZ53" i="7"/>
  <c r="CD61" i="7"/>
  <c r="BZ61" i="7"/>
  <c r="CD65" i="7"/>
  <c r="BZ65" i="7"/>
  <c r="CB65" i="7"/>
  <c r="CD69" i="7"/>
  <c r="BZ69" i="7"/>
  <c r="CB69" i="7"/>
  <c r="CD73" i="7"/>
  <c r="BZ73" i="7"/>
  <c r="CB73" i="7"/>
  <c r="CD77" i="7"/>
  <c r="BZ77" i="7"/>
  <c r="CB77" i="7"/>
  <c r="CD103" i="7"/>
  <c r="BZ103" i="7"/>
  <c r="CA103" i="7"/>
  <c r="CF103" i="7" s="1"/>
  <c r="CD107" i="7"/>
  <c r="BZ107" i="7"/>
  <c r="CA107" i="7"/>
  <c r="CF107" i="7" s="1"/>
  <c r="CD111" i="7"/>
  <c r="BZ111" i="7"/>
  <c r="CA111" i="7"/>
  <c r="CF111" i="7" s="1"/>
  <c r="CD115" i="7"/>
  <c r="BZ115" i="7"/>
  <c r="CA115" i="7"/>
  <c r="CF115" i="7" s="1"/>
  <c r="CD119" i="7"/>
  <c r="BZ119" i="7"/>
  <c r="CA119" i="7"/>
  <c r="CF119" i="7" s="1"/>
  <c r="CD123" i="7"/>
  <c r="BZ123" i="7"/>
  <c r="CA123" i="7"/>
  <c r="CF123" i="7" s="1"/>
  <c r="CD127" i="7"/>
  <c r="BZ127" i="7"/>
  <c r="CA127" i="7"/>
  <c r="CF127" i="7" s="1"/>
  <c r="CD131" i="7"/>
  <c r="BZ131" i="7"/>
  <c r="CA131" i="7"/>
  <c r="CF131" i="7" s="1"/>
  <c r="CD135" i="7"/>
  <c r="BZ135" i="7"/>
  <c r="CA135" i="7"/>
  <c r="CF135" i="7" s="1"/>
  <c r="BZ225" i="7"/>
  <c r="CD225" i="7"/>
  <c r="CB225" i="7"/>
  <c r="CA225" i="7"/>
  <c r="CF225" i="7" s="1"/>
  <c r="BY228" i="7"/>
  <c r="BP228" i="7"/>
  <c r="BZ262" i="7"/>
  <c r="CD262" i="7"/>
  <c r="CB262" i="7"/>
  <c r="CA262" i="7"/>
  <c r="CF262" i="7" s="1"/>
  <c r="BY265" i="7"/>
  <c r="BP265" i="7"/>
  <c r="BZ294" i="7"/>
  <c r="CD294" i="7"/>
  <c r="CB294" i="7"/>
  <c r="CA294" i="7"/>
  <c r="CF294" i="7" s="1"/>
  <c r="BY297" i="7"/>
  <c r="BP297" i="7"/>
  <c r="BZ326" i="7"/>
  <c r="CD326" i="7"/>
  <c r="CB326" i="7"/>
  <c r="CA326" i="7"/>
  <c r="CF326" i="7" s="1"/>
  <c r="BY329" i="7"/>
  <c r="BP329" i="7"/>
  <c r="BY335" i="7"/>
  <c r="BP335" i="7"/>
  <c r="CB367" i="7"/>
  <c r="BZ367" i="7"/>
  <c r="CD367" i="7"/>
  <c r="CA367" i="7"/>
  <c r="CF367" i="7" s="1"/>
  <c r="CB370" i="7"/>
  <c r="CD370" i="7"/>
  <c r="CA370" i="7"/>
  <c r="CF370" i="7" s="1"/>
  <c r="BZ370" i="7"/>
  <c r="CB374" i="7"/>
  <c r="CD374" i="7"/>
  <c r="CA374" i="7"/>
  <c r="CF374" i="7" s="1"/>
  <c r="BZ374" i="7"/>
  <c r="CB378" i="7"/>
  <c r="CD378" i="7"/>
  <c r="CA378" i="7"/>
  <c r="CF378" i="7" s="1"/>
  <c r="BZ378" i="7"/>
  <c r="CB382" i="7"/>
  <c r="CD382" i="7"/>
  <c r="CA382" i="7"/>
  <c r="CF382" i="7" s="1"/>
  <c r="BZ382" i="7"/>
  <c r="CB386" i="7"/>
  <c r="CD386" i="7"/>
  <c r="CA386" i="7"/>
  <c r="CF386" i="7" s="1"/>
  <c r="BZ386" i="7"/>
  <c r="CB390" i="7"/>
  <c r="CD390" i="7"/>
  <c r="CA390" i="7"/>
  <c r="CF390" i="7" s="1"/>
  <c r="BZ390" i="7"/>
  <c r="CB394" i="7"/>
  <c r="CD394" i="7"/>
  <c r="CA394" i="7"/>
  <c r="CF394" i="7" s="1"/>
  <c r="BZ394" i="7"/>
  <c r="CB398" i="7"/>
  <c r="CD398" i="7"/>
  <c r="CA398" i="7"/>
  <c r="CF398" i="7" s="1"/>
  <c r="BZ398" i="7"/>
  <c r="CB402" i="7"/>
  <c r="CD402" i="7"/>
  <c r="CA402" i="7"/>
  <c r="CF402" i="7" s="1"/>
  <c r="BZ402" i="7"/>
  <c r="CB406" i="7"/>
  <c r="CD406" i="7"/>
  <c r="CA406" i="7"/>
  <c r="CF406" i="7" s="1"/>
  <c r="BZ406" i="7"/>
  <c r="CB410" i="7"/>
  <c r="CD410" i="7"/>
  <c r="CA410" i="7"/>
  <c r="CF410" i="7" s="1"/>
  <c r="BZ410" i="7"/>
  <c r="CB414" i="7"/>
  <c r="CD414" i="7"/>
  <c r="CA414" i="7"/>
  <c r="CF414" i="7" s="1"/>
  <c r="BZ414" i="7"/>
  <c r="CB418" i="7"/>
  <c r="CD418" i="7"/>
  <c r="CA418" i="7"/>
  <c r="CF418" i="7" s="1"/>
  <c r="BZ418" i="7"/>
  <c r="CB422" i="7"/>
  <c r="CD422" i="7"/>
  <c r="CA422" i="7"/>
  <c r="CF422" i="7" s="1"/>
  <c r="BZ422" i="7"/>
  <c r="CB426" i="7"/>
  <c r="CD426" i="7"/>
  <c r="CA426" i="7"/>
  <c r="CF426" i="7" s="1"/>
  <c r="BZ426" i="7"/>
  <c r="CB430" i="7"/>
  <c r="CD430" i="7"/>
  <c r="CA430" i="7"/>
  <c r="CF430" i="7" s="1"/>
  <c r="BZ430" i="7"/>
  <c r="CB434" i="7"/>
  <c r="CD434" i="7"/>
  <c r="CA434" i="7"/>
  <c r="CF434" i="7" s="1"/>
  <c r="BZ434" i="7"/>
  <c r="CB438" i="7"/>
  <c r="CD438" i="7"/>
  <c r="CA438" i="7"/>
  <c r="CF438" i="7" s="1"/>
  <c r="BZ438" i="7"/>
  <c r="CB442" i="7"/>
  <c r="CD442" i="7"/>
  <c r="CA442" i="7"/>
  <c r="CF442" i="7" s="1"/>
  <c r="BZ442" i="7"/>
  <c r="CD5" i="7"/>
  <c r="BZ5" i="7"/>
  <c r="CB5" i="7"/>
  <c r="CB9" i="7"/>
  <c r="CD18" i="7"/>
  <c r="BZ18" i="7"/>
  <c r="CB22" i="7"/>
  <c r="CD26" i="7"/>
  <c r="BZ26" i="7"/>
  <c r="CB26" i="7"/>
  <c r="CI26" i="7" s="1"/>
  <c r="CT26" i="7" s="1"/>
  <c r="CD43" i="7"/>
  <c r="BZ43" i="7"/>
  <c r="CB43" i="7"/>
  <c r="CB47" i="7"/>
  <c r="CD55" i="7"/>
  <c r="BZ55" i="7"/>
  <c r="CD63" i="7"/>
  <c r="BZ63" i="7"/>
  <c r="CB63" i="7"/>
  <c r="CD75" i="7"/>
  <c r="BZ75" i="7"/>
  <c r="CD105" i="7"/>
  <c r="BZ105" i="7"/>
  <c r="CA105" i="7"/>
  <c r="CF105" i="7" s="1"/>
  <c r="CD121" i="7"/>
  <c r="BZ121" i="7"/>
  <c r="CA121" i="7"/>
  <c r="CF121" i="7" s="1"/>
  <c r="CD133" i="7"/>
  <c r="BZ133" i="7"/>
  <c r="CA133" i="7"/>
  <c r="CF133" i="7" s="1"/>
  <c r="BZ310" i="7"/>
  <c r="CD310" i="7"/>
  <c r="CB310" i="7"/>
  <c r="CA310" i="7"/>
  <c r="CF310" i="7" s="1"/>
  <c r="BY313" i="7"/>
  <c r="BP313" i="7"/>
  <c r="CC6" i="7"/>
  <c r="CD7" i="7"/>
  <c r="BZ7" i="7"/>
  <c r="CB7" i="7"/>
  <c r="CC10" i="7"/>
  <c r="CB11" i="7"/>
  <c r="CD15" i="7"/>
  <c r="BZ15" i="7"/>
  <c r="CB15" i="7"/>
  <c r="CC19" i="7"/>
  <c r="CC23" i="7"/>
  <c r="CD30" i="7"/>
  <c r="BZ30" i="7"/>
  <c r="CD37" i="7"/>
  <c r="BZ37" i="7"/>
  <c r="CB37" i="7"/>
  <c r="CB41" i="7"/>
  <c r="CD49" i="7"/>
  <c r="BZ49" i="7"/>
  <c r="CB49" i="7"/>
  <c r="CB53" i="7"/>
  <c r="CD57" i="7"/>
  <c r="BZ57" i="7"/>
  <c r="CB57" i="7"/>
  <c r="CB61" i="7"/>
  <c r="CD4" i="7"/>
  <c r="BZ4" i="7"/>
  <c r="CB4" i="7"/>
  <c r="CA5" i="7"/>
  <c r="CF5" i="7" s="1"/>
  <c r="CC7" i="7"/>
  <c r="CD8" i="7"/>
  <c r="BZ8" i="7"/>
  <c r="CB8" i="7"/>
  <c r="CA9" i="7"/>
  <c r="CF9" i="7" s="1"/>
  <c r="CC11" i="7"/>
  <c r="CD12" i="7"/>
  <c r="BZ12" i="7"/>
  <c r="CB12" i="7"/>
  <c r="CA13" i="7"/>
  <c r="CF13" i="7" s="1"/>
  <c r="CD16" i="7"/>
  <c r="BZ16" i="7"/>
  <c r="CB16" i="7"/>
  <c r="CA17" i="7"/>
  <c r="CF17" i="7" s="1"/>
  <c r="CA18" i="7"/>
  <c r="CF18" i="7" s="1"/>
  <c r="CC20" i="7"/>
  <c r="CD21" i="7"/>
  <c r="BZ21" i="7"/>
  <c r="CB21" i="7"/>
  <c r="CA22" i="7"/>
  <c r="CF22" i="7" s="1"/>
  <c r="CC24" i="7"/>
  <c r="CD25" i="7"/>
  <c r="BZ25" i="7"/>
  <c r="CB25" i="7"/>
  <c r="CA26" i="7"/>
  <c r="CF26" i="7" s="1"/>
  <c r="CA27" i="7"/>
  <c r="CF27" i="7" s="1"/>
  <c r="CA28" i="7"/>
  <c r="CF28" i="7" s="1"/>
  <c r="CD29" i="7"/>
  <c r="BZ29" i="7"/>
  <c r="CB29" i="7"/>
  <c r="CD36" i="7"/>
  <c r="BZ36" i="7"/>
  <c r="CB36" i="7"/>
  <c r="CA39" i="7"/>
  <c r="CF39" i="7" s="1"/>
  <c r="CD40" i="7"/>
  <c r="BZ40" i="7"/>
  <c r="CB40" i="7"/>
  <c r="CA43" i="7"/>
  <c r="CF43" i="7" s="1"/>
  <c r="CD44" i="7"/>
  <c r="BZ44" i="7"/>
  <c r="CB44" i="7"/>
  <c r="CA47" i="7"/>
  <c r="CF47" i="7" s="1"/>
  <c r="CD48" i="7"/>
  <c r="BZ48" i="7"/>
  <c r="CB48" i="7"/>
  <c r="CA51" i="7"/>
  <c r="CF51" i="7" s="1"/>
  <c r="CD52" i="7"/>
  <c r="BZ52" i="7"/>
  <c r="CB52" i="7"/>
  <c r="CA55" i="7"/>
  <c r="CF55" i="7" s="1"/>
  <c r="CD56" i="7"/>
  <c r="BZ56" i="7"/>
  <c r="CB56" i="7"/>
  <c r="CA59" i="7"/>
  <c r="CF59" i="7" s="1"/>
  <c r="CD60" i="7"/>
  <c r="BZ60" i="7"/>
  <c r="CB60" i="7"/>
  <c r="CA63" i="7"/>
  <c r="CF63" i="7" s="1"/>
  <c r="CD64" i="7"/>
  <c r="BZ64" i="7"/>
  <c r="CB64" i="7"/>
  <c r="CA67" i="7"/>
  <c r="CF67" i="7" s="1"/>
  <c r="CD68" i="7"/>
  <c r="BZ68" i="7"/>
  <c r="CB68" i="7"/>
  <c r="CA71" i="7"/>
  <c r="CF71" i="7" s="1"/>
  <c r="CD72" i="7"/>
  <c r="BZ72" i="7"/>
  <c r="CB72" i="7"/>
  <c r="CA75" i="7"/>
  <c r="CF75" i="7" s="1"/>
  <c r="CD76" i="7"/>
  <c r="BZ76" i="7"/>
  <c r="CB76" i="7"/>
  <c r="CD102" i="7"/>
  <c r="BZ102" i="7"/>
  <c r="CA102" i="7"/>
  <c r="CF102" i="7" s="1"/>
  <c r="CB105" i="7"/>
  <c r="CD106" i="7"/>
  <c r="BZ106" i="7"/>
  <c r="CA106" i="7"/>
  <c r="CF106" i="7" s="1"/>
  <c r="CB109" i="7"/>
  <c r="CD110" i="7"/>
  <c r="BZ110" i="7"/>
  <c r="CA110" i="7"/>
  <c r="CF110" i="7" s="1"/>
  <c r="CB113" i="7"/>
  <c r="CD114" i="7"/>
  <c r="BZ114" i="7"/>
  <c r="CA114" i="7"/>
  <c r="CF114" i="7" s="1"/>
  <c r="CB117" i="7"/>
  <c r="CD118" i="7"/>
  <c r="BZ118" i="7"/>
  <c r="CA118" i="7"/>
  <c r="CF118" i="7" s="1"/>
  <c r="CB121" i="7"/>
  <c r="CD122" i="7"/>
  <c r="BZ122" i="7"/>
  <c r="CA122" i="7"/>
  <c r="CF122" i="7" s="1"/>
  <c r="CB125" i="7"/>
  <c r="CD126" i="7"/>
  <c r="BZ126" i="7"/>
  <c r="CA126" i="7"/>
  <c r="CF126" i="7" s="1"/>
  <c r="CB129" i="7"/>
  <c r="CD130" i="7"/>
  <c r="BZ130" i="7"/>
  <c r="CA130" i="7"/>
  <c r="CF130" i="7" s="1"/>
  <c r="CB133" i="7"/>
  <c r="CD134" i="7"/>
  <c r="BZ134" i="7"/>
  <c r="CA134" i="7"/>
  <c r="CF134" i="7" s="1"/>
  <c r="CD137" i="7"/>
  <c r="BZ137" i="7"/>
  <c r="CA137" i="7"/>
  <c r="CF137" i="7" s="1"/>
  <c r="CD139" i="7"/>
  <c r="BZ139" i="7"/>
  <c r="CA139" i="7"/>
  <c r="CF139" i="7" s="1"/>
  <c r="CD141" i="7"/>
  <c r="BZ141" i="7"/>
  <c r="CA141" i="7"/>
  <c r="CF141" i="7" s="1"/>
  <c r="CD143" i="7"/>
  <c r="BZ143" i="7"/>
  <c r="CA143" i="7"/>
  <c r="CF143" i="7" s="1"/>
  <c r="CD145" i="7"/>
  <c r="BZ145" i="7"/>
  <c r="CA145" i="7"/>
  <c r="CF145" i="7" s="1"/>
  <c r="CD147" i="7"/>
  <c r="BZ147" i="7"/>
  <c r="CA147" i="7"/>
  <c r="CF147" i="7" s="1"/>
  <c r="CD149" i="7"/>
  <c r="BZ149" i="7"/>
  <c r="CA149" i="7"/>
  <c r="CF149" i="7" s="1"/>
  <c r="CD151" i="7"/>
  <c r="BZ151" i="7"/>
  <c r="CA151" i="7"/>
  <c r="CF151" i="7" s="1"/>
  <c r="CD153" i="7"/>
  <c r="BZ153" i="7"/>
  <c r="CA153" i="7"/>
  <c r="CF153" i="7" s="1"/>
  <c r="CD155" i="7"/>
  <c r="BZ155" i="7"/>
  <c r="CA155" i="7"/>
  <c r="CF155" i="7" s="1"/>
  <c r="CD157" i="7"/>
  <c r="BZ157" i="7"/>
  <c r="CA157" i="7"/>
  <c r="CF157" i="7" s="1"/>
  <c r="CD159" i="7"/>
  <c r="BZ159" i="7"/>
  <c r="CA159" i="7"/>
  <c r="CF159" i="7" s="1"/>
  <c r="CD161" i="7"/>
  <c r="BZ161" i="7"/>
  <c r="CA161" i="7"/>
  <c r="CF161" i="7" s="1"/>
  <c r="CD163" i="7"/>
  <c r="BZ163" i="7"/>
  <c r="CA163" i="7"/>
  <c r="CF163" i="7" s="1"/>
  <c r="CD165" i="7"/>
  <c r="BZ165" i="7"/>
  <c r="CA165" i="7"/>
  <c r="CF165" i="7" s="1"/>
  <c r="CD167" i="7"/>
  <c r="BZ167" i="7"/>
  <c r="CA167" i="7"/>
  <c r="CF167" i="7" s="1"/>
  <c r="CD169" i="7"/>
  <c r="BZ169" i="7"/>
  <c r="CA169" i="7"/>
  <c r="CF169" i="7" s="1"/>
  <c r="CD171" i="7"/>
  <c r="BZ171" i="7"/>
  <c r="CA171" i="7"/>
  <c r="CF171" i="7" s="1"/>
  <c r="CD173" i="7"/>
  <c r="BZ173" i="7"/>
  <c r="CA173" i="7"/>
  <c r="CF173" i="7" s="1"/>
  <c r="CD175" i="7"/>
  <c r="BZ175" i="7"/>
  <c r="CA175" i="7"/>
  <c r="CF175" i="7" s="1"/>
  <c r="CD177" i="7"/>
  <c r="BZ177" i="7"/>
  <c r="CA177" i="7"/>
  <c r="CF177" i="7" s="1"/>
  <c r="CD179" i="7"/>
  <c r="BZ179" i="7"/>
  <c r="CA179" i="7"/>
  <c r="CF179" i="7" s="1"/>
  <c r="CD181" i="7"/>
  <c r="BZ181" i="7"/>
  <c r="CA181" i="7"/>
  <c r="CF181" i="7" s="1"/>
  <c r="CD183" i="7"/>
  <c r="BZ183" i="7"/>
  <c r="CA183" i="7"/>
  <c r="CF183" i="7" s="1"/>
  <c r="CD185" i="7"/>
  <c r="BZ185" i="7"/>
  <c r="CA185" i="7"/>
  <c r="CF185" i="7" s="1"/>
  <c r="CD187" i="7"/>
  <c r="BZ187" i="7"/>
  <c r="CA187" i="7"/>
  <c r="CF187" i="7" s="1"/>
  <c r="CD189" i="7"/>
  <c r="BZ189" i="7"/>
  <c r="CA189" i="7"/>
  <c r="CF189" i="7" s="1"/>
  <c r="BY225" i="7"/>
  <c r="BP225" i="7"/>
  <c r="CA232" i="7"/>
  <c r="CF232" i="7" s="1"/>
  <c r="BZ232" i="7"/>
  <c r="CD232" i="7"/>
  <c r="CB232" i="7"/>
  <c r="BY262" i="7"/>
  <c r="BP262" i="7"/>
  <c r="CA269" i="7"/>
  <c r="CF269" i="7" s="1"/>
  <c r="BZ269" i="7"/>
  <c r="CD269" i="7"/>
  <c r="CB269" i="7"/>
  <c r="BY294" i="7"/>
  <c r="BP294" i="7"/>
  <c r="CA301" i="7"/>
  <c r="CF301" i="7" s="1"/>
  <c r="BZ301" i="7"/>
  <c r="CD301" i="7"/>
  <c r="CB301" i="7"/>
  <c r="BY326" i="7"/>
  <c r="BP326" i="7"/>
  <c r="CB339" i="7"/>
  <c r="CA339" i="7"/>
  <c r="CF339" i="7" s="1"/>
  <c r="BZ339" i="7"/>
  <c r="CD339" i="7"/>
  <c r="BY349" i="7"/>
  <c r="BP349" i="7"/>
  <c r="CB488" i="7"/>
  <c r="CA488" i="7"/>
  <c r="CF488" i="7" s="1"/>
  <c r="BZ488" i="7"/>
  <c r="CD488" i="7"/>
  <c r="CD31" i="7"/>
  <c r="BZ31" i="7"/>
  <c r="CB31" i="7"/>
  <c r="CD32" i="7"/>
  <c r="BZ32" i="7"/>
  <c r="CB32" i="7"/>
  <c r="CD33" i="7"/>
  <c r="BZ33" i="7"/>
  <c r="CB33" i="7"/>
  <c r="CD34" i="7"/>
  <c r="BZ34" i="7"/>
  <c r="CB34" i="7"/>
  <c r="CD35" i="7"/>
  <c r="BZ35" i="7"/>
  <c r="CB35" i="7"/>
  <c r="CI35" i="7" s="1"/>
  <c r="CT35" i="7" s="1"/>
  <c r="BY193" i="7"/>
  <c r="BP193" i="7"/>
  <c r="CA197" i="7"/>
  <c r="CF197" i="7" s="1"/>
  <c r="BZ197" i="7"/>
  <c r="CA202" i="7"/>
  <c r="CF202" i="7" s="1"/>
  <c r="BZ202" i="7"/>
  <c r="BY208" i="7"/>
  <c r="BP208" i="7"/>
  <c r="BZ208" i="7"/>
  <c r="CD208" i="7"/>
  <c r="BY211" i="7"/>
  <c r="BP211" i="7"/>
  <c r="CA215" i="7"/>
  <c r="CF215" i="7" s="1"/>
  <c r="BZ215" i="7"/>
  <c r="CA220" i="7"/>
  <c r="CF220" i="7" s="1"/>
  <c r="BZ220" i="7"/>
  <c r="BY229" i="7"/>
  <c r="BP229" i="7"/>
  <c r="BZ229" i="7"/>
  <c r="CD229" i="7"/>
  <c r="BY232" i="7"/>
  <c r="BP232" i="7"/>
  <c r="CA236" i="7"/>
  <c r="CF236" i="7" s="1"/>
  <c r="BZ236" i="7"/>
  <c r="CA241" i="7"/>
  <c r="CF241" i="7" s="1"/>
  <c r="BZ241" i="7"/>
  <c r="BY250" i="7"/>
  <c r="BP250" i="7"/>
  <c r="BZ250" i="7"/>
  <c r="CD250" i="7"/>
  <c r="BY253" i="7"/>
  <c r="BP253" i="7"/>
  <c r="CA257" i="7"/>
  <c r="CF257" i="7" s="1"/>
  <c r="BZ257" i="7"/>
  <c r="BY266" i="7"/>
  <c r="BP266" i="7"/>
  <c r="BZ266" i="7"/>
  <c r="CD266" i="7"/>
  <c r="BY269" i="7"/>
  <c r="BP269" i="7"/>
  <c r="CA273" i="7"/>
  <c r="CF273" i="7" s="1"/>
  <c r="BZ273" i="7"/>
  <c r="BY282" i="7"/>
  <c r="BP282" i="7"/>
  <c r="BZ282" i="7"/>
  <c r="CD282" i="7"/>
  <c r="BY285" i="7"/>
  <c r="BP285" i="7"/>
  <c r="CA289" i="7"/>
  <c r="CF289" i="7" s="1"/>
  <c r="BZ289" i="7"/>
  <c r="BY298" i="7"/>
  <c r="BP298" i="7"/>
  <c r="BZ298" i="7"/>
  <c r="CD298" i="7"/>
  <c r="BY301" i="7"/>
  <c r="BP301" i="7"/>
  <c r="CA305" i="7"/>
  <c r="CF305" i="7" s="1"/>
  <c r="BZ305" i="7"/>
  <c r="BY314" i="7"/>
  <c r="BP314" i="7"/>
  <c r="BZ314" i="7"/>
  <c r="CD314" i="7"/>
  <c r="BY317" i="7"/>
  <c r="BP317" i="7"/>
  <c r="CA321" i="7"/>
  <c r="CF321" i="7" s="1"/>
  <c r="BZ321" i="7"/>
  <c r="BY330" i="7"/>
  <c r="BP330" i="7"/>
  <c r="CB330" i="7"/>
  <c r="BZ330" i="7"/>
  <c r="BY339" i="7"/>
  <c r="BP339" i="7"/>
  <c r="CB343" i="7"/>
  <c r="CA343" i="7"/>
  <c r="CF343" i="7" s="1"/>
  <c r="BZ343" i="7"/>
  <c r="CB357" i="7"/>
  <c r="CA357" i="7"/>
  <c r="CF357" i="7" s="1"/>
  <c r="BZ357" i="7"/>
  <c r="BY361" i="7"/>
  <c r="BP361" i="7"/>
  <c r="BP367" i="7"/>
  <c r="BY367" i="7"/>
  <c r="CB507" i="7"/>
  <c r="BZ507" i="7"/>
  <c r="CD507" i="7"/>
  <c r="CA507" i="7"/>
  <c r="CF507" i="7" s="1"/>
  <c r="BY194" i="7"/>
  <c r="BP194" i="7"/>
  <c r="BZ194" i="7"/>
  <c r="CD194" i="7"/>
  <c r="BY197" i="7"/>
  <c r="BP197" i="7"/>
  <c r="CA201" i="7"/>
  <c r="CF201" i="7" s="1"/>
  <c r="BZ201" i="7"/>
  <c r="BY202" i="7"/>
  <c r="BP202" i="7"/>
  <c r="BY212" i="7"/>
  <c r="BP212" i="7"/>
  <c r="BZ212" i="7"/>
  <c r="CD212" i="7"/>
  <c r="BY215" i="7"/>
  <c r="BP215" i="7"/>
  <c r="CA219" i="7"/>
  <c r="CF219" i="7" s="1"/>
  <c r="BZ219" i="7"/>
  <c r="BY220" i="7"/>
  <c r="BP220" i="7"/>
  <c r="CA224" i="7"/>
  <c r="CF224" i="7" s="1"/>
  <c r="BZ224" i="7"/>
  <c r="BY233" i="7"/>
  <c r="BP233" i="7"/>
  <c r="BZ233" i="7"/>
  <c r="CD233" i="7"/>
  <c r="BY236" i="7"/>
  <c r="BP236" i="7"/>
  <c r="CA240" i="7"/>
  <c r="CF240" i="7" s="1"/>
  <c r="BZ240" i="7"/>
  <c r="BY241" i="7"/>
  <c r="BP241" i="7"/>
  <c r="CA245" i="7"/>
  <c r="CF245" i="7" s="1"/>
  <c r="BZ245" i="7"/>
  <c r="BY254" i="7"/>
  <c r="BP254" i="7"/>
  <c r="BZ254" i="7"/>
  <c r="CD254" i="7"/>
  <c r="BY257" i="7"/>
  <c r="BP257" i="7"/>
  <c r="CA261" i="7"/>
  <c r="CF261" i="7" s="1"/>
  <c r="BZ261" i="7"/>
  <c r="BY270" i="7"/>
  <c r="BP270" i="7"/>
  <c r="BZ270" i="7"/>
  <c r="CD270" i="7"/>
  <c r="BY273" i="7"/>
  <c r="BP273" i="7"/>
  <c r="CA277" i="7"/>
  <c r="CF277" i="7" s="1"/>
  <c r="BZ277" i="7"/>
  <c r="BY286" i="7"/>
  <c r="BP286" i="7"/>
  <c r="BZ286" i="7"/>
  <c r="CD286" i="7"/>
  <c r="BY289" i="7"/>
  <c r="BP289" i="7"/>
  <c r="CA293" i="7"/>
  <c r="CF293" i="7" s="1"/>
  <c r="BZ293" i="7"/>
  <c r="BY302" i="7"/>
  <c r="BP302" i="7"/>
  <c r="BZ302" i="7"/>
  <c r="CD302" i="7"/>
  <c r="BY305" i="7"/>
  <c r="BP305" i="7"/>
  <c r="CA309" i="7"/>
  <c r="CF309" i="7" s="1"/>
  <c r="BZ309" i="7"/>
  <c r="BY318" i="7"/>
  <c r="BP318" i="7"/>
  <c r="BZ318" i="7"/>
  <c r="CD318" i="7"/>
  <c r="BY321" i="7"/>
  <c r="BP321" i="7"/>
  <c r="CA325" i="7"/>
  <c r="CF325" i="7" s="1"/>
  <c r="BZ325" i="7"/>
  <c r="CB331" i="7"/>
  <c r="CA331" i="7"/>
  <c r="CF331" i="7" s="1"/>
  <c r="BZ331" i="7"/>
  <c r="BY334" i="7"/>
  <c r="BP334" i="7"/>
  <c r="CB334" i="7"/>
  <c r="BZ334" i="7"/>
  <c r="BY343" i="7"/>
  <c r="BP343" i="7"/>
  <c r="CB353" i="7"/>
  <c r="CA353" i="7"/>
  <c r="CF353" i="7" s="1"/>
  <c r="BZ353" i="7"/>
  <c r="BY357" i="7"/>
  <c r="BP357" i="7"/>
  <c r="CB368" i="7"/>
  <c r="CD368" i="7"/>
  <c r="CA368" i="7"/>
  <c r="CF368" i="7" s="1"/>
  <c r="BZ368" i="7"/>
  <c r="CB372" i="7"/>
  <c r="CD372" i="7"/>
  <c r="CA372" i="7"/>
  <c r="CF372" i="7" s="1"/>
  <c r="BZ372" i="7"/>
  <c r="CB376" i="7"/>
  <c r="CD376" i="7"/>
  <c r="CA376" i="7"/>
  <c r="CF376" i="7" s="1"/>
  <c r="BZ376" i="7"/>
  <c r="CB380" i="7"/>
  <c r="CD380" i="7"/>
  <c r="CA380" i="7"/>
  <c r="CF380" i="7" s="1"/>
  <c r="BZ380" i="7"/>
  <c r="CB384" i="7"/>
  <c r="CD384" i="7"/>
  <c r="CA384" i="7"/>
  <c r="CF384" i="7" s="1"/>
  <c r="BZ384" i="7"/>
  <c r="CB388" i="7"/>
  <c r="CD388" i="7"/>
  <c r="CA388" i="7"/>
  <c r="CF388" i="7" s="1"/>
  <c r="BZ388" i="7"/>
  <c r="CB392" i="7"/>
  <c r="CD392" i="7"/>
  <c r="CA392" i="7"/>
  <c r="CF392" i="7" s="1"/>
  <c r="BZ392" i="7"/>
  <c r="CB396" i="7"/>
  <c r="CD396" i="7"/>
  <c r="CA396" i="7"/>
  <c r="CF396" i="7" s="1"/>
  <c r="BZ396" i="7"/>
  <c r="CB400" i="7"/>
  <c r="CD400" i="7"/>
  <c r="CA400" i="7"/>
  <c r="CF400" i="7" s="1"/>
  <c r="BZ400" i="7"/>
  <c r="CB404" i="7"/>
  <c r="CD404" i="7"/>
  <c r="CA404" i="7"/>
  <c r="CF404" i="7" s="1"/>
  <c r="BZ404" i="7"/>
  <c r="CB408" i="7"/>
  <c r="CD408" i="7"/>
  <c r="CA408" i="7"/>
  <c r="CF408" i="7" s="1"/>
  <c r="BZ408" i="7"/>
  <c r="CB412" i="7"/>
  <c r="CD412" i="7"/>
  <c r="CA412" i="7"/>
  <c r="CF412" i="7" s="1"/>
  <c r="BZ412" i="7"/>
  <c r="CB416" i="7"/>
  <c r="CD416" i="7"/>
  <c r="CA416" i="7"/>
  <c r="CF416" i="7" s="1"/>
  <c r="BZ416" i="7"/>
  <c r="CB420" i="7"/>
  <c r="CD420" i="7"/>
  <c r="CA420" i="7"/>
  <c r="CF420" i="7" s="1"/>
  <c r="BZ420" i="7"/>
  <c r="CB424" i="7"/>
  <c r="CD424" i="7"/>
  <c r="CA424" i="7"/>
  <c r="CF424" i="7" s="1"/>
  <c r="BZ424" i="7"/>
  <c r="CB428" i="7"/>
  <c r="CD428" i="7"/>
  <c r="CA428" i="7"/>
  <c r="CF428" i="7" s="1"/>
  <c r="BZ428" i="7"/>
  <c r="CB432" i="7"/>
  <c r="CD432" i="7"/>
  <c r="CA432" i="7"/>
  <c r="CF432" i="7" s="1"/>
  <c r="BZ432" i="7"/>
  <c r="CB436" i="7"/>
  <c r="CD436" i="7"/>
  <c r="CA436" i="7"/>
  <c r="CF436" i="7" s="1"/>
  <c r="BZ436" i="7"/>
  <c r="CB440" i="7"/>
  <c r="CD440" i="7"/>
  <c r="CA440" i="7"/>
  <c r="CF440" i="7" s="1"/>
  <c r="BZ440" i="7"/>
  <c r="CB444" i="7"/>
  <c r="CD444" i="7"/>
  <c r="CA444" i="7"/>
  <c r="CF444" i="7" s="1"/>
  <c r="BZ444" i="7"/>
  <c r="BY476" i="7"/>
  <c r="BP476" i="7"/>
  <c r="BY500" i="7"/>
  <c r="BP500" i="7"/>
  <c r="CB520" i="7"/>
  <c r="CA520" i="7"/>
  <c r="CF520" i="7" s="1"/>
  <c r="BZ520" i="7"/>
  <c r="CD520" i="7"/>
  <c r="CD527" i="7"/>
  <c r="BZ527" i="7"/>
  <c r="CA527" i="7"/>
  <c r="CF527" i="7" s="1"/>
  <c r="CB527" i="7"/>
  <c r="CD78" i="7"/>
  <c r="BZ78" i="7"/>
  <c r="CB78" i="7"/>
  <c r="CD79" i="7"/>
  <c r="BZ79" i="7"/>
  <c r="CB79" i="7"/>
  <c r="CD80" i="7"/>
  <c r="BZ80" i="7"/>
  <c r="CB80" i="7"/>
  <c r="CD81" i="7"/>
  <c r="BZ81" i="7"/>
  <c r="CB81" i="7"/>
  <c r="CD82" i="7"/>
  <c r="BZ82" i="7"/>
  <c r="CB82" i="7"/>
  <c r="CD83" i="7"/>
  <c r="BZ83" i="7"/>
  <c r="CB83" i="7"/>
  <c r="CD84" i="7"/>
  <c r="BZ84" i="7"/>
  <c r="CB84" i="7"/>
  <c r="CD85" i="7"/>
  <c r="BZ85" i="7"/>
  <c r="CB85" i="7"/>
  <c r="CD86" i="7"/>
  <c r="BZ86" i="7"/>
  <c r="CB86" i="7"/>
  <c r="CD87" i="7"/>
  <c r="BZ87" i="7"/>
  <c r="CB87" i="7"/>
  <c r="CD88" i="7"/>
  <c r="BZ88" i="7"/>
  <c r="CB88" i="7"/>
  <c r="CD89" i="7"/>
  <c r="BZ89" i="7"/>
  <c r="CB89" i="7"/>
  <c r="CD90" i="7"/>
  <c r="BZ90" i="7"/>
  <c r="CB90" i="7"/>
  <c r="CD91" i="7"/>
  <c r="BZ91" i="7"/>
  <c r="CB91" i="7"/>
  <c r="CD92" i="7"/>
  <c r="BZ92" i="7"/>
  <c r="CB92" i="7"/>
  <c r="CD93" i="7"/>
  <c r="BZ93" i="7"/>
  <c r="CB93" i="7"/>
  <c r="CD94" i="7"/>
  <c r="BZ94" i="7"/>
  <c r="CB94" i="7"/>
  <c r="CD95" i="7"/>
  <c r="BZ95" i="7"/>
  <c r="CB95" i="7"/>
  <c r="CD96" i="7"/>
  <c r="BZ96" i="7"/>
  <c r="CB96" i="7"/>
  <c r="CD97" i="7"/>
  <c r="BZ97" i="7"/>
  <c r="CB97" i="7"/>
  <c r="CD98" i="7"/>
  <c r="BZ98" i="7"/>
  <c r="CB98" i="7"/>
  <c r="CD99" i="7"/>
  <c r="BZ99" i="7"/>
  <c r="CB99" i="7"/>
  <c r="CD100" i="7"/>
  <c r="BZ100" i="7"/>
  <c r="CB100" i="7"/>
  <c r="CD101" i="7"/>
  <c r="BZ101" i="7"/>
  <c r="CB101" i="7"/>
  <c r="BY198" i="7"/>
  <c r="BP198" i="7"/>
  <c r="BZ198" i="7"/>
  <c r="CD198" i="7"/>
  <c r="BY201" i="7"/>
  <c r="BP201" i="7"/>
  <c r="BY203" i="7"/>
  <c r="BP203" i="7"/>
  <c r="BZ203" i="7"/>
  <c r="CD203" i="7"/>
  <c r="CA207" i="7"/>
  <c r="CF207" i="7" s="1"/>
  <c r="BZ207" i="7"/>
  <c r="BY216" i="7"/>
  <c r="BP216" i="7"/>
  <c r="BZ216" i="7"/>
  <c r="CD216" i="7"/>
  <c r="BY219" i="7"/>
  <c r="BP219" i="7"/>
  <c r="BY221" i="7"/>
  <c r="BP221" i="7"/>
  <c r="BZ221" i="7"/>
  <c r="CD221" i="7"/>
  <c r="BY224" i="7"/>
  <c r="BP224" i="7"/>
  <c r="CA228" i="7"/>
  <c r="CF228" i="7" s="1"/>
  <c r="BZ228" i="7"/>
  <c r="BY237" i="7"/>
  <c r="BP237" i="7"/>
  <c r="BZ237" i="7"/>
  <c r="CD237" i="7"/>
  <c r="BY240" i="7"/>
  <c r="BP240" i="7"/>
  <c r="BY242" i="7"/>
  <c r="BP242" i="7"/>
  <c r="BZ242" i="7"/>
  <c r="CD242" i="7"/>
  <c r="BY245" i="7"/>
  <c r="BP245" i="7"/>
  <c r="CA249" i="7"/>
  <c r="CF249" i="7" s="1"/>
  <c r="BZ249" i="7"/>
  <c r="BY258" i="7"/>
  <c r="BP258" i="7"/>
  <c r="BZ258" i="7"/>
  <c r="CD258" i="7"/>
  <c r="BY261" i="7"/>
  <c r="BP261" i="7"/>
  <c r="CA265" i="7"/>
  <c r="CF265" i="7" s="1"/>
  <c r="BZ265" i="7"/>
  <c r="BY274" i="7"/>
  <c r="BP274" i="7"/>
  <c r="BZ274" i="7"/>
  <c r="CD274" i="7"/>
  <c r="BY277" i="7"/>
  <c r="BP277" i="7"/>
  <c r="CA281" i="7"/>
  <c r="CF281" i="7" s="1"/>
  <c r="BZ281" i="7"/>
  <c r="BY290" i="7"/>
  <c r="BP290" i="7"/>
  <c r="BZ290" i="7"/>
  <c r="CD290" i="7"/>
  <c r="BY293" i="7"/>
  <c r="BP293" i="7"/>
  <c r="CA297" i="7"/>
  <c r="CF297" i="7" s="1"/>
  <c r="BZ297" i="7"/>
  <c r="BY306" i="7"/>
  <c r="BP306" i="7"/>
  <c r="BZ306" i="7"/>
  <c r="CD306" i="7"/>
  <c r="BY309" i="7"/>
  <c r="BP309" i="7"/>
  <c r="CA313" i="7"/>
  <c r="CF313" i="7" s="1"/>
  <c r="BZ313" i="7"/>
  <c r="BY322" i="7"/>
  <c r="BP322" i="7"/>
  <c r="BZ322" i="7"/>
  <c r="CD322" i="7"/>
  <c r="BY325" i="7"/>
  <c r="BP325" i="7"/>
  <c r="CA329" i="7"/>
  <c r="CF329" i="7" s="1"/>
  <c r="BZ329" i="7"/>
  <c r="BY331" i="7"/>
  <c r="BP331" i="7"/>
  <c r="CB335" i="7"/>
  <c r="CA335" i="7"/>
  <c r="CF335" i="7" s="1"/>
  <c r="BZ335" i="7"/>
  <c r="BY338" i="7"/>
  <c r="BP338" i="7"/>
  <c r="CB338" i="7"/>
  <c r="BZ338" i="7"/>
  <c r="CD343" i="7"/>
  <c r="CB345" i="7"/>
  <c r="CA345" i="7"/>
  <c r="CF345" i="7" s="1"/>
  <c r="BZ345" i="7"/>
  <c r="BY348" i="7"/>
  <c r="BP348" i="7"/>
  <c r="CB349" i="7"/>
  <c r="CA349" i="7"/>
  <c r="CF349" i="7" s="1"/>
  <c r="BZ349" i="7"/>
  <c r="BY353" i="7"/>
  <c r="BP353" i="7"/>
  <c r="CD357" i="7"/>
  <c r="CB455" i="7"/>
  <c r="BZ455" i="7"/>
  <c r="CA455" i="7"/>
  <c r="CF455" i="7" s="1"/>
  <c r="CD455" i="7"/>
  <c r="CD348" i="7"/>
  <c r="BY352" i="7"/>
  <c r="BP352" i="7"/>
  <c r="CD352" i="7"/>
  <c r="BY356" i="7"/>
  <c r="BP356" i="7"/>
  <c r="CD356" i="7"/>
  <c r="BY360" i="7"/>
  <c r="BP360" i="7"/>
  <c r="CD360" i="7"/>
  <c r="BY364" i="7"/>
  <c r="BP364" i="7"/>
  <c r="CB364" i="7"/>
  <c r="CD364" i="7"/>
  <c r="BY368" i="7"/>
  <c r="BP368" i="7"/>
  <c r="BY370" i="7"/>
  <c r="BP370" i="7"/>
  <c r="BY372" i="7"/>
  <c r="BP372" i="7"/>
  <c r="BY374" i="7"/>
  <c r="BP374" i="7"/>
  <c r="BY376" i="7"/>
  <c r="BP376" i="7"/>
  <c r="BY378" i="7"/>
  <c r="BP378" i="7"/>
  <c r="BY380" i="7"/>
  <c r="BP380" i="7"/>
  <c r="BY382" i="7"/>
  <c r="BP382" i="7"/>
  <c r="BY384" i="7"/>
  <c r="BP384" i="7"/>
  <c r="BY386" i="7"/>
  <c r="BP386" i="7"/>
  <c r="BY388" i="7"/>
  <c r="BP388" i="7"/>
  <c r="BY390" i="7"/>
  <c r="BP390" i="7"/>
  <c r="BY392" i="7"/>
  <c r="BP392" i="7"/>
  <c r="BY394" i="7"/>
  <c r="BP394" i="7"/>
  <c r="BY396" i="7"/>
  <c r="BP396" i="7"/>
  <c r="BY398" i="7"/>
  <c r="BP398" i="7"/>
  <c r="BY400" i="7"/>
  <c r="BP400" i="7"/>
  <c r="BY402" i="7"/>
  <c r="BP402" i="7"/>
  <c r="BY404" i="7"/>
  <c r="BP404" i="7"/>
  <c r="BY406" i="7"/>
  <c r="BP406" i="7"/>
  <c r="BY408" i="7"/>
  <c r="BP408" i="7"/>
  <c r="BY410" i="7"/>
  <c r="BP410" i="7"/>
  <c r="BY412" i="7"/>
  <c r="BP412" i="7"/>
  <c r="BY414" i="7"/>
  <c r="BP414" i="7"/>
  <c r="BY416" i="7"/>
  <c r="BP416" i="7"/>
  <c r="BY418" i="7"/>
  <c r="BP418" i="7"/>
  <c r="BY420" i="7"/>
  <c r="BP420" i="7"/>
  <c r="BY422" i="7"/>
  <c r="BP422" i="7"/>
  <c r="BY424" i="7"/>
  <c r="BP424" i="7"/>
  <c r="BY426" i="7"/>
  <c r="BP426" i="7"/>
  <c r="BY428" i="7"/>
  <c r="BP428" i="7"/>
  <c r="BY430" i="7"/>
  <c r="BP430" i="7"/>
  <c r="BY432" i="7"/>
  <c r="BP432" i="7"/>
  <c r="BY434" i="7"/>
  <c r="BP434" i="7"/>
  <c r="BY436" i="7"/>
  <c r="BP436" i="7"/>
  <c r="BY438" i="7"/>
  <c r="BP438" i="7"/>
  <c r="BY440" i="7"/>
  <c r="BP440" i="7"/>
  <c r="BY442" i="7"/>
  <c r="BP442" i="7"/>
  <c r="BY444" i="7"/>
  <c r="BP444" i="7"/>
  <c r="CB446" i="7"/>
  <c r="CD446" i="7"/>
  <c r="CA446" i="7"/>
  <c r="CF446" i="7" s="1"/>
  <c r="CA449" i="7"/>
  <c r="CF449" i="7" s="1"/>
  <c r="BZ449" i="7"/>
  <c r="CB449" i="7"/>
  <c r="BY472" i="7"/>
  <c r="BP472" i="7"/>
  <c r="BY488" i="7"/>
  <c r="BP488" i="7"/>
  <c r="CB492" i="7"/>
  <c r="CA492" i="7"/>
  <c r="CF492" i="7" s="1"/>
  <c r="BZ492" i="7"/>
  <c r="CD492" i="7"/>
  <c r="BY507" i="7"/>
  <c r="BP507" i="7"/>
  <c r="BY511" i="7"/>
  <c r="BP511" i="7"/>
  <c r="CB511" i="7"/>
  <c r="BZ511" i="7"/>
  <c r="CA511" i="7"/>
  <c r="CF511" i="7" s="1"/>
  <c r="BY520" i="7"/>
  <c r="BP520" i="7"/>
  <c r="CB542" i="7"/>
  <c r="CA542" i="7"/>
  <c r="CF542" i="7" s="1"/>
  <c r="BZ542" i="7"/>
  <c r="CD542" i="7"/>
  <c r="BY548" i="7"/>
  <c r="BP548" i="7"/>
  <c r="CC28" i="7"/>
  <c r="CC49" i="7"/>
  <c r="CC71" i="7"/>
  <c r="CC73" i="7"/>
  <c r="CC75" i="7"/>
  <c r="CC81" i="7"/>
  <c r="CC83" i="7"/>
  <c r="CC89" i="7"/>
  <c r="CC91" i="7"/>
  <c r="CC93" i="7"/>
  <c r="CC95" i="7"/>
  <c r="CC96" i="7"/>
  <c r="CC97" i="7"/>
  <c r="CC98" i="7"/>
  <c r="CC99" i="7"/>
  <c r="CC100" i="7"/>
  <c r="CC103" i="7"/>
  <c r="CC105" i="7"/>
  <c r="CC106" i="7"/>
  <c r="CC107" i="7"/>
  <c r="CC108" i="7"/>
  <c r="CC110" i="7"/>
  <c r="CC112" i="7"/>
  <c r="CC114" i="7"/>
  <c r="CC115" i="7"/>
  <c r="CC118" i="7"/>
  <c r="CC119" i="7"/>
  <c r="CC120" i="7"/>
  <c r="CC122" i="7"/>
  <c r="CC124" i="7"/>
  <c r="CC126" i="7"/>
  <c r="CC127" i="7"/>
  <c r="CC128" i="7"/>
  <c r="CC129" i="7"/>
  <c r="CC133" i="7"/>
  <c r="CC134" i="7"/>
  <c r="CC135" i="7"/>
  <c r="CC136" i="7"/>
  <c r="CC137" i="7"/>
  <c r="CC138" i="7"/>
  <c r="CC139" i="7"/>
  <c r="CC140" i="7"/>
  <c r="CC141" i="7"/>
  <c r="CC142" i="7"/>
  <c r="CC143" i="7"/>
  <c r="CC144" i="7"/>
  <c r="CC145" i="7"/>
  <c r="CC146" i="7"/>
  <c r="CC147" i="7"/>
  <c r="CC148" i="7"/>
  <c r="CC149" i="7"/>
  <c r="CC150" i="7"/>
  <c r="CC152" i="7"/>
  <c r="CC153" i="7"/>
  <c r="CC154" i="7"/>
  <c r="CC156" i="7"/>
  <c r="CC157" i="7"/>
  <c r="CC158" i="7"/>
  <c r="CC159" i="7"/>
  <c r="CC160" i="7"/>
  <c r="CC161" i="7"/>
  <c r="CC162" i="7"/>
  <c r="CC163" i="7"/>
  <c r="CC164" i="7"/>
  <c r="CC165" i="7"/>
  <c r="CC166" i="7"/>
  <c r="CC167" i="7"/>
  <c r="CC168" i="7"/>
  <c r="CC169" i="7"/>
  <c r="CC170" i="7"/>
  <c r="CC171" i="7"/>
  <c r="CC172" i="7"/>
  <c r="CC173" i="7"/>
  <c r="CC174" i="7"/>
  <c r="CC175" i="7"/>
  <c r="CC176" i="7"/>
  <c r="CC177" i="7"/>
  <c r="CC179" i="7"/>
  <c r="CC180" i="7"/>
  <c r="CC181" i="7"/>
  <c r="CC182" i="7"/>
  <c r="CC183" i="7"/>
  <c r="CC185" i="7"/>
  <c r="CC186" i="7"/>
  <c r="CC187" i="7"/>
  <c r="CC189" i="7"/>
  <c r="BY191" i="7"/>
  <c r="BP191" i="7"/>
  <c r="CB191" i="7"/>
  <c r="BY195" i="7"/>
  <c r="BP195" i="7"/>
  <c r="CB195" i="7"/>
  <c r="BY199" i="7"/>
  <c r="BP199" i="7"/>
  <c r="CB199" i="7"/>
  <c r="BY204" i="7"/>
  <c r="BP204" i="7"/>
  <c r="CB204" i="7"/>
  <c r="BY209" i="7"/>
  <c r="BP209" i="7"/>
  <c r="CB209" i="7"/>
  <c r="BY213" i="7"/>
  <c r="BP213" i="7"/>
  <c r="CB213" i="7"/>
  <c r="BY217" i="7"/>
  <c r="BP217" i="7"/>
  <c r="CB217" i="7"/>
  <c r="BY222" i="7"/>
  <c r="BP222" i="7"/>
  <c r="CB222" i="7"/>
  <c r="BY226" i="7"/>
  <c r="BP226" i="7"/>
  <c r="CB226" i="7"/>
  <c r="BY230" i="7"/>
  <c r="BP230" i="7"/>
  <c r="CB230" i="7"/>
  <c r="BY234" i="7"/>
  <c r="BP234" i="7"/>
  <c r="CB234" i="7"/>
  <c r="BY238" i="7"/>
  <c r="BP238" i="7"/>
  <c r="CB238" i="7"/>
  <c r="BY243" i="7"/>
  <c r="BP243" i="7"/>
  <c r="CB243" i="7"/>
  <c r="BY247" i="7"/>
  <c r="BP247" i="7"/>
  <c r="CB247" i="7"/>
  <c r="BY251" i="7"/>
  <c r="BP251" i="7"/>
  <c r="CB251" i="7"/>
  <c r="BY255" i="7"/>
  <c r="BP255" i="7"/>
  <c r="CB255" i="7"/>
  <c r="BY259" i="7"/>
  <c r="BP259" i="7"/>
  <c r="CB259" i="7"/>
  <c r="BY263" i="7"/>
  <c r="BP263" i="7"/>
  <c r="CB263" i="7"/>
  <c r="BY267" i="7"/>
  <c r="BP267" i="7"/>
  <c r="CB267" i="7"/>
  <c r="BY271" i="7"/>
  <c r="BP271" i="7"/>
  <c r="CB271" i="7"/>
  <c r="BY275" i="7"/>
  <c r="BP275" i="7"/>
  <c r="CB275" i="7"/>
  <c r="BY279" i="7"/>
  <c r="BP279" i="7"/>
  <c r="CB279" i="7"/>
  <c r="BY283" i="7"/>
  <c r="BP283" i="7"/>
  <c r="CB283" i="7"/>
  <c r="BY287" i="7"/>
  <c r="BP287" i="7"/>
  <c r="CB287" i="7"/>
  <c r="BY291" i="7"/>
  <c r="BP291" i="7"/>
  <c r="CB291" i="7"/>
  <c r="BY295" i="7"/>
  <c r="BP295" i="7"/>
  <c r="CB295" i="7"/>
  <c r="BY299" i="7"/>
  <c r="BP299" i="7"/>
  <c r="CB299" i="7"/>
  <c r="BY303" i="7"/>
  <c r="BP303" i="7"/>
  <c r="CB303" i="7"/>
  <c r="BY307" i="7"/>
  <c r="BP307" i="7"/>
  <c r="CB307" i="7"/>
  <c r="BY311" i="7"/>
  <c r="BP311" i="7"/>
  <c r="CB311" i="7"/>
  <c r="BY315" i="7"/>
  <c r="BP315" i="7"/>
  <c r="CB315" i="7"/>
  <c r="BY319" i="7"/>
  <c r="BP319" i="7"/>
  <c r="CB319" i="7"/>
  <c r="BY323" i="7"/>
  <c r="BP323" i="7"/>
  <c r="CB323" i="7"/>
  <c r="BY327" i="7"/>
  <c r="BP327" i="7"/>
  <c r="CB327" i="7"/>
  <c r="BY333" i="7"/>
  <c r="BP333" i="7"/>
  <c r="CD333" i="7"/>
  <c r="BY337" i="7"/>
  <c r="BP337" i="7"/>
  <c r="CD337" i="7"/>
  <c r="BY341" i="7"/>
  <c r="BP341" i="7"/>
  <c r="CD341" i="7"/>
  <c r="BY347" i="7"/>
  <c r="BP347" i="7"/>
  <c r="CD347" i="7"/>
  <c r="BY351" i="7"/>
  <c r="BP351" i="7"/>
  <c r="CD351" i="7"/>
  <c r="BY355" i="7"/>
  <c r="BP355" i="7"/>
  <c r="CD355" i="7"/>
  <c r="BY359" i="7"/>
  <c r="BP359" i="7"/>
  <c r="CD359" i="7"/>
  <c r="BY363" i="7"/>
  <c r="BP363" i="7"/>
  <c r="CD363" i="7"/>
  <c r="CC365" i="7"/>
  <c r="CB366" i="7"/>
  <c r="CA366" i="7"/>
  <c r="CF366" i="7" s="1"/>
  <c r="BZ366" i="7"/>
  <c r="BY446" i="7"/>
  <c r="BP446" i="7"/>
  <c r="BZ446" i="7"/>
  <c r="CB448" i="7"/>
  <c r="CD448" i="7"/>
  <c r="CA448" i="7"/>
  <c r="CF448" i="7" s="1"/>
  <c r="BY459" i="7"/>
  <c r="BP459" i="7"/>
  <c r="CB459" i="7"/>
  <c r="BZ459" i="7"/>
  <c r="CA459" i="7"/>
  <c r="CF459" i="7" s="1"/>
  <c r="BY468" i="7"/>
  <c r="BP468" i="7"/>
  <c r="BY484" i="7"/>
  <c r="BP484" i="7"/>
  <c r="CB491" i="7"/>
  <c r="BZ491" i="7"/>
  <c r="CD491" i="7"/>
  <c r="CA491" i="7"/>
  <c r="CF491" i="7" s="1"/>
  <c r="CB504" i="7"/>
  <c r="CA504" i="7"/>
  <c r="CF504" i="7" s="1"/>
  <c r="BZ504" i="7"/>
  <c r="CD504" i="7"/>
  <c r="BY516" i="7"/>
  <c r="BP516" i="7"/>
  <c r="BY540" i="7"/>
  <c r="BP540" i="7"/>
  <c r="BQ572" i="7"/>
  <c r="CC572" i="7"/>
  <c r="CC31" i="7"/>
  <c r="CC32" i="7"/>
  <c r="CC33" i="7"/>
  <c r="CC34" i="7"/>
  <c r="CC36" i="7"/>
  <c r="CC37" i="7"/>
  <c r="CC39" i="7"/>
  <c r="CC42" i="7"/>
  <c r="CC43" i="7"/>
  <c r="CC44" i="7"/>
  <c r="CC46" i="7"/>
  <c r="CC48" i="7"/>
  <c r="CC52" i="7"/>
  <c r="CC53" i="7"/>
  <c r="CC54" i="7"/>
  <c r="CC56" i="7"/>
  <c r="CC57" i="7"/>
  <c r="CC58" i="7"/>
  <c r="CC59" i="7"/>
  <c r="CC60" i="7"/>
  <c r="CC61" i="7"/>
  <c r="CC63" i="7"/>
  <c r="CC64" i="7"/>
  <c r="CC65" i="7"/>
  <c r="CC66" i="7"/>
  <c r="CC68" i="7"/>
  <c r="CC69" i="7"/>
  <c r="CC70" i="7"/>
  <c r="CC74" i="7"/>
  <c r="CC78" i="7"/>
  <c r="CC79" i="7"/>
  <c r="CC80" i="7"/>
  <c r="CC82" i="7"/>
  <c r="CC84" i="7"/>
  <c r="CC85" i="7"/>
  <c r="CC87" i="7"/>
  <c r="CC94" i="7"/>
  <c r="BY192" i="7"/>
  <c r="BP192" i="7"/>
  <c r="BY196" i="7"/>
  <c r="BP196" i="7"/>
  <c r="BY200" i="7"/>
  <c r="BP200" i="7"/>
  <c r="BY205" i="7"/>
  <c r="BP205" i="7"/>
  <c r="BY206" i="7"/>
  <c r="BP206" i="7"/>
  <c r="BY210" i="7"/>
  <c r="BP210" i="7"/>
  <c r="BY214" i="7"/>
  <c r="BP214" i="7"/>
  <c r="BY218" i="7"/>
  <c r="BP218" i="7"/>
  <c r="BY223" i="7"/>
  <c r="BP223" i="7"/>
  <c r="BY227" i="7"/>
  <c r="BP227" i="7"/>
  <c r="BY231" i="7"/>
  <c r="BP231" i="7"/>
  <c r="BY235" i="7"/>
  <c r="BP235" i="7"/>
  <c r="BY239" i="7"/>
  <c r="BP239" i="7"/>
  <c r="BY244" i="7"/>
  <c r="BP244" i="7"/>
  <c r="BY248" i="7"/>
  <c r="BP248" i="7"/>
  <c r="BY252" i="7"/>
  <c r="BP252" i="7"/>
  <c r="BY256" i="7"/>
  <c r="BP256" i="7"/>
  <c r="BY260" i="7"/>
  <c r="BP260" i="7"/>
  <c r="BY264" i="7"/>
  <c r="BP264" i="7"/>
  <c r="BY268" i="7"/>
  <c r="BP268" i="7"/>
  <c r="BY272" i="7"/>
  <c r="BP272" i="7"/>
  <c r="BY276" i="7"/>
  <c r="BP276" i="7"/>
  <c r="BY280" i="7"/>
  <c r="BP280" i="7"/>
  <c r="BY284" i="7"/>
  <c r="BP284" i="7"/>
  <c r="BY288" i="7"/>
  <c r="BP288" i="7"/>
  <c r="BY292" i="7"/>
  <c r="BP292" i="7"/>
  <c r="BY296" i="7"/>
  <c r="BP296" i="7"/>
  <c r="BY300" i="7"/>
  <c r="BP300" i="7"/>
  <c r="BY304" i="7"/>
  <c r="BP304" i="7"/>
  <c r="BY308" i="7"/>
  <c r="BP308" i="7"/>
  <c r="BY312" i="7"/>
  <c r="BP312" i="7"/>
  <c r="BY316" i="7"/>
  <c r="BP316" i="7"/>
  <c r="BY320" i="7"/>
  <c r="BP320" i="7"/>
  <c r="BY324" i="7"/>
  <c r="BP324" i="7"/>
  <c r="BY328" i="7"/>
  <c r="BP328" i="7"/>
  <c r="BY332" i="7"/>
  <c r="BP332" i="7"/>
  <c r="CD332" i="7"/>
  <c r="BY336" i="7"/>
  <c r="BP336" i="7"/>
  <c r="CD336" i="7"/>
  <c r="BY340" i="7"/>
  <c r="BP340" i="7"/>
  <c r="CD340" i="7"/>
  <c r="BY344" i="7"/>
  <c r="BP344" i="7"/>
  <c r="CB344" i="7"/>
  <c r="CI344" i="7" s="1"/>
  <c r="CT344" i="7" s="1"/>
  <c r="CD344" i="7"/>
  <c r="BY346" i="7"/>
  <c r="BP346" i="7"/>
  <c r="CD346" i="7"/>
  <c r="BZ348" i="7"/>
  <c r="BY350" i="7"/>
  <c r="BP350" i="7"/>
  <c r="CD350" i="7"/>
  <c r="BZ352" i="7"/>
  <c r="BY354" i="7"/>
  <c r="BP354" i="7"/>
  <c r="CD354" i="7"/>
  <c r="BZ356" i="7"/>
  <c r="BY358" i="7"/>
  <c r="BP358" i="7"/>
  <c r="CD358" i="7"/>
  <c r="BZ360" i="7"/>
  <c r="BY362" i="7"/>
  <c r="BP362" i="7"/>
  <c r="CD362" i="7"/>
  <c r="BZ364" i="7"/>
  <c r="BY448" i="7"/>
  <c r="BP448" i="7"/>
  <c r="BZ448" i="7"/>
  <c r="CD449" i="7"/>
  <c r="BY464" i="7"/>
  <c r="BP464" i="7"/>
  <c r="BY480" i="7"/>
  <c r="BP480" i="7"/>
  <c r="BY491" i="7"/>
  <c r="BP491" i="7"/>
  <c r="BY495" i="7"/>
  <c r="BP495" i="7"/>
  <c r="CB495" i="7"/>
  <c r="BZ495" i="7"/>
  <c r="CA495" i="7"/>
  <c r="CF495" i="7" s="1"/>
  <c r="BY504" i="7"/>
  <c r="BP504" i="7"/>
  <c r="CB508" i="7"/>
  <c r="CA508" i="7"/>
  <c r="CF508" i="7" s="1"/>
  <c r="BZ508" i="7"/>
  <c r="CD508" i="7"/>
  <c r="CD511" i="7"/>
  <c r="BP523" i="7"/>
  <c r="BY523" i="7"/>
  <c r="BQ525" i="7"/>
  <c r="CC525" i="7"/>
  <c r="CD528" i="7"/>
  <c r="BZ528" i="7"/>
  <c r="CB528" i="7"/>
  <c r="CA528" i="7"/>
  <c r="CF528" i="7" s="1"/>
  <c r="BY369" i="7"/>
  <c r="BP369" i="7"/>
  <c r="BY371" i="7"/>
  <c r="BP371" i="7"/>
  <c r="BY373" i="7"/>
  <c r="BP373" i="7"/>
  <c r="BY375" i="7"/>
  <c r="BP375" i="7"/>
  <c r="BY377" i="7"/>
  <c r="BP377" i="7"/>
  <c r="BY379" i="7"/>
  <c r="BP379" i="7"/>
  <c r="BY381" i="7"/>
  <c r="BP381" i="7"/>
  <c r="BY383" i="7"/>
  <c r="BP383" i="7"/>
  <c r="BY385" i="7"/>
  <c r="BP385" i="7"/>
  <c r="BY387" i="7"/>
  <c r="BP387" i="7"/>
  <c r="BY389" i="7"/>
  <c r="BP389" i="7"/>
  <c r="BY391" i="7"/>
  <c r="BP391" i="7"/>
  <c r="BY393" i="7"/>
  <c r="BP393" i="7"/>
  <c r="BY395" i="7"/>
  <c r="BP395" i="7"/>
  <c r="BY397" i="7"/>
  <c r="BP397" i="7"/>
  <c r="BY399" i="7"/>
  <c r="BP399" i="7"/>
  <c r="BY401" i="7"/>
  <c r="BP401" i="7"/>
  <c r="BY403" i="7"/>
  <c r="BP403" i="7"/>
  <c r="BY405" i="7"/>
  <c r="BP405" i="7"/>
  <c r="BY407" i="7"/>
  <c r="BP407" i="7"/>
  <c r="BY409" i="7"/>
  <c r="BP409" i="7"/>
  <c r="BY411" i="7"/>
  <c r="BP411" i="7"/>
  <c r="BY413" i="7"/>
  <c r="BP413" i="7"/>
  <c r="BY415" i="7"/>
  <c r="BP415" i="7"/>
  <c r="BY417" i="7"/>
  <c r="BP417" i="7"/>
  <c r="BY419" i="7"/>
  <c r="BP419" i="7"/>
  <c r="BY421" i="7"/>
  <c r="BP421" i="7"/>
  <c r="BY423" i="7"/>
  <c r="BP423" i="7"/>
  <c r="BY425" i="7"/>
  <c r="BP425" i="7"/>
  <c r="BY427" i="7"/>
  <c r="BP427" i="7"/>
  <c r="BY429" i="7"/>
  <c r="BP429" i="7"/>
  <c r="BY431" i="7"/>
  <c r="BP431" i="7"/>
  <c r="BY433" i="7"/>
  <c r="BP433" i="7"/>
  <c r="BY435" i="7"/>
  <c r="BP435" i="7"/>
  <c r="BY437" i="7"/>
  <c r="BP437" i="7"/>
  <c r="BY439" i="7"/>
  <c r="BP439" i="7"/>
  <c r="BY441" i="7"/>
  <c r="BP441" i="7"/>
  <c r="BY443" i="7"/>
  <c r="BP443" i="7"/>
  <c r="BY445" i="7"/>
  <c r="BP445" i="7"/>
  <c r="BY447" i="7"/>
  <c r="BP447" i="7"/>
  <c r="BY449" i="7"/>
  <c r="BP449" i="7"/>
  <c r="CB456" i="7"/>
  <c r="CA456" i="7"/>
  <c r="CF456" i="7" s="1"/>
  <c r="BZ456" i="7"/>
  <c r="CB460" i="7"/>
  <c r="CA460" i="7"/>
  <c r="CF460" i="7" s="1"/>
  <c r="BZ460" i="7"/>
  <c r="BY463" i="7"/>
  <c r="BP463" i="7"/>
  <c r="CB463" i="7"/>
  <c r="BZ463" i="7"/>
  <c r="BY467" i="7"/>
  <c r="BP467" i="7"/>
  <c r="CB467" i="7"/>
  <c r="BZ467" i="7"/>
  <c r="BY471" i="7"/>
  <c r="BP471" i="7"/>
  <c r="CB471" i="7"/>
  <c r="BZ471" i="7"/>
  <c r="BY475" i="7"/>
  <c r="BP475" i="7"/>
  <c r="CB475" i="7"/>
  <c r="BZ475" i="7"/>
  <c r="BY479" i="7"/>
  <c r="BP479" i="7"/>
  <c r="CB479" i="7"/>
  <c r="BZ479" i="7"/>
  <c r="BY483" i="7"/>
  <c r="BP483" i="7"/>
  <c r="CB483" i="7"/>
  <c r="BZ483" i="7"/>
  <c r="BY492" i="7"/>
  <c r="BP492" i="7"/>
  <c r="CB496" i="7"/>
  <c r="CA496" i="7"/>
  <c r="CF496" i="7" s="1"/>
  <c r="BZ496" i="7"/>
  <c r="BY499" i="7"/>
  <c r="BP499" i="7"/>
  <c r="CB499" i="7"/>
  <c r="BZ499" i="7"/>
  <c r="BY508" i="7"/>
  <c r="BP508" i="7"/>
  <c r="CB512" i="7"/>
  <c r="CA512" i="7"/>
  <c r="CF512" i="7" s="1"/>
  <c r="BZ512" i="7"/>
  <c r="BY515" i="7"/>
  <c r="BP515" i="7"/>
  <c r="CB515" i="7"/>
  <c r="BZ515" i="7"/>
  <c r="BQ524" i="7"/>
  <c r="BQ530" i="7"/>
  <c r="CC530" i="7"/>
  <c r="CB539" i="7"/>
  <c r="BZ539" i="7"/>
  <c r="CD539" i="7"/>
  <c r="CA539" i="7"/>
  <c r="CF539" i="7" s="1"/>
  <c r="CB593" i="7"/>
  <c r="CA593" i="7"/>
  <c r="CF593" i="7" s="1"/>
  <c r="BZ593" i="7"/>
  <c r="CD593" i="7"/>
  <c r="BZ369" i="7"/>
  <c r="BZ371" i="7"/>
  <c r="BZ373" i="7"/>
  <c r="BZ375" i="7"/>
  <c r="BZ377" i="7"/>
  <c r="BZ379" i="7"/>
  <c r="BZ381" i="7"/>
  <c r="BZ383" i="7"/>
  <c r="BZ385" i="7"/>
  <c r="BZ387" i="7"/>
  <c r="BZ389" i="7"/>
  <c r="BZ391" i="7"/>
  <c r="BZ393" i="7"/>
  <c r="BZ395" i="7"/>
  <c r="BZ397" i="7"/>
  <c r="BZ399" i="7"/>
  <c r="BZ401" i="7"/>
  <c r="BZ403" i="7"/>
  <c r="BZ405" i="7"/>
  <c r="BZ407" i="7"/>
  <c r="BZ409" i="7"/>
  <c r="BZ411" i="7"/>
  <c r="BZ413" i="7"/>
  <c r="BZ415" i="7"/>
  <c r="BZ417" i="7"/>
  <c r="BZ419" i="7"/>
  <c r="BZ421" i="7"/>
  <c r="BZ423" i="7"/>
  <c r="BZ425" i="7"/>
  <c r="BZ427" i="7"/>
  <c r="BZ429" i="7"/>
  <c r="BZ431" i="7"/>
  <c r="BZ433" i="7"/>
  <c r="BZ435" i="7"/>
  <c r="BZ437" i="7"/>
  <c r="BZ439" i="7"/>
  <c r="BZ441" i="7"/>
  <c r="BZ443" i="7"/>
  <c r="BY450" i="7"/>
  <c r="BP450" i="7"/>
  <c r="BZ450" i="7"/>
  <c r="CD450" i="7"/>
  <c r="BY456" i="7"/>
  <c r="BP456" i="7"/>
  <c r="BY460" i="7"/>
  <c r="BP460" i="7"/>
  <c r="CB464" i="7"/>
  <c r="CA464" i="7"/>
  <c r="CF464" i="7" s="1"/>
  <c r="BZ464" i="7"/>
  <c r="CB468" i="7"/>
  <c r="CA468" i="7"/>
  <c r="CF468" i="7" s="1"/>
  <c r="BZ468" i="7"/>
  <c r="CB472" i="7"/>
  <c r="CA472" i="7"/>
  <c r="CF472" i="7" s="1"/>
  <c r="BZ472" i="7"/>
  <c r="CB476" i="7"/>
  <c r="CA476" i="7"/>
  <c r="CF476" i="7" s="1"/>
  <c r="BZ476" i="7"/>
  <c r="CB480" i="7"/>
  <c r="CA480" i="7"/>
  <c r="CF480" i="7" s="1"/>
  <c r="BZ480" i="7"/>
  <c r="CB484" i="7"/>
  <c r="CA484" i="7"/>
  <c r="CF484" i="7" s="1"/>
  <c r="BZ484" i="7"/>
  <c r="BY487" i="7"/>
  <c r="BP487" i="7"/>
  <c r="CB487" i="7"/>
  <c r="BZ487" i="7"/>
  <c r="BY496" i="7"/>
  <c r="BP496" i="7"/>
  <c r="CB500" i="7"/>
  <c r="CA500" i="7"/>
  <c r="CF500" i="7" s="1"/>
  <c r="BZ500" i="7"/>
  <c r="BY503" i="7"/>
  <c r="BP503" i="7"/>
  <c r="CB503" i="7"/>
  <c r="BZ503" i="7"/>
  <c r="BY512" i="7"/>
  <c r="BP512" i="7"/>
  <c r="CB516" i="7"/>
  <c r="CA516" i="7"/>
  <c r="CF516" i="7" s="1"/>
  <c r="BZ516" i="7"/>
  <c r="BY519" i="7"/>
  <c r="BP519" i="7"/>
  <c r="CB519" i="7"/>
  <c r="BZ519" i="7"/>
  <c r="CD523" i="7"/>
  <c r="BZ523" i="7"/>
  <c r="CA523" i="7"/>
  <c r="CF523" i="7" s="1"/>
  <c r="CB523" i="7"/>
  <c r="CB550" i="7"/>
  <c r="CA550" i="7"/>
  <c r="CF550" i="7" s="1"/>
  <c r="BZ550" i="7"/>
  <c r="CD550" i="7"/>
  <c r="BQ559" i="7"/>
  <c r="CC559" i="7"/>
  <c r="BQ533" i="7"/>
  <c r="BP535" i="7"/>
  <c r="BY535" i="7"/>
  <c r="CB535" i="7"/>
  <c r="BZ535" i="7"/>
  <c r="CD535" i="7"/>
  <c r="CA535" i="7"/>
  <c r="CF535" i="7" s="1"/>
  <c r="BP539" i="7"/>
  <c r="BY539" i="7"/>
  <c r="CB555" i="7"/>
  <c r="CA555" i="7"/>
  <c r="CF555" i="7" s="1"/>
  <c r="BZ555" i="7"/>
  <c r="BY565" i="7"/>
  <c r="BP565" i="7"/>
  <c r="CC576" i="7"/>
  <c r="BQ576" i="7"/>
  <c r="CB577" i="7"/>
  <c r="CA577" i="7"/>
  <c r="CF577" i="7" s="1"/>
  <c r="BZ577" i="7"/>
  <c r="CB590" i="7"/>
  <c r="BZ590" i="7"/>
  <c r="CD590" i="7"/>
  <c r="BY591" i="7"/>
  <c r="BP591" i="7"/>
  <c r="BY451" i="7"/>
  <c r="BP451" i="7"/>
  <c r="CB451" i="7"/>
  <c r="CA452" i="7"/>
  <c r="CF452" i="7" s="1"/>
  <c r="BY454" i="7"/>
  <c r="BP454" i="7"/>
  <c r="CD454" i="7"/>
  <c r="CA457" i="7"/>
  <c r="CF457" i="7" s="1"/>
  <c r="BY458" i="7"/>
  <c r="BP458" i="7"/>
  <c r="CD458" i="7"/>
  <c r="BY462" i="7"/>
  <c r="BP462" i="7"/>
  <c r="CD462" i="7"/>
  <c r="CA465" i="7"/>
  <c r="CF465" i="7" s="1"/>
  <c r="BY466" i="7"/>
  <c r="BP466" i="7"/>
  <c r="CD466" i="7"/>
  <c r="CA469" i="7"/>
  <c r="CF469" i="7" s="1"/>
  <c r="BY470" i="7"/>
  <c r="BP470" i="7"/>
  <c r="CD470" i="7"/>
  <c r="CA473" i="7"/>
  <c r="CF473" i="7" s="1"/>
  <c r="BY474" i="7"/>
  <c r="BP474" i="7"/>
  <c r="CD474" i="7"/>
  <c r="CA477" i="7"/>
  <c r="CF477" i="7" s="1"/>
  <c r="BY478" i="7"/>
  <c r="BP478" i="7"/>
  <c r="CD478" i="7"/>
  <c r="CA481" i="7"/>
  <c r="CF481" i="7" s="1"/>
  <c r="BY482" i="7"/>
  <c r="BP482" i="7"/>
  <c r="CD482" i="7"/>
  <c r="BY486" i="7"/>
  <c r="BP486" i="7"/>
  <c r="CD486" i="7"/>
  <c r="BY490" i="7"/>
  <c r="BP490" i="7"/>
  <c r="CD490" i="7"/>
  <c r="BY494" i="7"/>
  <c r="BP494" i="7"/>
  <c r="CD494" i="7"/>
  <c r="BY498" i="7"/>
  <c r="BP498" i="7"/>
  <c r="CD498" i="7"/>
  <c r="BY502" i="7"/>
  <c r="BP502" i="7"/>
  <c r="CD502" i="7"/>
  <c r="BY506" i="7"/>
  <c r="BP506" i="7"/>
  <c r="CD506" i="7"/>
  <c r="BY510" i="7"/>
  <c r="BP510" i="7"/>
  <c r="CD510" i="7"/>
  <c r="BY514" i="7"/>
  <c r="BP514" i="7"/>
  <c r="CD514" i="7"/>
  <c r="BY518" i="7"/>
  <c r="BP518" i="7"/>
  <c r="CD518" i="7"/>
  <c r="BY522" i="7"/>
  <c r="BP522" i="7"/>
  <c r="CD522" i="7"/>
  <c r="CD524" i="7"/>
  <c r="BZ524" i="7"/>
  <c r="BQ529" i="7"/>
  <c r="CC529" i="7"/>
  <c r="BQ531" i="7"/>
  <c r="CC531" i="7"/>
  <c r="BY544" i="7"/>
  <c r="BP544" i="7"/>
  <c r="CB546" i="7"/>
  <c r="CA546" i="7"/>
  <c r="CF546" i="7" s="1"/>
  <c r="BZ546" i="7"/>
  <c r="BY552" i="7"/>
  <c r="BP552" i="7"/>
  <c r="CC553" i="7"/>
  <c r="BQ553" i="7"/>
  <c r="CB554" i="7"/>
  <c r="CI554" i="7" s="1"/>
  <c r="CT554" i="7" s="1"/>
  <c r="CA554" i="7"/>
  <c r="CF554" i="7" s="1"/>
  <c r="BZ554" i="7"/>
  <c r="BY561" i="7"/>
  <c r="BP561" i="7"/>
  <c r="BP569" i="7"/>
  <c r="BY569" i="7"/>
  <c r="BP586" i="7"/>
  <c r="BY586" i="7"/>
  <c r="CB586" i="7"/>
  <c r="BZ586" i="7"/>
  <c r="CD586" i="7"/>
  <c r="CA586" i="7"/>
  <c r="CF586" i="7" s="1"/>
  <c r="CC588" i="7"/>
  <c r="BQ588" i="7"/>
  <c r="BP590" i="7"/>
  <c r="BY590" i="7"/>
  <c r="CA590" i="7"/>
  <c r="CF590" i="7" s="1"/>
  <c r="BY599" i="7"/>
  <c r="BP599" i="7"/>
  <c r="BY452" i="7"/>
  <c r="BP452" i="7"/>
  <c r="BY453" i="7"/>
  <c r="BP453" i="7"/>
  <c r="CD453" i="7"/>
  <c r="BY457" i="7"/>
  <c r="BP457" i="7"/>
  <c r="CD457" i="7"/>
  <c r="BY461" i="7"/>
  <c r="BP461" i="7"/>
  <c r="CD461" i="7"/>
  <c r="BY465" i="7"/>
  <c r="BP465" i="7"/>
  <c r="CD465" i="7"/>
  <c r="BY469" i="7"/>
  <c r="BP469" i="7"/>
  <c r="CD469" i="7"/>
  <c r="BY473" i="7"/>
  <c r="BP473" i="7"/>
  <c r="CD473" i="7"/>
  <c r="BY477" i="7"/>
  <c r="BP477" i="7"/>
  <c r="CD477" i="7"/>
  <c r="BY481" i="7"/>
  <c r="BP481" i="7"/>
  <c r="CD481" i="7"/>
  <c r="BY485" i="7"/>
  <c r="BP485" i="7"/>
  <c r="CD485" i="7"/>
  <c r="BY489" i="7"/>
  <c r="BP489" i="7"/>
  <c r="CD489" i="7"/>
  <c r="BY493" i="7"/>
  <c r="BP493" i="7"/>
  <c r="CD493" i="7"/>
  <c r="BY497" i="7"/>
  <c r="BP497" i="7"/>
  <c r="CD497" i="7"/>
  <c r="BY501" i="7"/>
  <c r="BP501" i="7"/>
  <c r="CD501" i="7"/>
  <c r="BY505" i="7"/>
  <c r="BP505" i="7"/>
  <c r="CD505" i="7"/>
  <c r="BY509" i="7"/>
  <c r="BP509" i="7"/>
  <c r="CD509" i="7"/>
  <c r="BY513" i="7"/>
  <c r="BP513" i="7"/>
  <c r="CD513" i="7"/>
  <c r="BY517" i="7"/>
  <c r="BP517" i="7"/>
  <c r="CD517" i="7"/>
  <c r="BY521" i="7"/>
  <c r="BP521" i="7"/>
  <c r="CD521" i="7"/>
  <c r="BQ528" i="7"/>
  <c r="CC528" i="7"/>
  <c r="CC536" i="7"/>
  <c r="BQ536" i="7"/>
  <c r="BY557" i="7"/>
  <c r="BP557" i="7"/>
  <c r="CC567" i="7"/>
  <c r="BQ567" i="7"/>
  <c r="BP573" i="7"/>
  <c r="BY573" i="7"/>
  <c r="BQ585" i="7"/>
  <c r="CC585" i="7"/>
  <c r="CD525" i="7"/>
  <c r="BZ525" i="7"/>
  <c r="CB525" i="7"/>
  <c r="BP532" i="7"/>
  <c r="CB538" i="7"/>
  <c r="CA538" i="7"/>
  <c r="CF538" i="7" s="1"/>
  <c r="BZ538" i="7"/>
  <c r="BQ541" i="7"/>
  <c r="CC558" i="7"/>
  <c r="CC562" i="7"/>
  <c r="CB581" i="7"/>
  <c r="CA581" i="7"/>
  <c r="CF581" i="7" s="1"/>
  <c r="BZ581" i="7"/>
  <c r="CD581" i="7"/>
  <c r="BY595" i="7"/>
  <c r="BP595" i="7"/>
  <c r="CB597" i="7"/>
  <c r="CA597" i="7"/>
  <c r="CF597" i="7" s="1"/>
  <c r="BZ597" i="7"/>
  <c r="CD526" i="7"/>
  <c r="BZ526" i="7"/>
  <c r="CB526" i="7"/>
  <c r="CB534" i="7"/>
  <c r="CA534" i="7"/>
  <c r="CF534" i="7" s="1"/>
  <c r="BZ534" i="7"/>
  <c r="CC537" i="7"/>
  <c r="BQ537" i="7"/>
  <c r="BP543" i="7"/>
  <c r="BY543" i="7"/>
  <c r="CB543" i="7"/>
  <c r="BZ543" i="7"/>
  <c r="CD543" i="7"/>
  <c r="BP547" i="7"/>
  <c r="BY547" i="7"/>
  <c r="CB547" i="7"/>
  <c r="BZ547" i="7"/>
  <c r="CD547" i="7"/>
  <c r="BP551" i="7"/>
  <c r="BY551" i="7"/>
  <c r="CB551" i="7"/>
  <c r="BZ551" i="7"/>
  <c r="CD551" i="7"/>
  <c r="BP556" i="7"/>
  <c r="BY556" i="7"/>
  <c r="CB556" i="7"/>
  <c r="BZ556" i="7"/>
  <c r="CD556" i="7"/>
  <c r="BQ566" i="7"/>
  <c r="BQ570" i="7"/>
  <c r="BQ574" i="7"/>
  <c r="BY579" i="7"/>
  <c r="BP579" i="7"/>
  <c r="BQ581" i="7"/>
  <c r="CC581" i="7"/>
  <c r="BQ587" i="7"/>
  <c r="BZ529" i="7"/>
  <c r="CD529" i="7"/>
  <c r="BZ530" i="7"/>
  <c r="CD530" i="7"/>
  <c r="CA533" i="7"/>
  <c r="CF533" i="7" s="1"/>
  <c r="CA537" i="7"/>
  <c r="CF537" i="7" s="1"/>
  <c r="CA541" i="7"/>
  <c r="CF541" i="7" s="1"/>
  <c r="CC580" i="7"/>
  <c r="BQ580" i="7"/>
  <c r="BP582" i="7"/>
  <c r="BY582" i="7"/>
  <c r="CB582" i="7"/>
  <c r="BZ582" i="7"/>
  <c r="CD582" i="7"/>
  <c r="BP583" i="7"/>
  <c r="CB589" i="7"/>
  <c r="CA589" i="7"/>
  <c r="CF589" i="7" s="1"/>
  <c r="BZ589" i="7"/>
  <c r="CD621" i="7"/>
  <c r="BZ621" i="7"/>
  <c r="CB621" i="7"/>
  <c r="CA621" i="7"/>
  <c r="CF621" i="7" s="1"/>
  <c r="CD623" i="7"/>
  <c r="BZ623" i="7"/>
  <c r="CB623" i="7"/>
  <c r="CA623" i="7"/>
  <c r="CF623" i="7" s="1"/>
  <c r="CD532" i="7"/>
  <c r="CD536" i="7"/>
  <c r="CD540" i="7"/>
  <c r="CD544" i="7"/>
  <c r="CD548" i="7"/>
  <c r="CD552" i="7"/>
  <c r="BP578" i="7"/>
  <c r="BY578" i="7"/>
  <c r="CB578" i="7"/>
  <c r="BZ578" i="7"/>
  <c r="CD578" i="7"/>
  <c r="CA582" i="7"/>
  <c r="CF582" i="7" s="1"/>
  <c r="CB585" i="7"/>
  <c r="CA585" i="7"/>
  <c r="CF585" i="7" s="1"/>
  <c r="BZ585" i="7"/>
  <c r="BP594" i="7"/>
  <c r="BY594" i="7"/>
  <c r="CB594" i="7"/>
  <c r="BZ594" i="7"/>
  <c r="CD594" i="7"/>
  <c r="BP598" i="7"/>
  <c r="BY598" i="7"/>
  <c r="CB598" i="7"/>
  <c r="BZ598" i="7"/>
  <c r="CD598" i="7"/>
  <c r="BQ602" i="7"/>
  <c r="CC602" i="7"/>
  <c r="CA557" i="7"/>
  <c r="CF557" i="7" s="1"/>
  <c r="CA558" i="7"/>
  <c r="CF558" i="7" s="1"/>
  <c r="CA559" i="7"/>
  <c r="CF559" i="7" s="1"/>
  <c r="CA560" i="7"/>
  <c r="CF560" i="7" s="1"/>
  <c r="CA561" i="7"/>
  <c r="CF561" i="7" s="1"/>
  <c r="CA562" i="7"/>
  <c r="CF562" i="7" s="1"/>
  <c r="CA563" i="7"/>
  <c r="CF563" i="7" s="1"/>
  <c r="CA564" i="7"/>
  <c r="CF564" i="7" s="1"/>
  <c r="CA565" i="7"/>
  <c r="CF565" i="7" s="1"/>
  <c r="CA576" i="7"/>
  <c r="CF576" i="7" s="1"/>
  <c r="CA580" i="7"/>
  <c r="CF580" i="7" s="1"/>
  <c r="CA584" i="7"/>
  <c r="CF584" i="7" s="1"/>
  <c r="CA588" i="7"/>
  <c r="CF588" i="7" s="1"/>
  <c r="CA592" i="7"/>
  <c r="CF592" i="7" s="1"/>
  <c r="CD602" i="7"/>
  <c r="BZ602" i="7"/>
  <c r="CB602" i="7"/>
  <c r="CD604" i="7"/>
  <c r="BZ604" i="7"/>
  <c r="CB604" i="7"/>
  <c r="CD605" i="7"/>
  <c r="BZ605" i="7"/>
  <c r="CB605" i="7"/>
  <c r="CD606" i="7"/>
  <c r="BZ606" i="7"/>
  <c r="CB606" i="7"/>
  <c r="CD607" i="7"/>
  <c r="BZ607" i="7"/>
  <c r="CB607" i="7"/>
  <c r="CD608" i="7"/>
  <c r="BZ608" i="7"/>
  <c r="CB608" i="7"/>
  <c r="CD609" i="7"/>
  <c r="BZ609" i="7"/>
  <c r="CB609" i="7"/>
  <c r="CD610" i="7"/>
  <c r="BZ610" i="7"/>
  <c r="CB610" i="7"/>
  <c r="CD611" i="7"/>
  <c r="BZ611" i="7"/>
  <c r="CB611" i="7"/>
  <c r="CD612" i="7"/>
  <c r="BZ612" i="7"/>
  <c r="CB612" i="7"/>
  <c r="CD625" i="7"/>
  <c r="BZ625" i="7"/>
  <c r="CB625" i="7"/>
  <c r="CA625" i="7"/>
  <c r="CF625" i="7" s="1"/>
  <c r="CD595" i="7"/>
  <c r="CD599" i="7"/>
  <c r="CD600" i="7"/>
  <c r="CB600" i="7"/>
  <c r="CD601" i="7"/>
  <c r="BZ601" i="7"/>
  <c r="CA601" i="7"/>
  <c r="CF601" i="7" s="1"/>
  <c r="CD603" i="7"/>
  <c r="BZ603" i="7"/>
  <c r="CD627" i="7"/>
  <c r="BZ627" i="7"/>
  <c r="CB627" i="7"/>
  <c r="CA627" i="7"/>
  <c r="CF627" i="7" s="1"/>
  <c r="CD613" i="7"/>
  <c r="BZ613" i="7"/>
  <c r="CB613" i="7"/>
  <c r="CD614" i="7"/>
  <c r="BZ614" i="7"/>
  <c r="CB614" i="7"/>
  <c r="CD615" i="7"/>
  <c r="BZ615" i="7"/>
  <c r="CB615" i="7"/>
  <c r="CD616" i="7"/>
  <c r="BZ616" i="7"/>
  <c r="CB616" i="7"/>
  <c r="CD617" i="7"/>
  <c r="BZ617" i="7"/>
  <c r="CB617" i="7"/>
  <c r="CD618" i="7"/>
  <c r="BZ618" i="7"/>
  <c r="CB618" i="7"/>
  <c r="CD619" i="7"/>
  <c r="BZ619" i="7"/>
  <c r="CB619" i="7"/>
  <c r="CD620" i="7"/>
  <c r="BZ620" i="7"/>
  <c r="CD622" i="7"/>
  <c r="BZ622" i="7"/>
  <c r="CD624" i="7"/>
  <c r="BZ624" i="7"/>
  <c r="CD626" i="7"/>
  <c r="BZ626" i="7"/>
  <c r="CD628" i="7"/>
  <c r="BZ628" i="7"/>
  <c r="CC603" i="7"/>
  <c r="CC605" i="7"/>
  <c r="CC606" i="7"/>
  <c r="CC608" i="7"/>
  <c r="CC610" i="7"/>
  <c r="CC611" i="7"/>
  <c r="CC615" i="7"/>
  <c r="CC616" i="7"/>
  <c r="CC618" i="7"/>
  <c r="CC620" i="7"/>
  <c r="BP621" i="7"/>
  <c r="BP622" i="7"/>
  <c r="BP623" i="7"/>
  <c r="BP624" i="7"/>
  <c r="BP625" i="7"/>
  <c r="BP626" i="7"/>
  <c r="BP627" i="7"/>
  <c r="BP628" i="7"/>
  <c r="CC15" i="7" l="1"/>
  <c r="CC612" i="7"/>
  <c r="CC607" i="7"/>
  <c r="BQ549" i="7"/>
  <c r="CC564" i="7"/>
  <c r="CC90" i="7"/>
  <c r="CC604" i="7"/>
  <c r="CC104" i="7"/>
  <c r="CC13" i="7"/>
  <c r="CC366" i="7"/>
  <c r="BQ592" i="7"/>
  <c r="CC619" i="7"/>
  <c r="CC614" i="7"/>
  <c r="CC609" i="7"/>
  <c r="CC47" i="7"/>
  <c r="CC125" i="7"/>
  <c r="CC72" i="7"/>
  <c r="CC116" i="7"/>
  <c r="CC45" i="7"/>
  <c r="CC178" i="7"/>
  <c r="CC131" i="7"/>
  <c r="BQ575" i="7"/>
  <c r="CC77" i="7"/>
  <c r="CC130" i="7"/>
  <c r="CC67" i="7"/>
  <c r="CC613" i="7"/>
  <c r="BQ600" i="7"/>
  <c r="CC29" i="7"/>
  <c r="CC88" i="7"/>
  <c r="CC50" i="7"/>
  <c r="CC40" i="7"/>
  <c r="CC35" i="7"/>
  <c r="BQ571" i="7"/>
  <c r="CC184" i="7"/>
  <c r="CC123" i="7"/>
  <c r="BQ545" i="7"/>
  <c r="CC617" i="7"/>
  <c r="CC560" i="7"/>
  <c r="BQ190" i="7"/>
  <c r="CC76" i="7"/>
  <c r="CC155" i="7"/>
  <c r="CC151" i="7"/>
  <c r="CC111" i="7"/>
  <c r="CC102" i="7"/>
  <c r="CC62" i="7"/>
  <c r="CC27" i="7"/>
  <c r="BQ596" i="7"/>
  <c r="BQ584" i="7"/>
  <c r="CC92" i="7"/>
  <c r="CC86" i="7"/>
  <c r="CC55" i="7"/>
  <c r="CC51" i="7"/>
  <c r="CC38" i="7"/>
  <c r="CC30" i="7"/>
  <c r="CC121" i="7"/>
  <c r="CC117" i="7"/>
  <c r="CC113" i="7"/>
  <c r="CC109" i="7"/>
  <c r="CC555" i="7"/>
  <c r="CC41" i="7"/>
  <c r="CC188" i="7"/>
  <c r="CC132" i="7"/>
  <c r="CC101" i="7"/>
  <c r="CC5" i="7"/>
  <c r="BQ563" i="7"/>
  <c r="CC563" i="7"/>
  <c r="BQ597" i="7"/>
  <c r="CC597" i="7"/>
  <c r="BQ16" i="7"/>
  <c r="CC16" i="7"/>
  <c r="BQ542" i="7"/>
  <c r="CC542" i="7"/>
  <c r="BQ22" i="7"/>
  <c r="CC22" i="7"/>
  <c r="BQ8" i="7"/>
  <c r="CC8" i="7"/>
  <c r="CC513" i="7"/>
  <c r="BQ513" i="7"/>
  <c r="CC481" i="7"/>
  <c r="BQ481" i="7"/>
  <c r="CC506" i="7"/>
  <c r="BQ506" i="7"/>
  <c r="CC490" i="7"/>
  <c r="BQ490" i="7"/>
  <c r="CC512" i="7"/>
  <c r="BQ512" i="7"/>
  <c r="CC328" i="7"/>
  <c r="BQ328" i="7"/>
  <c r="CC296" i="7"/>
  <c r="BQ296" i="7"/>
  <c r="CC264" i="7"/>
  <c r="BQ264" i="7"/>
  <c r="CC231" i="7"/>
  <c r="BQ231" i="7"/>
  <c r="CC206" i="7"/>
  <c r="BQ206" i="7"/>
  <c r="CC516" i="7"/>
  <c r="BQ516" i="7"/>
  <c r="CC468" i="7"/>
  <c r="BQ468" i="7"/>
  <c r="CC299" i="7"/>
  <c r="BQ299" i="7"/>
  <c r="CC353" i="7"/>
  <c r="BQ353" i="7"/>
  <c r="CC237" i="7"/>
  <c r="BQ237" i="7"/>
  <c r="CC321" i="7"/>
  <c r="BQ321" i="7"/>
  <c r="CC289" i="7"/>
  <c r="BQ289" i="7"/>
  <c r="CC257" i="7"/>
  <c r="BQ257" i="7"/>
  <c r="CC236" i="7"/>
  <c r="BQ236" i="7"/>
  <c r="CC232" i="7"/>
  <c r="BQ232" i="7"/>
  <c r="BQ626" i="7"/>
  <c r="CC626" i="7"/>
  <c r="BQ622" i="7"/>
  <c r="CC622" i="7"/>
  <c r="CC583" i="7"/>
  <c r="BQ583" i="7"/>
  <c r="BQ556" i="7"/>
  <c r="CC556" i="7"/>
  <c r="CC532" i="7"/>
  <c r="BQ532" i="7"/>
  <c r="CC517" i="7"/>
  <c r="BQ517" i="7"/>
  <c r="CC501" i="7"/>
  <c r="BQ501" i="7"/>
  <c r="CC485" i="7"/>
  <c r="BQ485" i="7"/>
  <c r="CC469" i="7"/>
  <c r="BQ469" i="7"/>
  <c r="CC453" i="7"/>
  <c r="BQ453" i="7"/>
  <c r="CC599" i="7"/>
  <c r="BQ599" i="7"/>
  <c r="BQ590" i="7"/>
  <c r="CC590" i="7"/>
  <c r="CC586" i="7"/>
  <c r="BQ586" i="7"/>
  <c r="CC510" i="7"/>
  <c r="BQ510" i="7"/>
  <c r="CC494" i="7"/>
  <c r="BQ494" i="7"/>
  <c r="CC458" i="7"/>
  <c r="BQ458" i="7"/>
  <c r="CC454" i="7"/>
  <c r="BQ454" i="7"/>
  <c r="CC451" i="7"/>
  <c r="BQ451" i="7"/>
  <c r="CC591" i="7"/>
  <c r="BQ591" i="7"/>
  <c r="CC565" i="7"/>
  <c r="BQ565" i="7"/>
  <c r="CC496" i="7"/>
  <c r="BQ496" i="7"/>
  <c r="CC487" i="7"/>
  <c r="BQ487" i="7"/>
  <c r="CC460" i="7"/>
  <c r="BQ460" i="7"/>
  <c r="CC515" i="7"/>
  <c r="BQ515" i="7"/>
  <c r="CC447" i="7"/>
  <c r="BQ447" i="7"/>
  <c r="CC443" i="7"/>
  <c r="BQ443" i="7"/>
  <c r="CC439" i="7"/>
  <c r="BQ439" i="7"/>
  <c r="CC435" i="7"/>
  <c r="BQ435" i="7"/>
  <c r="CC431" i="7"/>
  <c r="BQ431" i="7"/>
  <c r="CC427" i="7"/>
  <c r="BQ427" i="7"/>
  <c r="CC423" i="7"/>
  <c r="BQ423" i="7"/>
  <c r="CC419" i="7"/>
  <c r="BQ419" i="7"/>
  <c r="CC415" i="7"/>
  <c r="BQ415" i="7"/>
  <c r="CC411" i="7"/>
  <c r="BQ411" i="7"/>
  <c r="CC407" i="7"/>
  <c r="BQ407" i="7"/>
  <c r="CC403" i="7"/>
  <c r="BQ403" i="7"/>
  <c r="CC399" i="7"/>
  <c r="BQ399" i="7"/>
  <c r="CC395" i="7"/>
  <c r="BQ395" i="7"/>
  <c r="CC391" i="7"/>
  <c r="BQ391" i="7"/>
  <c r="CC387" i="7"/>
  <c r="BQ387" i="7"/>
  <c r="CC383" i="7"/>
  <c r="BQ383" i="7"/>
  <c r="CC379" i="7"/>
  <c r="BQ379" i="7"/>
  <c r="CC375" i="7"/>
  <c r="BQ375" i="7"/>
  <c r="CC371" i="7"/>
  <c r="BQ371" i="7"/>
  <c r="CC491" i="7"/>
  <c r="BQ491" i="7"/>
  <c r="CC464" i="7"/>
  <c r="BQ464" i="7"/>
  <c r="CC448" i="7"/>
  <c r="BQ448" i="7"/>
  <c r="CC362" i="7"/>
  <c r="BQ362" i="7"/>
  <c r="CC358" i="7"/>
  <c r="BQ358" i="7"/>
  <c r="CC354" i="7"/>
  <c r="BQ354" i="7"/>
  <c r="CC350" i="7"/>
  <c r="BQ350" i="7"/>
  <c r="CC346" i="7"/>
  <c r="BQ346" i="7"/>
  <c r="CC344" i="7"/>
  <c r="BQ344" i="7"/>
  <c r="CC459" i="7"/>
  <c r="BQ459" i="7"/>
  <c r="CC355" i="7"/>
  <c r="BQ355" i="7"/>
  <c r="CC337" i="7"/>
  <c r="BQ337" i="7"/>
  <c r="CC319" i="7"/>
  <c r="BQ319" i="7"/>
  <c r="CC303" i="7"/>
  <c r="BQ303" i="7"/>
  <c r="CC287" i="7"/>
  <c r="BQ287" i="7"/>
  <c r="CC271" i="7"/>
  <c r="BQ271" i="7"/>
  <c r="CC255" i="7"/>
  <c r="BQ255" i="7"/>
  <c r="CC238" i="7"/>
  <c r="BQ238" i="7"/>
  <c r="CC222" i="7"/>
  <c r="BQ222" i="7"/>
  <c r="CC204" i="7"/>
  <c r="BQ204" i="7"/>
  <c r="CC511" i="7"/>
  <c r="BQ511" i="7"/>
  <c r="CC488" i="7"/>
  <c r="BQ488" i="7"/>
  <c r="CC442" i="7"/>
  <c r="BQ442" i="7"/>
  <c r="CC438" i="7"/>
  <c r="BQ438" i="7"/>
  <c r="CC434" i="7"/>
  <c r="BQ434" i="7"/>
  <c r="CC430" i="7"/>
  <c r="BQ430" i="7"/>
  <c r="CC426" i="7"/>
  <c r="BQ426" i="7"/>
  <c r="CC422" i="7"/>
  <c r="BQ422" i="7"/>
  <c r="CC418" i="7"/>
  <c r="BQ418" i="7"/>
  <c r="CC414" i="7"/>
  <c r="BQ414" i="7"/>
  <c r="CC410" i="7"/>
  <c r="BQ410" i="7"/>
  <c r="CC406" i="7"/>
  <c r="BQ406" i="7"/>
  <c r="CC402" i="7"/>
  <c r="BQ402" i="7"/>
  <c r="CC398" i="7"/>
  <c r="BQ398" i="7"/>
  <c r="CC394" i="7"/>
  <c r="BQ394" i="7"/>
  <c r="CC390" i="7"/>
  <c r="BQ390" i="7"/>
  <c r="CC386" i="7"/>
  <c r="BQ386" i="7"/>
  <c r="CC382" i="7"/>
  <c r="BQ382" i="7"/>
  <c r="CC378" i="7"/>
  <c r="BQ378" i="7"/>
  <c r="CC374" i="7"/>
  <c r="BQ374" i="7"/>
  <c r="CC370" i="7"/>
  <c r="BQ370" i="7"/>
  <c r="CC356" i="7"/>
  <c r="BQ356" i="7"/>
  <c r="CC348" i="7"/>
  <c r="BQ348" i="7"/>
  <c r="CC338" i="7"/>
  <c r="BQ338" i="7"/>
  <c r="CC343" i="7"/>
  <c r="BQ343" i="7"/>
  <c r="CC334" i="7"/>
  <c r="BQ334" i="7"/>
  <c r="CC367" i="7"/>
  <c r="BQ367" i="7"/>
  <c r="CC349" i="7"/>
  <c r="BQ349" i="7"/>
  <c r="CC294" i="7"/>
  <c r="BQ294" i="7"/>
  <c r="CC225" i="7"/>
  <c r="BQ225" i="7"/>
  <c r="CC249" i="7"/>
  <c r="BQ249" i="7"/>
  <c r="BQ623" i="7"/>
  <c r="CC623" i="7"/>
  <c r="BQ594" i="7"/>
  <c r="CC594" i="7"/>
  <c r="CC497" i="7"/>
  <c r="BQ497" i="7"/>
  <c r="CC522" i="7"/>
  <c r="BQ522" i="7"/>
  <c r="BQ523" i="7"/>
  <c r="CC523" i="7"/>
  <c r="CC312" i="7"/>
  <c r="BQ312" i="7"/>
  <c r="CC288" i="7"/>
  <c r="BQ288" i="7"/>
  <c r="CC272" i="7"/>
  <c r="BQ272" i="7"/>
  <c r="CC248" i="7"/>
  <c r="BQ248" i="7"/>
  <c r="CC223" i="7"/>
  <c r="BQ223" i="7"/>
  <c r="CC200" i="7"/>
  <c r="BQ200" i="7"/>
  <c r="CC351" i="7"/>
  <c r="BQ351" i="7"/>
  <c r="CC333" i="7"/>
  <c r="BQ333" i="7"/>
  <c r="CC283" i="7"/>
  <c r="BQ283" i="7"/>
  <c r="CC267" i="7"/>
  <c r="BQ267" i="7"/>
  <c r="CC251" i="7"/>
  <c r="BQ251" i="7"/>
  <c r="CC234" i="7"/>
  <c r="BQ234" i="7"/>
  <c r="CC217" i="7"/>
  <c r="BQ217" i="7"/>
  <c r="CC199" i="7"/>
  <c r="BQ199" i="7"/>
  <c r="CC352" i="7"/>
  <c r="BQ352" i="7"/>
  <c r="CC240" i="7"/>
  <c r="BQ240" i="7"/>
  <c r="CC357" i="7"/>
  <c r="BQ357" i="7"/>
  <c r="CC305" i="7"/>
  <c r="BQ305" i="7"/>
  <c r="CC286" i="7"/>
  <c r="BQ286" i="7"/>
  <c r="CC270" i="7"/>
  <c r="BQ270" i="7"/>
  <c r="CC241" i="7"/>
  <c r="BQ241" i="7"/>
  <c r="CC233" i="7"/>
  <c r="BQ233" i="7"/>
  <c r="CC215" i="7"/>
  <c r="BQ215" i="7"/>
  <c r="CC212" i="7"/>
  <c r="BQ212" i="7"/>
  <c r="CC229" i="7"/>
  <c r="BQ229" i="7"/>
  <c r="CC193" i="7"/>
  <c r="BQ193" i="7"/>
  <c r="CC265" i="7"/>
  <c r="BQ265" i="7"/>
  <c r="CC455" i="7"/>
  <c r="BQ455" i="7"/>
  <c r="CC278" i="7"/>
  <c r="BQ278" i="7"/>
  <c r="CC207" i="7"/>
  <c r="BQ207" i="7"/>
  <c r="BQ625" i="7"/>
  <c r="CC625" i="7"/>
  <c r="BQ621" i="7"/>
  <c r="CC621" i="7"/>
  <c r="CC582" i="7"/>
  <c r="BQ582" i="7"/>
  <c r="BQ551" i="7"/>
  <c r="CC551" i="7"/>
  <c r="CC595" i="7"/>
  <c r="BQ595" i="7"/>
  <c r="CC521" i="7"/>
  <c r="BQ521" i="7"/>
  <c r="CC505" i="7"/>
  <c r="BQ505" i="7"/>
  <c r="CC489" i="7"/>
  <c r="BQ489" i="7"/>
  <c r="CC473" i="7"/>
  <c r="BQ473" i="7"/>
  <c r="CC457" i="7"/>
  <c r="BQ457" i="7"/>
  <c r="CC514" i="7"/>
  <c r="BQ514" i="7"/>
  <c r="CC498" i="7"/>
  <c r="BQ498" i="7"/>
  <c r="CC482" i="7"/>
  <c r="BQ482" i="7"/>
  <c r="CC478" i="7"/>
  <c r="BQ478" i="7"/>
  <c r="CC474" i="7"/>
  <c r="BQ474" i="7"/>
  <c r="CC470" i="7"/>
  <c r="BQ470" i="7"/>
  <c r="CC466" i="7"/>
  <c r="BQ466" i="7"/>
  <c r="CC462" i="7"/>
  <c r="BQ462" i="7"/>
  <c r="CC535" i="7"/>
  <c r="BQ535" i="7"/>
  <c r="CC508" i="7"/>
  <c r="BQ508" i="7"/>
  <c r="CC499" i="7"/>
  <c r="BQ499" i="7"/>
  <c r="CC504" i="7"/>
  <c r="BQ504" i="7"/>
  <c r="CC332" i="7"/>
  <c r="BQ332" i="7"/>
  <c r="CC324" i="7"/>
  <c r="BQ324" i="7"/>
  <c r="CC316" i="7"/>
  <c r="BQ316" i="7"/>
  <c r="CC308" i="7"/>
  <c r="BQ308" i="7"/>
  <c r="CC300" i="7"/>
  <c r="BQ300" i="7"/>
  <c r="CC292" i="7"/>
  <c r="BQ292" i="7"/>
  <c r="CC284" i="7"/>
  <c r="BQ284" i="7"/>
  <c r="CC276" i="7"/>
  <c r="BQ276" i="7"/>
  <c r="CC268" i="7"/>
  <c r="BQ268" i="7"/>
  <c r="CC260" i="7"/>
  <c r="BQ260" i="7"/>
  <c r="CC252" i="7"/>
  <c r="BQ252" i="7"/>
  <c r="CC244" i="7"/>
  <c r="BQ244" i="7"/>
  <c r="CC235" i="7"/>
  <c r="BQ235" i="7"/>
  <c r="CC227" i="7"/>
  <c r="BQ227" i="7"/>
  <c r="CC218" i="7"/>
  <c r="BQ218" i="7"/>
  <c r="CC210" i="7"/>
  <c r="BQ210" i="7"/>
  <c r="CC205" i="7"/>
  <c r="BQ205" i="7"/>
  <c r="CC196" i="7"/>
  <c r="BQ196" i="7"/>
  <c r="CC540" i="7"/>
  <c r="BQ540" i="7"/>
  <c r="CC484" i="7"/>
  <c r="BQ484" i="7"/>
  <c r="CC359" i="7"/>
  <c r="BQ359" i="7"/>
  <c r="CC341" i="7"/>
  <c r="BQ341" i="7"/>
  <c r="CC323" i="7"/>
  <c r="BQ323" i="7"/>
  <c r="CC307" i="7"/>
  <c r="BQ307" i="7"/>
  <c r="CC291" i="7"/>
  <c r="BQ291" i="7"/>
  <c r="CC275" i="7"/>
  <c r="BQ275" i="7"/>
  <c r="CC259" i="7"/>
  <c r="BQ259" i="7"/>
  <c r="CC243" i="7"/>
  <c r="BQ243" i="7"/>
  <c r="CC226" i="7"/>
  <c r="BQ226" i="7"/>
  <c r="CC209" i="7"/>
  <c r="BQ209" i="7"/>
  <c r="CC191" i="7"/>
  <c r="BQ191" i="7"/>
  <c r="CC548" i="7"/>
  <c r="BQ548" i="7"/>
  <c r="CC360" i="7"/>
  <c r="BQ360" i="7"/>
  <c r="CC331" i="7"/>
  <c r="BQ331" i="7"/>
  <c r="CC325" i="7"/>
  <c r="BQ325" i="7"/>
  <c r="CC322" i="7"/>
  <c r="BQ322" i="7"/>
  <c r="CC309" i="7"/>
  <c r="BQ309" i="7"/>
  <c r="CC306" i="7"/>
  <c r="BQ306" i="7"/>
  <c r="CC293" i="7"/>
  <c r="BQ293" i="7"/>
  <c r="CC290" i="7"/>
  <c r="BQ290" i="7"/>
  <c r="CC277" i="7"/>
  <c r="BQ277" i="7"/>
  <c r="CC274" i="7"/>
  <c r="BQ274" i="7"/>
  <c r="CC261" i="7"/>
  <c r="BQ261" i="7"/>
  <c r="CC258" i="7"/>
  <c r="BQ258" i="7"/>
  <c r="CC245" i="7"/>
  <c r="BQ245" i="7"/>
  <c r="CC242" i="7"/>
  <c r="BQ242" i="7"/>
  <c r="CC219" i="7"/>
  <c r="BQ219" i="7"/>
  <c r="CC216" i="7"/>
  <c r="BQ216" i="7"/>
  <c r="CC201" i="7"/>
  <c r="BQ201" i="7"/>
  <c r="CC198" i="7"/>
  <c r="BQ198" i="7"/>
  <c r="CC476" i="7"/>
  <c r="BQ476" i="7"/>
  <c r="CC202" i="7"/>
  <c r="BQ202" i="7"/>
  <c r="CC197" i="7"/>
  <c r="BQ197" i="7"/>
  <c r="CC194" i="7"/>
  <c r="BQ194" i="7"/>
  <c r="CC361" i="7"/>
  <c r="BQ361" i="7"/>
  <c r="CC339" i="7"/>
  <c r="BQ339" i="7"/>
  <c r="CC330" i="7"/>
  <c r="BQ330" i="7"/>
  <c r="CC317" i="7"/>
  <c r="BQ317" i="7"/>
  <c r="CC314" i="7"/>
  <c r="BQ314" i="7"/>
  <c r="CC301" i="7"/>
  <c r="BQ301" i="7"/>
  <c r="CC298" i="7"/>
  <c r="BQ298" i="7"/>
  <c r="CC285" i="7"/>
  <c r="BQ285" i="7"/>
  <c r="CC282" i="7"/>
  <c r="BQ282" i="7"/>
  <c r="CC269" i="7"/>
  <c r="BQ269" i="7"/>
  <c r="CC266" i="7"/>
  <c r="BQ266" i="7"/>
  <c r="CC253" i="7"/>
  <c r="BQ253" i="7"/>
  <c r="CC250" i="7"/>
  <c r="BQ250" i="7"/>
  <c r="CC211" i="7"/>
  <c r="BQ211" i="7"/>
  <c r="CC208" i="7"/>
  <c r="BQ208" i="7"/>
  <c r="CC313" i="7"/>
  <c r="BQ313" i="7"/>
  <c r="CC335" i="7"/>
  <c r="BQ335" i="7"/>
  <c r="CC297" i="7"/>
  <c r="BQ297" i="7"/>
  <c r="CC228" i="7"/>
  <c r="BQ228" i="7"/>
  <c r="CC345" i="7"/>
  <c r="BQ345" i="7"/>
  <c r="CC310" i="7"/>
  <c r="BQ310" i="7"/>
  <c r="CC246" i="7"/>
  <c r="BQ246" i="7"/>
  <c r="CC281" i="7"/>
  <c r="BQ281" i="7"/>
  <c r="BQ627" i="7"/>
  <c r="CC627" i="7"/>
  <c r="CC579" i="7"/>
  <c r="BQ579" i="7"/>
  <c r="BQ543" i="7"/>
  <c r="CC543" i="7"/>
  <c r="CC573" i="7"/>
  <c r="BQ573" i="7"/>
  <c r="CC465" i="7"/>
  <c r="BQ465" i="7"/>
  <c r="CC561" i="7"/>
  <c r="BQ561" i="7"/>
  <c r="CC552" i="7"/>
  <c r="BQ552" i="7"/>
  <c r="BQ539" i="7"/>
  <c r="CC539" i="7"/>
  <c r="CC503" i="7"/>
  <c r="BQ503" i="7"/>
  <c r="CC340" i="7"/>
  <c r="BQ340" i="7"/>
  <c r="CC320" i="7"/>
  <c r="BQ320" i="7"/>
  <c r="CC304" i="7"/>
  <c r="BQ304" i="7"/>
  <c r="CC280" i="7"/>
  <c r="BQ280" i="7"/>
  <c r="CC256" i="7"/>
  <c r="BQ256" i="7"/>
  <c r="CC239" i="7"/>
  <c r="BQ239" i="7"/>
  <c r="CC214" i="7"/>
  <c r="BQ214" i="7"/>
  <c r="CC192" i="7"/>
  <c r="BQ192" i="7"/>
  <c r="CC315" i="7"/>
  <c r="BQ315" i="7"/>
  <c r="CC520" i="7"/>
  <c r="BQ520" i="7"/>
  <c r="CC224" i="7"/>
  <c r="BQ224" i="7"/>
  <c r="CC221" i="7"/>
  <c r="BQ221" i="7"/>
  <c r="CC203" i="7"/>
  <c r="BQ203" i="7"/>
  <c r="CC500" i="7"/>
  <c r="BQ500" i="7"/>
  <c r="CC318" i="7"/>
  <c r="BQ318" i="7"/>
  <c r="CC302" i="7"/>
  <c r="BQ302" i="7"/>
  <c r="CC273" i="7"/>
  <c r="BQ273" i="7"/>
  <c r="CC254" i="7"/>
  <c r="BQ254" i="7"/>
  <c r="CC220" i="7"/>
  <c r="BQ220" i="7"/>
  <c r="CC329" i="7"/>
  <c r="BQ329" i="7"/>
  <c r="CC342" i="7"/>
  <c r="BQ342" i="7"/>
  <c r="BQ628" i="7"/>
  <c r="CC628" i="7"/>
  <c r="BQ624" i="7"/>
  <c r="CC624" i="7"/>
  <c r="BQ598" i="7"/>
  <c r="CC598" i="7"/>
  <c r="BQ578" i="7"/>
  <c r="CC578" i="7"/>
  <c r="BQ547" i="7"/>
  <c r="CC547" i="7"/>
  <c r="CC557" i="7"/>
  <c r="BQ557" i="7"/>
  <c r="CC509" i="7"/>
  <c r="BQ509" i="7"/>
  <c r="CC493" i="7"/>
  <c r="BQ493" i="7"/>
  <c r="CC477" i="7"/>
  <c r="BQ477" i="7"/>
  <c r="CC461" i="7"/>
  <c r="BQ461" i="7"/>
  <c r="CC452" i="7"/>
  <c r="BQ452" i="7"/>
  <c r="CC569" i="7"/>
  <c r="BQ569" i="7"/>
  <c r="CC544" i="7"/>
  <c r="BQ544" i="7"/>
  <c r="CC518" i="7"/>
  <c r="BQ518" i="7"/>
  <c r="CC502" i="7"/>
  <c r="BQ502" i="7"/>
  <c r="CC486" i="7"/>
  <c r="BQ486" i="7"/>
  <c r="CC519" i="7"/>
  <c r="BQ519" i="7"/>
  <c r="CC456" i="7"/>
  <c r="BQ456" i="7"/>
  <c r="CC450" i="7"/>
  <c r="BQ450" i="7"/>
  <c r="CC492" i="7"/>
  <c r="BQ492" i="7"/>
  <c r="CC483" i="7"/>
  <c r="BQ483" i="7"/>
  <c r="CC479" i="7"/>
  <c r="BQ479" i="7"/>
  <c r="CC475" i="7"/>
  <c r="BQ475" i="7"/>
  <c r="CC471" i="7"/>
  <c r="BQ471" i="7"/>
  <c r="CC467" i="7"/>
  <c r="BQ467" i="7"/>
  <c r="CC463" i="7"/>
  <c r="BQ463" i="7"/>
  <c r="CC449" i="7"/>
  <c r="BQ449" i="7"/>
  <c r="CC445" i="7"/>
  <c r="BQ445" i="7"/>
  <c r="CC441" i="7"/>
  <c r="BQ441" i="7"/>
  <c r="CC437" i="7"/>
  <c r="BQ437" i="7"/>
  <c r="CC433" i="7"/>
  <c r="BQ433" i="7"/>
  <c r="CC429" i="7"/>
  <c r="BQ429" i="7"/>
  <c r="CC425" i="7"/>
  <c r="BQ425" i="7"/>
  <c r="CC421" i="7"/>
  <c r="BQ421" i="7"/>
  <c r="CC417" i="7"/>
  <c r="BQ417" i="7"/>
  <c r="CC413" i="7"/>
  <c r="BQ413" i="7"/>
  <c r="CC409" i="7"/>
  <c r="BQ409" i="7"/>
  <c r="CC405" i="7"/>
  <c r="BQ405" i="7"/>
  <c r="CC401" i="7"/>
  <c r="BQ401" i="7"/>
  <c r="CC397" i="7"/>
  <c r="BQ397" i="7"/>
  <c r="CC393" i="7"/>
  <c r="BQ393" i="7"/>
  <c r="CC389" i="7"/>
  <c r="BQ389" i="7"/>
  <c r="CC385" i="7"/>
  <c r="BQ385" i="7"/>
  <c r="CC381" i="7"/>
  <c r="BQ381" i="7"/>
  <c r="CC377" i="7"/>
  <c r="BQ377" i="7"/>
  <c r="CC373" i="7"/>
  <c r="BQ373" i="7"/>
  <c r="CC369" i="7"/>
  <c r="BQ369" i="7"/>
  <c r="CC495" i="7"/>
  <c r="BQ495" i="7"/>
  <c r="CC480" i="7"/>
  <c r="BQ480" i="7"/>
  <c r="CC336" i="7"/>
  <c r="BQ336" i="7"/>
  <c r="CC446" i="7"/>
  <c r="BQ446" i="7"/>
  <c r="CC363" i="7"/>
  <c r="BQ363" i="7"/>
  <c r="CC347" i="7"/>
  <c r="BQ347" i="7"/>
  <c r="CC327" i="7"/>
  <c r="BQ327" i="7"/>
  <c r="CC311" i="7"/>
  <c r="BQ311" i="7"/>
  <c r="CC295" i="7"/>
  <c r="BQ295" i="7"/>
  <c r="CC279" i="7"/>
  <c r="BQ279" i="7"/>
  <c r="CC263" i="7"/>
  <c r="BQ263" i="7"/>
  <c r="CC247" i="7"/>
  <c r="BQ247" i="7"/>
  <c r="CC230" i="7"/>
  <c r="BQ230" i="7"/>
  <c r="CC213" i="7"/>
  <c r="BQ213" i="7"/>
  <c r="CC195" i="7"/>
  <c r="BQ195" i="7"/>
  <c r="CC507" i="7"/>
  <c r="BQ507" i="7"/>
  <c r="CC472" i="7"/>
  <c r="BQ472" i="7"/>
  <c r="CC444" i="7"/>
  <c r="BQ444" i="7"/>
  <c r="CC440" i="7"/>
  <c r="BQ440" i="7"/>
  <c r="CC436" i="7"/>
  <c r="BQ436" i="7"/>
  <c r="CC432" i="7"/>
  <c r="BQ432" i="7"/>
  <c r="CC428" i="7"/>
  <c r="BQ428" i="7"/>
  <c r="CC424" i="7"/>
  <c r="BQ424" i="7"/>
  <c r="CC420" i="7"/>
  <c r="BQ420" i="7"/>
  <c r="CC416" i="7"/>
  <c r="BQ416" i="7"/>
  <c r="CC412" i="7"/>
  <c r="BQ412" i="7"/>
  <c r="CC408" i="7"/>
  <c r="BQ408" i="7"/>
  <c r="CC404" i="7"/>
  <c r="BQ404" i="7"/>
  <c r="CC400" i="7"/>
  <c r="BQ400" i="7"/>
  <c r="CC396" i="7"/>
  <c r="BQ396" i="7"/>
  <c r="CC392" i="7"/>
  <c r="BQ392" i="7"/>
  <c r="CC388" i="7"/>
  <c r="BQ388" i="7"/>
  <c r="CC384" i="7"/>
  <c r="BQ384" i="7"/>
  <c r="CC380" i="7"/>
  <c r="BQ380" i="7"/>
  <c r="CC376" i="7"/>
  <c r="BQ376" i="7"/>
  <c r="CC372" i="7"/>
  <c r="BQ372" i="7"/>
  <c r="CC368" i="7"/>
  <c r="BQ368" i="7"/>
  <c r="CC364" i="7"/>
  <c r="BQ364" i="7"/>
  <c r="CC326" i="7"/>
  <c r="BQ326" i="7"/>
  <c r="CC262" i="7"/>
  <c r="BQ262" i="7"/>
  <c r="AM88" i="13" l="1"/>
  <c r="AM89" i="13"/>
  <c r="AM172" i="13"/>
  <c r="AM173" i="13"/>
  <c r="AM174" i="13"/>
  <c r="AM283" i="13"/>
  <c r="AM284" i="13"/>
  <c r="AM285" i="13"/>
  <c r="F22" i="1" l="1"/>
  <c r="F21" i="1"/>
  <c r="BF5" i="7"/>
  <c r="BF6" i="7"/>
  <c r="BF7" i="7"/>
  <c r="BF8" i="7"/>
  <c r="BF9" i="7"/>
  <c r="BF10" i="7"/>
  <c r="BF11" i="7"/>
  <c r="BH11" i="7" s="1"/>
  <c r="BF12" i="7"/>
  <c r="BH12" i="7" s="1"/>
  <c r="BF13" i="7"/>
  <c r="BF14" i="7"/>
  <c r="BF15" i="7"/>
  <c r="BF16" i="7"/>
  <c r="BF17" i="7"/>
  <c r="BF18" i="7"/>
  <c r="BF19" i="7"/>
  <c r="BH19" i="7" s="1"/>
  <c r="BF20" i="7"/>
  <c r="BH20" i="7" s="1"/>
  <c r="BF21" i="7"/>
  <c r="BF22" i="7"/>
  <c r="BF23" i="7"/>
  <c r="BF24" i="7"/>
  <c r="BF25" i="7"/>
  <c r="BF26" i="7"/>
  <c r="BF27" i="7"/>
  <c r="BG27" i="7" s="1"/>
  <c r="BF28" i="7"/>
  <c r="BH28" i="7" s="1"/>
  <c r="BF29" i="7"/>
  <c r="BF30" i="7"/>
  <c r="BF31" i="7"/>
  <c r="BF32" i="7"/>
  <c r="BF33" i="7"/>
  <c r="BF34" i="7"/>
  <c r="BF35" i="7"/>
  <c r="BH35" i="7" s="1"/>
  <c r="BF36" i="7"/>
  <c r="BH36" i="7" s="1"/>
  <c r="BF37" i="7"/>
  <c r="BF38" i="7"/>
  <c r="BG38" i="7" s="1"/>
  <c r="BF39" i="7"/>
  <c r="BF40" i="7"/>
  <c r="BF41" i="7"/>
  <c r="BF42" i="7"/>
  <c r="BF43" i="7"/>
  <c r="BH43" i="7" s="1"/>
  <c r="BF44" i="7"/>
  <c r="BH44" i="7" s="1"/>
  <c r="BF45" i="7"/>
  <c r="BF46" i="7"/>
  <c r="BF47" i="7"/>
  <c r="BG47" i="7" s="1"/>
  <c r="BF48" i="7"/>
  <c r="BG48" i="7" s="1"/>
  <c r="BF49" i="7"/>
  <c r="BF50" i="7"/>
  <c r="BF51" i="7"/>
  <c r="BH51" i="7" s="1"/>
  <c r="BF52" i="7"/>
  <c r="BH52" i="7" s="1"/>
  <c r="BF53" i="7"/>
  <c r="BF54" i="7"/>
  <c r="BF55" i="7"/>
  <c r="BF56" i="7"/>
  <c r="BF57" i="7"/>
  <c r="BF58" i="7"/>
  <c r="BG58" i="7" s="1"/>
  <c r="BF59" i="7"/>
  <c r="BH59" i="7" s="1"/>
  <c r="BF60" i="7"/>
  <c r="BH60" i="7" s="1"/>
  <c r="BF61" i="7"/>
  <c r="BF62" i="7"/>
  <c r="BF63" i="7"/>
  <c r="BF64" i="7"/>
  <c r="BF65" i="7"/>
  <c r="BF66" i="7"/>
  <c r="BF67" i="7"/>
  <c r="BH67" i="7" s="1"/>
  <c r="BF68" i="7"/>
  <c r="BH68" i="7" s="1"/>
  <c r="BF69" i="7"/>
  <c r="BF70" i="7"/>
  <c r="BF71" i="7"/>
  <c r="BF72" i="7"/>
  <c r="BF73" i="7"/>
  <c r="BF74" i="7"/>
  <c r="BF75" i="7"/>
  <c r="BH75" i="7" s="1"/>
  <c r="BF76" i="7"/>
  <c r="BH76" i="7" s="1"/>
  <c r="BF77" i="7"/>
  <c r="BF78" i="7"/>
  <c r="BF79" i="7"/>
  <c r="BF80" i="7"/>
  <c r="BF81" i="7"/>
  <c r="BF82" i="7"/>
  <c r="BF83" i="7"/>
  <c r="BH83" i="7" s="1"/>
  <c r="BF84" i="7"/>
  <c r="BH84" i="7" s="1"/>
  <c r="BF85" i="7"/>
  <c r="BF86" i="7"/>
  <c r="BF87" i="7"/>
  <c r="BF88" i="7"/>
  <c r="BF89" i="7"/>
  <c r="BF90" i="7"/>
  <c r="BF91" i="7"/>
  <c r="BG91" i="7" s="1"/>
  <c r="BF92" i="7"/>
  <c r="BH92" i="7" s="1"/>
  <c r="BF93" i="7"/>
  <c r="BF94" i="7"/>
  <c r="BF95" i="7"/>
  <c r="BF96" i="7"/>
  <c r="BF97" i="7"/>
  <c r="BF98" i="7"/>
  <c r="BF99" i="7"/>
  <c r="BH99" i="7" s="1"/>
  <c r="BF100" i="7"/>
  <c r="BH100" i="7" s="1"/>
  <c r="BF101" i="7"/>
  <c r="BF102" i="7"/>
  <c r="BG102" i="7" s="1"/>
  <c r="BF103" i="7"/>
  <c r="BF104" i="7"/>
  <c r="BF105" i="7"/>
  <c r="BF106" i="7"/>
  <c r="BF107" i="7"/>
  <c r="BH107" i="7" s="1"/>
  <c r="BF108" i="7"/>
  <c r="BH108" i="7" s="1"/>
  <c r="BF109" i="7"/>
  <c r="BF110" i="7"/>
  <c r="BF111" i="7"/>
  <c r="BG111" i="7" s="1"/>
  <c r="BF112" i="7"/>
  <c r="BG112" i="7" s="1"/>
  <c r="BF113" i="7"/>
  <c r="BF114" i="7"/>
  <c r="BF115" i="7"/>
  <c r="BH115" i="7" s="1"/>
  <c r="BF116" i="7"/>
  <c r="BH116" i="7" s="1"/>
  <c r="BF117" i="7"/>
  <c r="BF118" i="7"/>
  <c r="BF119" i="7"/>
  <c r="BF120" i="7"/>
  <c r="BF121" i="7"/>
  <c r="BF122" i="7"/>
  <c r="BF123" i="7"/>
  <c r="BH123" i="7" s="1"/>
  <c r="BF124" i="7"/>
  <c r="BH124" i="7" s="1"/>
  <c r="BF125" i="7"/>
  <c r="BF126" i="7"/>
  <c r="BF127" i="7"/>
  <c r="BF128" i="7"/>
  <c r="BF129" i="7"/>
  <c r="BF130" i="7"/>
  <c r="BF131" i="7"/>
  <c r="BH131" i="7" s="1"/>
  <c r="BF132" i="7"/>
  <c r="BH132" i="7" s="1"/>
  <c r="BF133" i="7"/>
  <c r="BF134" i="7"/>
  <c r="BF135" i="7"/>
  <c r="BF136" i="7"/>
  <c r="BF137" i="7"/>
  <c r="BF138" i="7"/>
  <c r="BF139" i="7"/>
  <c r="BH139" i="7" s="1"/>
  <c r="BF140" i="7"/>
  <c r="BH140" i="7" s="1"/>
  <c r="BF141" i="7"/>
  <c r="BF142" i="7"/>
  <c r="BF143" i="7"/>
  <c r="BF144" i="7"/>
  <c r="BF145" i="7"/>
  <c r="BF146" i="7"/>
  <c r="BF147" i="7"/>
  <c r="BH147" i="7" s="1"/>
  <c r="BF148" i="7"/>
  <c r="BH148" i="7" s="1"/>
  <c r="BF149" i="7"/>
  <c r="BF150" i="7"/>
  <c r="BF151" i="7"/>
  <c r="BF152" i="7"/>
  <c r="BF153" i="7"/>
  <c r="BF154" i="7"/>
  <c r="BF155" i="7"/>
  <c r="BG155" i="7" s="1"/>
  <c r="BF156" i="7"/>
  <c r="BH156" i="7" s="1"/>
  <c r="BF157" i="7"/>
  <c r="BF158" i="7"/>
  <c r="BF159" i="7"/>
  <c r="BF160" i="7"/>
  <c r="BF161" i="7"/>
  <c r="BF162" i="7"/>
  <c r="BF163" i="7"/>
  <c r="BH163" i="7" s="1"/>
  <c r="BF164" i="7"/>
  <c r="BH164" i="7" s="1"/>
  <c r="BF165" i="7"/>
  <c r="BF166" i="7"/>
  <c r="BF167" i="7"/>
  <c r="BF168" i="7"/>
  <c r="BF169" i="7"/>
  <c r="BF170" i="7"/>
  <c r="BF171" i="7"/>
  <c r="BH171" i="7" s="1"/>
  <c r="BF172" i="7"/>
  <c r="BH172" i="7" s="1"/>
  <c r="BF173" i="7"/>
  <c r="BF174" i="7"/>
  <c r="BF175" i="7"/>
  <c r="BG175" i="7" s="1"/>
  <c r="BF176" i="7"/>
  <c r="BG176" i="7" s="1"/>
  <c r="BF177" i="7"/>
  <c r="BF178" i="7"/>
  <c r="BF179" i="7"/>
  <c r="BH179" i="7" s="1"/>
  <c r="BF180" i="7"/>
  <c r="BH180" i="7" s="1"/>
  <c r="BF181" i="7"/>
  <c r="BF182" i="7"/>
  <c r="BF183" i="7"/>
  <c r="BF184" i="7"/>
  <c r="BF185" i="7"/>
  <c r="BF186" i="7"/>
  <c r="BF187" i="7"/>
  <c r="BH187" i="7" s="1"/>
  <c r="BF188" i="7"/>
  <c r="BH188" i="7" s="1"/>
  <c r="BF189" i="7"/>
  <c r="BF190" i="7"/>
  <c r="BF191" i="7"/>
  <c r="BF192" i="7"/>
  <c r="BF193" i="7"/>
  <c r="BF194" i="7"/>
  <c r="BF195" i="7"/>
  <c r="BH195" i="7" s="1"/>
  <c r="BF196" i="7"/>
  <c r="BH196" i="7" s="1"/>
  <c r="BF197" i="7"/>
  <c r="BF198" i="7"/>
  <c r="BF199" i="7"/>
  <c r="BF200" i="7"/>
  <c r="BF201" i="7"/>
  <c r="BF202" i="7"/>
  <c r="BF203" i="7"/>
  <c r="BH203" i="7" s="1"/>
  <c r="BF204" i="7"/>
  <c r="BH204" i="7" s="1"/>
  <c r="BF205" i="7"/>
  <c r="BF206" i="7"/>
  <c r="BF207" i="7"/>
  <c r="BF208" i="7"/>
  <c r="BF209" i="7"/>
  <c r="BF210" i="7"/>
  <c r="BF211" i="7"/>
  <c r="BH211" i="7" s="1"/>
  <c r="BF212" i="7"/>
  <c r="BH212" i="7" s="1"/>
  <c r="BF213" i="7"/>
  <c r="BF214" i="7"/>
  <c r="BF215" i="7"/>
  <c r="BF216" i="7"/>
  <c r="BF217" i="7"/>
  <c r="BF218" i="7"/>
  <c r="BF219" i="7"/>
  <c r="BG219" i="7" s="1"/>
  <c r="BF220" i="7"/>
  <c r="BH220" i="7" s="1"/>
  <c r="BF221" i="7"/>
  <c r="BF222" i="7"/>
  <c r="BF223" i="7"/>
  <c r="BF224" i="7"/>
  <c r="BF225" i="7"/>
  <c r="BF226" i="7"/>
  <c r="BF227" i="7"/>
  <c r="BH227" i="7" s="1"/>
  <c r="BF228" i="7"/>
  <c r="BH228" i="7" s="1"/>
  <c r="BF229" i="7"/>
  <c r="BF230" i="7"/>
  <c r="BF231" i="7"/>
  <c r="BF232" i="7"/>
  <c r="BF233" i="7"/>
  <c r="BF234" i="7"/>
  <c r="BF235" i="7"/>
  <c r="BH235" i="7" s="1"/>
  <c r="BF236" i="7"/>
  <c r="BH236" i="7" s="1"/>
  <c r="BF237" i="7"/>
  <c r="BF238" i="7"/>
  <c r="BF239" i="7"/>
  <c r="BG239" i="7" s="1"/>
  <c r="BF240" i="7"/>
  <c r="BG240" i="7" s="1"/>
  <c r="BF241" i="7"/>
  <c r="BF242" i="7"/>
  <c r="BF243" i="7"/>
  <c r="BH243" i="7" s="1"/>
  <c r="BF244" i="7"/>
  <c r="BH244" i="7" s="1"/>
  <c r="BF245" i="7"/>
  <c r="BF246" i="7"/>
  <c r="BF247" i="7"/>
  <c r="BF248" i="7"/>
  <c r="BF249" i="7"/>
  <c r="BF250" i="7"/>
  <c r="BF251" i="7"/>
  <c r="BH251" i="7" s="1"/>
  <c r="BF252" i="7"/>
  <c r="BH252" i="7" s="1"/>
  <c r="BF253" i="7"/>
  <c r="BF254" i="7"/>
  <c r="BF255" i="7"/>
  <c r="BF256" i="7"/>
  <c r="BF257" i="7"/>
  <c r="BF258" i="7"/>
  <c r="BF259" i="7"/>
  <c r="BH259" i="7" s="1"/>
  <c r="BF260" i="7"/>
  <c r="BH260" i="7" s="1"/>
  <c r="BF261" i="7"/>
  <c r="BF262" i="7"/>
  <c r="BF263" i="7"/>
  <c r="BF264" i="7"/>
  <c r="BF265" i="7"/>
  <c r="BF266" i="7"/>
  <c r="BF267" i="7"/>
  <c r="BH267" i="7" s="1"/>
  <c r="BF268" i="7"/>
  <c r="BH268" i="7" s="1"/>
  <c r="BF269" i="7"/>
  <c r="BF270" i="7"/>
  <c r="BF271" i="7"/>
  <c r="BF272" i="7"/>
  <c r="BF273" i="7"/>
  <c r="BF274" i="7"/>
  <c r="BF275" i="7"/>
  <c r="BH275" i="7" s="1"/>
  <c r="BF276" i="7"/>
  <c r="BH276" i="7" s="1"/>
  <c r="BF277" i="7"/>
  <c r="BF278" i="7"/>
  <c r="BF279" i="7"/>
  <c r="BF280" i="7"/>
  <c r="BF281" i="7"/>
  <c r="BF282" i="7"/>
  <c r="BF283" i="7"/>
  <c r="BG283" i="7" s="1"/>
  <c r="BF284" i="7"/>
  <c r="BH284" i="7" s="1"/>
  <c r="BF285" i="7"/>
  <c r="BF286" i="7"/>
  <c r="BF287" i="7"/>
  <c r="BF288" i="7"/>
  <c r="BF289" i="7"/>
  <c r="BF290" i="7"/>
  <c r="BF291" i="7"/>
  <c r="BH291" i="7" s="1"/>
  <c r="BF292" i="7"/>
  <c r="BH292" i="7" s="1"/>
  <c r="BF293" i="7"/>
  <c r="BF294" i="7"/>
  <c r="BF295" i="7"/>
  <c r="BF296" i="7"/>
  <c r="BF297" i="7"/>
  <c r="BF298" i="7"/>
  <c r="BF299" i="7"/>
  <c r="BH299" i="7" s="1"/>
  <c r="BF300" i="7"/>
  <c r="BH300" i="7" s="1"/>
  <c r="BF301" i="7"/>
  <c r="BF302" i="7"/>
  <c r="BF303" i="7"/>
  <c r="BG303" i="7" s="1"/>
  <c r="BF304" i="7"/>
  <c r="BG304" i="7" s="1"/>
  <c r="BF305" i="7"/>
  <c r="BF306" i="7"/>
  <c r="BF307" i="7"/>
  <c r="BH307" i="7" s="1"/>
  <c r="BF308" i="7"/>
  <c r="BH308" i="7" s="1"/>
  <c r="BF309" i="7"/>
  <c r="BF310" i="7"/>
  <c r="BF311" i="7"/>
  <c r="BF312" i="7"/>
  <c r="BF313" i="7"/>
  <c r="BF314" i="7"/>
  <c r="BF315" i="7"/>
  <c r="BH315" i="7" s="1"/>
  <c r="BF316" i="7"/>
  <c r="BH316" i="7" s="1"/>
  <c r="BF317" i="7"/>
  <c r="BF318" i="7"/>
  <c r="BF319" i="7"/>
  <c r="BH319" i="7" s="1"/>
  <c r="BF320" i="7"/>
  <c r="BF321" i="7"/>
  <c r="BF322" i="7"/>
  <c r="BF323" i="7"/>
  <c r="BH323" i="7" s="1"/>
  <c r="BF324" i="7"/>
  <c r="BH324" i="7" s="1"/>
  <c r="BF325" i="7"/>
  <c r="BF326" i="7"/>
  <c r="BF327" i="7"/>
  <c r="BH327" i="7" s="1"/>
  <c r="BF328" i="7"/>
  <c r="BH328" i="7" s="1"/>
  <c r="BF329" i="7"/>
  <c r="BF330" i="7"/>
  <c r="BF331" i="7"/>
  <c r="BH331" i="7" s="1"/>
  <c r="BF332" i="7"/>
  <c r="BH332" i="7" s="1"/>
  <c r="BF333" i="7"/>
  <c r="BF334" i="7"/>
  <c r="BF335" i="7"/>
  <c r="BH335" i="7" s="1"/>
  <c r="BF336" i="7"/>
  <c r="BH336" i="7" s="1"/>
  <c r="BF337" i="7"/>
  <c r="BF338" i="7"/>
  <c r="BF339" i="7"/>
  <c r="BH339" i="7" s="1"/>
  <c r="BF340" i="7"/>
  <c r="BH340" i="7" s="1"/>
  <c r="BF341" i="7"/>
  <c r="BF342" i="7"/>
  <c r="BF343" i="7"/>
  <c r="BH343" i="7" s="1"/>
  <c r="BF344" i="7"/>
  <c r="BH344" i="7" s="1"/>
  <c r="BF345" i="7"/>
  <c r="BG345" i="7" s="1"/>
  <c r="BF346" i="7"/>
  <c r="BG346" i="7" s="1"/>
  <c r="BF347" i="7"/>
  <c r="BH347" i="7" s="1"/>
  <c r="BF348" i="7"/>
  <c r="BH348" i="7" s="1"/>
  <c r="BF349" i="7"/>
  <c r="BF350" i="7"/>
  <c r="BF351" i="7"/>
  <c r="BH351" i="7" s="1"/>
  <c r="BF352" i="7"/>
  <c r="BH352" i="7" s="1"/>
  <c r="BF353" i="7"/>
  <c r="BF354" i="7"/>
  <c r="BF355" i="7"/>
  <c r="BH355" i="7" s="1"/>
  <c r="BF356" i="7"/>
  <c r="BH356" i="7" s="1"/>
  <c r="BF357" i="7"/>
  <c r="BF358" i="7"/>
  <c r="BF359" i="7"/>
  <c r="BH359" i="7" s="1"/>
  <c r="BF360" i="7"/>
  <c r="BH360" i="7" s="1"/>
  <c r="BF361" i="7"/>
  <c r="BG361" i="7" s="1"/>
  <c r="BF362" i="7"/>
  <c r="BF363" i="7"/>
  <c r="BH363" i="7" s="1"/>
  <c r="BF364" i="7"/>
  <c r="BH364" i="7" s="1"/>
  <c r="BF365" i="7"/>
  <c r="BF366" i="7"/>
  <c r="BF367" i="7"/>
  <c r="BH367" i="7" s="1"/>
  <c r="BF368" i="7"/>
  <c r="BH368" i="7" s="1"/>
  <c r="BF369" i="7"/>
  <c r="BF370" i="7"/>
  <c r="BF371" i="7"/>
  <c r="BH371" i="7" s="1"/>
  <c r="BF372" i="7"/>
  <c r="BH372" i="7" s="1"/>
  <c r="BF373" i="7"/>
  <c r="BF374" i="7"/>
  <c r="BF375" i="7"/>
  <c r="BH375" i="7" s="1"/>
  <c r="BF376" i="7"/>
  <c r="BH376" i="7" s="1"/>
  <c r="BF377" i="7"/>
  <c r="BG377" i="7" s="1"/>
  <c r="BF378" i="7"/>
  <c r="BF379" i="7"/>
  <c r="BH379" i="7" s="1"/>
  <c r="BF380" i="7"/>
  <c r="BH380" i="7" s="1"/>
  <c r="BF381" i="7"/>
  <c r="BF382" i="7"/>
  <c r="BF383" i="7"/>
  <c r="BH383" i="7" s="1"/>
  <c r="BF384" i="7"/>
  <c r="BH384" i="7" s="1"/>
  <c r="BF385" i="7"/>
  <c r="BF386" i="7"/>
  <c r="BF387" i="7"/>
  <c r="BH387" i="7" s="1"/>
  <c r="BF388" i="7"/>
  <c r="BH388" i="7" s="1"/>
  <c r="BF389" i="7"/>
  <c r="BF390" i="7"/>
  <c r="BF391" i="7"/>
  <c r="BH391" i="7" s="1"/>
  <c r="BF392" i="7"/>
  <c r="BH392" i="7" s="1"/>
  <c r="BF393" i="7"/>
  <c r="BG393" i="7" s="1"/>
  <c r="BF394" i="7"/>
  <c r="BF395" i="7"/>
  <c r="BH395" i="7" s="1"/>
  <c r="BF396" i="7"/>
  <c r="BH396" i="7" s="1"/>
  <c r="BF397" i="7"/>
  <c r="BF398" i="7"/>
  <c r="BF399" i="7"/>
  <c r="BH399" i="7" s="1"/>
  <c r="BF400" i="7"/>
  <c r="BH400" i="7" s="1"/>
  <c r="BF401" i="7"/>
  <c r="BF402" i="7"/>
  <c r="BF403" i="7"/>
  <c r="BH403" i="7" s="1"/>
  <c r="BF404" i="7"/>
  <c r="BH404" i="7" s="1"/>
  <c r="BF405" i="7"/>
  <c r="BF406" i="7"/>
  <c r="BF407" i="7"/>
  <c r="BH407" i="7" s="1"/>
  <c r="BF408" i="7"/>
  <c r="BH408" i="7" s="1"/>
  <c r="BF409" i="7"/>
  <c r="BG409" i="7" s="1"/>
  <c r="BF410" i="7"/>
  <c r="BF411" i="7"/>
  <c r="BH411" i="7" s="1"/>
  <c r="BF412" i="7"/>
  <c r="BH412" i="7" s="1"/>
  <c r="BF413" i="7"/>
  <c r="BF414" i="7"/>
  <c r="BF415" i="7"/>
  <c r="BH415" i="7" s="1"/>
  <c r="BF416" i="7"/>
  <c r="BH416" i="7" s="1"/>
  <c r="BF417" i="7"/>
  <c r="BF418" i="7"/>
  <c r="BF419" i="7"/>
  <c r="BH419" i="7" s="1"/>
  <c r="BF420" i="7"/>
  <c r="BH420" i="7" s="1"/>
  <c r="BF421" i="7"/>
  <c r="BF422" i="7"/>
  <c r="BF423" i="7"/>
  <c r="BH423" i="7" s="1"/>
  <c r="BF424" i="7"/>
  <c r="BH424" i="7" s="1"/>
  <c r="BF425" i="7"/>
  <c r="BG425" i="7" s="1"/>
  <c r="BF426" i="7"/>
  <c r="BF427" i="7"/>
  <c r="BH427" i="7" s="1"/>
  <c r="BF428" i="7"/>
  <c r="BH428" i="7" s="1"/>
  <c r="BF429" i="7"/>
  <c r="BF430" i="7"/>
  <c r="BF431" i="7"/>
  <c r="BH431" i="7" s="1"/>
  <c r="BF432" i="7"/>
  <c r="BH432" i="7" s="1"/>
  <c r="BF433" i="7"/>
  <c r="BF434" i="7"/>
  <c r="BF435" i="7"/>
  <c r="BH435" i="7" s="1"/>
  <c r="BF436" i="7"/>
  <c r="BG436" i="7" s="1"/>
  <c r="BF437" i="7"/>
  <c r="BG437" i="7" s="1"/>
  <c r="BF438" i="7"/>
  <c r="BF439" i="7"/>
  <c r="BH439" i="7" s="1"/>
  <c r="BF440" i="7"/>
  <c r="BH440" i="7" s="1"/>
  <c r="BF441" i="7"/>
  <c r="BF442" i="7"/>
  <c r="BF443" i="7"/>
  <c r="BF444" i="7"/>
  <c r="BF445" i="7"/>
  <c r="BG445" i="7" s="1"/>
  <c r="BF446" i="7"/>
  <c r="BF447" i="7"/>
  <c r="BF448" i="7"/>
  <c r="BF449" i="7"/>
  <c r="BH449" i="7" s="1"/>
  <c r="BF450" i="7"/>
  <c r="BF451" i="7"/>
  <c r="BF452" i="7"/>
  <c r="BG452" i="7" s="1"/>
  <c r="BF453" i="7"/>
  <c r="BG453" i="7" s="1"/>
  <c r="BF454" i="7"/>
  <c r="BF455" i="7"/>
  <c r="BF456" i="7"/>
  <c r="BF457" i="7"/>
  <c r="BH457" i="7" s="1"/>
  <c r="BF458" i="7"/>
  <c r="BH458" i="7" s="1"/>
  <c r="BF459" i="7"/>
  <c r="BF460" i="7"/>
  <c r="BG460" i="7" s="1"/>
  <c r="BF461" i="7"/>
  <c r="BG461" i="7" s="1"/>
  <c r="BF462" i="7"/>
  <c r="BF463" i="7"/>
  <c r="BF464" i="7"/>
  <c r="BF465" i="7"/>
  <c r="BH465" i="7" s="1"/>
  <c r="BF466" i="7"/>
  <c r="BH466" i="7" s="1"/>
  <c r="BF467" i="7"/>
  <c r="BF468" i="7"/>
  <c r="BG468" i="7" s="1"/>
  <c r="BF469" i="7"/>
  <c r="BG469" i="7" s="1"/>
  <c r="BF470" i="7"/>
  <c r="BF471" i="7"/>
  <c r="BF472" i="7"/>
  <c r="BF473" i="7"/>
  <c r="BH473" i="7" s="1"/>
  <c r="BF474" i="7"/>
  <c r="BH474" i="7" s="1"/>
  <c r="BF475" i="7"/>
  <c r="BF476" i="7"/>
  <c r="BG476" i="7" s="1"/>
  <c r="BF477" i="7"/>
  <c r="BG477" i="7" s="1"/>
  <c r="BF478" i="7"/>
  <c r="BF479" i="7"/>
  <c r="BF480" i="7"/>
  <c r="BF481" i="7"/>
  <c r="BH481" i="7" s="1"/>
  <c r="BF482" i="7"/>
  <c r="BF483" i="7"/>
  <c r="BF484" i="7"/>
  <c r="BG484" i="7" s="1"/>
  <c r="BF485" i="7"/>
  <c r="BG485" i="7" s="1"/>
  <c r="BF486" i="7"/>
  <c r="BF487" i="7"/>
  <c r="BF488" i="7"/>
  <c r="BF489" i="7"/>
  <c r="BH489" i="7" s="1"/>
  <c r="BF490" i="7"/>
  <c r="BH490" i="7" s="1"/>
  <c r="BF491" i="7"/>
  <c r="BF492" i="7"/>
  <c r="BG492" i="7" s="1"/>
  <c r="BF493" i="7"/>
  <c r="BG493" i="7" s="1"/>
  <c r="BF494" i="7"/>
  <c r="BF495" i="7"/>
  <c r="BF496" i="7"/>
  <c r="BF497" i="7"/>
  <c r="BH497" i="7" s="1"/>
  <c r="BF498" i="7"/>
  <c r="BH498" i="7" s="1"/>
  <c r="BF499" i="7"/>
  <c r="BF500" i="7"/>
  <c r="BG500" i="7" s="1"/>
  <c r="BF501" i="7"/>
  <c r="BG501" i="7" s="1"/>
  <c r="BF502" i="7"/>
  <c r="BF503" i="7"/>
  <c r="BF504" i="7"/>
  <c r="BF505" i="7"/>
  <c r="BH505" i="7" s="1"/>
  <c r="BF506" i="7"/>
  <c r="BF507" i="7"/>
  <c r="BF508" i="7"/>
  <c r="BG508" i="7" s="1"/>
  <c r="BF509" i="7"/>
  <c r="BG509" i="7" s="1"/>
  <c r="BF510" i="7"/>
  <c r="BF511" i="7"/>
  <c r="BF512" i="7"/>
  <c r="BF513" i="7"/>
  <c r="BH513" i="7" s="1"/>
  <c r="BF514" i="7"/>
  <c r="BF515" i="7"/>
  <c r="BF516" i="7"/>
  <c r="BG516" i="7" s="1"/>
  <c r="BF517" i="7"/>
  <c r="BG517" i="7" s="1"/>
  <c r="BF518" i="7"/>
  <c r="BF519" i="7"/>
  <c r="BF520" i="7"/>
  <c r="BF521" i="7"/>
  <c r="BH521" i="7" s="1"/>
  <c r="BF522" i="7"/>
  <c r="BH522" i="7" s="1"/>
  <c r="BF523" i="7"/>
  <c r="BF524" i="7"/>
  <c r="BG524" i="7" s="1"/>
  <c r="BF525" i="7"/>
  <c r="BG525" i="7" s="1"/>
  <c r="BF526" i="7"/>
  <c r="BF527" i="7"/>
  <c r="BF528" i="7"/>
  <c r="BF529" i="7"/>
  <c r="BH529" i="7" s="1"/>
  <c r="BF530" i="7"/>
  <c r="BH530" i="7" s="1"/>
  <c r="BF531" i="7"/>
  <c r="BF532" i="7"/>
  <c r="BG532" i="7" s="1"/>
  <c r="BF533" i="7"/>
  <c r="BG533" i="7" s="1"/>
  <c r="BF534" i="7"/>
  <c r="BF535" i="7"/>
  <c r="BF536" i="7"/>
  <c r="BF537" i="7"/>
  <c r="BH537" i="7" s="1"/>
  <c r="BF538" i="7"/>
  <c r="BH538" i="7" s="1"/>
  <c r="BF539" i="7"/>
  <c r="BF540" i="7"/>
  <c r="BG540" i="7" s="1"/>
  <c r="BF541" i="7"/>
  <c r="BG541" i="7" s="1"/>
  <c r="BF542" i="7"/>
  <c r="BF543" i="7"/>
  <c r="BF544" i="7"/>
  <c r="BF545" i="7"/>
  <c r="BH545" i="7" s="1"/>
  <c r="BF546" i="7"/>
  <c r="BF547" i="7"/>
  <c r="BF548" i="7"/>
  <c r="BG548" i="7" s="1"/>
  <c r="BF549" i="7"/>
  <c r="BG549" i="7" s="1"/>
  <c r="BF550" i="7"/>
  <c r="BF551" i="7"/>
  <c r="BF552" i="7"/>
  <c r="BF553" i="7"/>
  <c r="BH553" i="7" s="1"/>
  <c r="BF554" i="7"/>
  <c r="BH554" i="7" s="1"/>
  <c r="BF555" i="7"/>
  <c r="BF556" i="7"/>
  <c r="BG556" i="7" s="1"/>
  <c r="BF557" i="7"/>
  <c r="BG557" i="7" s="1"/>
  <c r="BF558" i="7"/>
  <c r="BF559" i="7"/>
  <c r="BF560" i="7"/>
  <c r="BF561" i="7"/>
  <c r="BH561" i="7" s="1"/>
  <c r="BF562" i="7"/>
  <c r="BH562" i="7" s="1"/>
  <c r="BF563" i="7"/>
  <c r="BF564" i="7"/>
  <c r="BG564" i="7" s="1"/>
  <c r="BF565" i="7"/>
  <c r="BG565" i="7" s="1"/>
  <c r="BF566" i="7"/>
  <c r="BF567" i="7"/>
  <c r="BF568" i="7"/>
  <c r="BF569" i="7"/>
  <c r="BH569" i="7" s="1"/>
  <c r="BF570" i="7"/>
  <c r="BF571" i="7"/>
  <c r="BF572" i="7"/>
  <c r="BG572" i="7" s="1"/>
  <c r="BF573" i="7"/>
  <c r="BG573" i="7" s="1"/>
  <c r="BF574" i="7"/>
  <c r="BF575" i="7"/>
  <c r="BF576" i="7"/>
  <c r="BF577" i="7"/>
  <c r="BH577" i="7" s="1"/>
  <c r="BF578" i="7"/>
  <c r="BF579" i="7"/>
  <c r="BF580" i="7"/>
  <c r="BG580" i="7" s="1"/>
  <c r="BF581" i="7"/>
  <c r="BG581" i="7" s="1"/>
  <c r="BF582" i="7"/>
  <c r="BF583" i="7"/>
  <c r="BF584" i="7"/>
  <c r="BF585" i="7"/>
  <c r="BH585" i="7" s="1"/>
  <c r="BF586" i="7"/>
  <c r="BH586" i="7" s="1"/>
  <c r="BF587" i="7"/>
  <c r="BF588" i="7"/>
  <c r="BG588" i="7" s="1"/>
  <c r="BF589" i="7"/>
  <c r="BG589" i="7" s="1"/>
  <c r="BF590" i="7"/>
  <c r="BF591" i="7"/>
  <c r="BF592" i="7"/>
  <c r="BF593" i="7"/>
  <c r="BH593" i="7" s="1"/>
  <c r="BF594" i="7"/>
  <c r="BH594" i="7" s="1"/>
  <c r="BF595" i="7"/>
  <c r="BF596" i="7"/>
  <c r="BG596" i="7" s="1"/>
  <c r="BF597" i="7"/>
  <c r="BG597" i="7" s="1"/>
  <c r="BF598" i="7"/>
  <c r="BF599" i="7"/>
  <c r="BF600" i="7"/>
  <c r="BF601" i="7"/>
  <c r="BH601" i="7" s="1"/>
  <c r="BF602" i="7"/>
  <c r="BH602" i="7" s="1"/>
  <c r="BF603" i="7"/>
  <c r="BF604" i="7"/>
  <c r="BG604" i="7" s="1"/>
  <c r="BF605" i="7"/>
  <c r="BG605" i="7" s="1"/>
  <c r="BF606" i="7"/>
  <c r="BF607" i="7"/>
  <c r="BF608" i="7"/>
  <c r="BF609" i="7"/>
  <c r="BH609" i="7" s="1"/>
  <c r="BF610" i="7"/>
  <c r="BF611" i="7"/>
  <c r="BF612" i="7"/>
  <c r="BG612" i="7" s="1"/>
  <c r="BF613" i="7"/>
  <c r="BG613" i="7" s="1"/>
  <c r="BF614" i="7"/>
  <c r="BF615" i="7"/>
  <c r="BF616" i="7"/>
  <c r="BF617" i="7"/>
  <c r="BH617" i="7" s="1"/>
  <c r="BF618" i="7"/>
  <c r="BH618" i="7" s="1"/>
  <c r="BF619" i="7"/>
  <c r="BF620" i="7"/>
  <c r="BG620" i="7" s="1"/>
  <c r="BF621" i="7"/>
  <c r="BG621" i="7" s="1"/>
  <c r="BF622" i="7"/>
  <c r="BF623" i="7"/>
  <c r="BF624" i="7"/>
  <c r="BF625" i="7"/>
  <c r="BH625" i="7" s="1"/>
  <c r="BF626" i="7"/>
  <c r="BH626" i="7" s="1"/>
  <c r="BF627" i="7"/>
  <c r="BF628" i="7"/>
  <c r="BG628" i="7" s="1"/>
  <c r="BF4" i="7"/>
  <c r="BG4" i="7" s="1"/>
  <c r="F20" i="1"/>
  <c r="F19" i="1"/>
  <c r="AW3" i="13"/>
  <c r="AW4" i="13"/>
  <c r="AW5" i="13"/>
  <c r="AW6" i="13"/>
  <c r="AW7" i="13"/>
  <c r="AW8" i="13"/>
  <c r="AW9" i="13"/>
  <c r="AW10" i="13"/>
  <c r="AW11" i="13"/>
  <c r="AW12" i="13"/>
  <c r="AW13" i="13"/>
  <c r="AW14" i="13"/>
  <c r="AW15" i="13"/>
  <c r="AW16" i="13"/>
  <c r="AW17" i="13"/>
  <c r="AW18" i="13"/>
  <c r="AW19" i="13"/>
  <c r="AW20" i="13"/>
  <c r="AW21" i="13"/>
  <c r="AW22" i="13"/>
  <c r="AW23" i="13"/>
  <c r="AW24" i="13"/>
  <c r="AW25" i="13"/>
  <c r="AW26" i="13"/>
  <c r="AW27" i="13"/>
  <c r="AW28" i="13"/>
  <c r="AW29" i="13"/>
  <c r="AW30" i="13"/>
  <c r="AW31" i="13"/>
  <c r="AW32" i="13"/>
  <c r="AW33" i="13"/>
  <c r="AW34" i="13"/>
  <c r="AW35" i="13"/>
  <c r="AW36" i="13"/>
  <c r="AW37" i="13"/>
  <c r="AW38" i="13"/>
  <c r="AW39" i="13"/>
  <c r="AW40" i="13"/>
  <c r="AW41" i="13"/>
  <c r="AW42" i="13"/>
  <c r="AW43" i="13"/>
  <c r="AW44" i="13"/>
  <c r="AW45" i="13"/>
  <c r="AW46" i="13"/>
  <c r="AW47" i="13"/>
  <c r="AW48" i="13"/>
  <c r="AW49" i="13"/>
  <c r="AW50" i="13"/>
  <c r="AW51" i="13"/>
  <c r="AW52" i="13"/>
  <c r="AW53" i="13"/>
  <c r="AW54" i="13"/>
  <c r="AW55" i="13"/>
  <c r="AW56" i="13"/>
  <c r="AW57" i="13"/>
  <c r="AW58" i="13"/>
  <c r="AW59" i="13"/>
  <c r="AW60" i="13"/>
  <c r="AW61" i="13"/>
  <c r="AW62" i="13"/>
  <c r="AW63" i="13"/>
  <c r="AW64" i="13"/>
  <c r="AW65" i="13"/>
  <c r="AW66" i="13"/>
  <c r="AW67" i="13"/>
  <c r="AW68" i="13"/>
  <c r="AW69" i="13"/>
  <c r="AW70" i="13"/>
  <c r="AW71" i="13"/>
  <c r="AW72" i="13"/>
  <c r="AW73" i="13"/>
  <c r="AW74" i="13"/>
  <c r="AW75" i="13"/>
  <c r="AW76" i="13"/>
  <c r="AW77" i="13"/>
  <c r="AW78" i="13"/>
  <c r="AW79" i="13"/>
  <c r="AW80" i="13"/>
  <c r="AW81" i="13"/>
  <c r="AW82" i="13"/>
  <c r="AW83" i="13"/>
  <c r="AW84" i="13"/>
  <c r="AW85" i="13"/>
  <c r="AW86" i="13"/>
  <c r="AW87" i="13"/>
  <c r="AW88" i="13"/>
  <c r="AW89" i="13"/>
  <c r="AW90" i="13"/>
  <c r="AW91" i="13"/>
  <c r="AW92" i="13"/>
  <c r="AW93" i="13"/>
  <c r="AW94" i="13"/>
  <c r="AW95" i="13"/>
  <c r="AW96" i="13"/>
  <c r="AW97" i="13"/>
  <c r="AW98" i="13"/>
  <c r="AW99" i="13"/>
  <c r="AW100" i="13"/>
  <c r="AW101" i="13"/>
  <c r="AW102" i="13"/>
  <c r="AW103" i="13"/>
  <c r="AW104" i="13"/>
  <c r="AW105" i="13"/>
  <c r="AW106" i="13"/>
  <c r="AW107" i="13"/>
  <c r="AW108" i="13"/>
  <c r="AW109" i="13"/>
  <c r="AW110" i="13"/>
  <c r="AW111" i="13"/>
  <c r="AW112" i="13"/>
  <c r="AW113" i="13"/>
  <c r="AW114" i="13"/>
  <c r="AW115" i="13"/>
  <c r="AW116" i="13"/>
  <c r="AW117" i="13"/>
  <c r="AW118" i="13"/>
  <c r="AW119" i="13"/>
  <c r="AW120" i="13"/>
  <c r="AW121" i="13"/>
  <c r="AW122" i="13"/>
  <c r="AW123" i="13"/>
  <c r="AW124" i="13"/>
  <c r="AW125" i="13"/>
  <c r="AW126" i="13"/>
  <c r="AW127" i="13"/>
  <c r="AW128" i="13"/>
  <c r="AW129" i="13"/>
  <c r="AW130" i="13"/>
  <c r="AW131" i="13"/>
  <c r="AW132" i="13"/>
  <c r="AW133" i="13"/>
  <c r="AW134" i="13"/>
  <c r="AW135" i="13"/>
  <c r="AW136" i="13"/>
  <c r="AW137" i="13"/>
  <c r="AW138" i="13"/>
  <c r="AW139" i="13"/>
  <c r="AW140" i="13"/>
  <c r="AW141" i="13"/>
  <c r="AW142" i="13"/>
  <c r="AW143" i="13"/>
  <c r="AW144" i="13"/>
  <c r="AW145" i="13"/>
  <c r="AW146" i="13"/>
  <c r="AW147" i="13"/>
  <c r="AW148" i="13"/>
  <c r="AW149" i="13"/>
  <c r="AW150" i="13"/>
  <c r="AW151" i="13"/>
  <c r="AW152" i="13"/>
  <c r="AW153" i="13"/>
  <c r="AW154" i="13"/>
  <c r="AW155" i="13"/>
  <c r="AW156" i="13"/>
  <c r="AW157" i="13"/>
  <c r="AW158" i="13"/>
  <c r="AW159" i="13"/>
  <c r="AW160" i="13"/>
  <c r="AW161" i="13"/>
  <c r="AW162" i="13"/>
  <c r="AW163" i="13"/>
  <c r="AW164" i="13"/>
  <c r="AW165" i="13"/>
  <c r="AW166" i="13"/>
  <c r="AW167" i="13"/>
  <c r="AW168" i="13"/>
  <c r="AW169" i="13"/>
  <c r="AW170" i="13"/>
  <c r="AW171" i="13"/>
  <c r="AW172" i="13"/>
  <c r="AW173" i="13"/>
  <c r="AW174" i="13"/>
  <c r="AW175" i="13"/>
  <c r="AW176" i="13"/>
  <c r="AW177" i="13"/>
  <c r="AW178" i="13"/>
  <c r="AW179" i="13"/>
  <c r="AW180" i="13"/>
  <c r="AW181" i="13"/>
  <c r="AW182" i="13"/>
  <c r="AW183" i="13"/>
  <c r="AW184" i="13"/>
  <c r="AW185" i="13"/>
  <c r="AW186" i="13"/>
  <c r="AW187" i="13"/>
  <c r="AW188" i="13"/>
  <c r="AW189" i="13"/>
  <c r="AW190" i="13"/>
  <c r="AW191" i="13"/>
  <c r="AW192" i="13"/>
  <c r="AW193" i="13"/>
  <c r="AW194" i="13"/>
  <c r="AW195" i="13"/>
  <c r="AW196" i="13"/>
  <c r="AW197" i="13"/>
  <c r="AW198" i="13"/>
  <c r="AW199" i="13"/>
  <c r="AW200" i="13"/>
  <c r="AW201" i="13"/>
  <c r="AW202" i="13"/>
  <c r="AW203" i="13"/>
  <c r="AW204" i="13"/>
  <c r="AW205" i="13"/>
  <c r="AW206" i="13"/>
  <c r="AW207" i="13"/>
  <c r="AW208" i="13"/>
  <c r="AW209" i="13"/>
  <c r="AW210" i="13"/>
  <c r="AW211" i="13"/>
  <c r="AW212" i="13"/>
  <c r="AW213" i="13"/>
  <c r="AW214" i="13"/>
  <c r="AW215" i="13"/>
  <c r="AW216" i="13"/>
  <c r="AW217" i="13"/>
  <c r="AW218" i="13"/>
  <c r="AW219" i="13"/>
  <c r="AW220" i="13"/>
  <c r="AW221" i="13"/>
  <c r="AW222" i="13"/>
  <c r="AW223" i="13"/>
  <c r="AW224" i="13"/>
  <c r="AW225" i="13"/>
  <c r="AW226" i="13"/>
  <c r="AW227" i="13"/>
  <c r="AW228" i="13"/>
  <c r="AW229" i="13"/>
  <c r="AW230" i="13"/>
  <c r="AW231" i="13"/>
  <c r="AW232" i="13"/>
  <c r="AW233" i="13"/>
  <c r="AW234" i="13"/>
  <c r="AW235" i="13"/>
  <c r="AW236" i="13"/>
  <c r="AW237" i="13"/>
  <c r="AW238" i="13"/>
  <c r="AW239" i="13"/>
  <c r="AW240" i="13"/>
  <c r="AW241" i="13"/>
  <c r="AW242" i="13"/>
  <c r="AW243" i="13"/>
  <c r="AW244" i="13"/>
  <c r="AW245" i="13"/>
  <c r="AW246" i="13"/>
  <c r="AW247" i="13"/>
  <c r="AW248" i="13"/>
  <c r="AW249" i="13"/>
  <c r="AW250" i="13"/>
  <c r="AW251" i="13"/>
  <c r="AW252" i="13"/>
  <c r="AW253" i="13"/>
  <c r="AW254" i="13"/>
  <c r="AW255" i="13"/>
  <c r="AW256" i="13"/>
  <c r="AW257" i="13"/>
  <c r="AW258" i="13"/>
  <c r="AW259" i="13"/>
  <c r="AW260" i="13"/>
  <c r="AW261" i="13"/>
  <c r="AW262" i="13"/>
  <c r="AW263" i="13"/>
  <c r="AW264" i="13"/>
  <c r="AW265" i="13"/>
  <c r="AW266" i="13"/>
  <c r="AW267" i="13"/>
  <c r="AW268" i="13"/>
  <c r="AW269" i="13"/>
  <c r="AW270" i="13"/>
  <c r="AW271" i="13"/>
  <c r="AW272" i="13"/>
  <c r="AW273" i="13"/>
  <c r="AW274" i="13"/>
  <c r="AW275" i="13"/>
  <c r="AW276" i="13"/>
  <c r="AW277" i="13"/>
  <c r="AW278" i="13"/>
  <c r="AW279" i="13"/>
  <c r="AW280" i="13"/>
  <c r="AW281" i="13"/>
  <c r="AW282" i="13"/>
  <c r="AW283" i="13"/>
  <c r="AW284" i="13"/>
  <c r="AW285" i="13"/>
  <c r="AW286" i="13"/>
  <c r="AW287" i="13"/>
  <c r="AW288" i="13"/>
  <c r="AW289" i="13"/>
  <c r="AW290" i="13"/>
  <c r="AW291" i="13"/>
  <c r="AW292" i="13"/>
  <c r="AW293" i="13"/>
  <c r="AW294" i="13"/>
  <c r="AW295" i="13"/>
  <c r="AW296" i="13"/>
  <c r="AW297" i="13"/>
  <c r="AW298" i="13"/>
  <c r="AW299" i="13"/>
  <c r="AW300" i="13"/>
  <c r="AW301" i="13"/>
  <c r="AW302" i="13"/>
  <c r="AW303" i="13"/>
  <c r="AW304" i="13"/>
  <c r="AW305" i="13"/>
  <c r="AW306" i="13"/>
  <c r="AW307" i="13"/>
  <c r="AW308" i="13"/>
  <c r="AW309" i="13"/>
  <c r="AW310" i="13"/>
  <c r="AW311" i="13"/>
  <c r="AW312" i="13"/>
  <c r="AW313" i="13"/>
  <c r="AW314" i="13"/>
  <c r="AW315" i="13"/>
  <c r="AW316" i="13"/>
  <c r="AW317" i="13"/>
  <c r="AW318" i="13"/>
  <c r="AW319" i="13"/>
  <c r="AW320" i="13"/>
  <c r="AW321" i="13"/>
  <c r="AW322" i="13"/>
  <c r="AW323" i="13"/>
  <c r="AW324" i="13"/>
  <c r="AW325" i="13"/>
  <c r="AW326" i="13"/>
  <c r="AW327" i="13"/>
  <c r="AW328" i="13"/>
  <c r="AW329" i="13"/>
  <c r="AW330" i="13"/>
  <c r="AW331" i="13"/>
  <c r="AW332" i="13"/>
  <c r="AW333" i="13"/>
  <c r="AW334" i="13"/>
  <c r="AW335" i="13"/>
  <c r="AW336" i="13"/>
  <c r="AW337" i="13"/>
  <c r="AW338" i="13"/>
  <c r="AW339" i="13"/>
  <c r="AW340" i="13"/>
  <c r="AW341" i="13"/>
  <c r="AW342" i="13"/>
  <c r="AW343" i="13"/>
  <c r="AW344" i="13"/>
  <c r="AW345" i="13"/>
  <c r="AW346" i="13"/>
  <c r="AW347" i="13"/>
  <c r="AW348" i="13"/>
  <c r="AW349" i="13"/>
  <c r="AW350" i="13"/>
  <c r="AW351" i="13"/>
  <c r="AW352" i="13"/>
  <c r="AW353" i="13"/>
  <c r="AW354" i="13"/>
  <c r="AW355" i="13"/>
  <c r="AW356" i="13"/>
  <c r="AW357" i="13"/>
  <c r="AW358" i="13"/>
  <c r="AW359" i="13"/>
  <c r="AW360" i="13"/>
  <c r="AW361" i="13"/>
  <c r="AW362" i="13"/>
  <c r="AW363" i="13"/>
  <c r="AW364" i="13"/>
  <c r="AW365" i="13"/>
  <c r="AW366" i="13"/>
  <c r="AW367" i="13"/>
  <c r="AW368" i="13"/>
  <c r="AW369" i="13"/>
  <c r="AW370" i="13"/>
  <c r="AW371" i="13"/>
  <c r="AW372" i="13"/>
  <c r="AW373" i="13"/>
  <c r="AW374" i="13"/>
  <c r="AW375" i="13"/>
  <c r="AW376" i="13"/>
  <c r="AW377" i="13"/>
  <c r="AW378" i="13"/>
  <c r="AW379" i="13"/>
  <c r="AW380" i="13"/>
  <c r="AW381" i="13"/>
  <c r="AW382" i="13"/>
  <c r="AW383" i="13"/>
  <c r="AW384" i="13"/>
  <c r="AW385" i="13"/>
  <c r="AW386" i="13"/>
  <c r="AW387" i="13"/>
  <c r="AW388" i="13"/>
  <c r="AW389" i="13"/>
  <c r="AW390" i="13"/>
  <c r="AW391" i="13"/>
  <c r="AW392" i="13"/>
  <c r="AW393" i="13"/>
  <c r="AW394" i="13"/>
  <c r="AW395" i="13"/>
  <c r="AW396" i="13"/>
  <c r="AW397" i="13"/>
  <c r="AW398" i="13"/>
  <c r="AW399" i="13"/>
  <c r="AW400" i="13"/>
  <c r="AW401" i="13"/>
  <c r="AW402" i="13"/>
  <c r="AW403" i="13"/>
  <c r="AW404" i="13"/>
  <c r="AW405" i="13"/>
  <c r="AW406" i="13"/>
  <c r="AW407" i="13"/>
  <c r="AW408" i="13"/>
  <c r="AW409" i="13"/>
  <c r="AW410" i="13"/>
  <c r="AW411" i="13"/>
  <c r="AW412" i="13"/>
  <c r="AW413" i="13"/>
  <c r="AW414" i="13"/>
  <c r="AW415" i="13"/>
  <c r="AW416" i="13"/>
  <c r="AW417" i="13"/>
  <c r="AW418" i="13"/>
  <c r="AW419" i="13"/>
  <c r="AW420" i="13"/>
  <c r="AW421" i="13"/>
  <c r="AW422" i="13"/>
  <c r="AW423" i="13"/>
  <c r="AW424" i="13"/>
  <c r="AW425" i="13"/>
  <c r="AW426" i="13"/>
  <c r="AW427" i="13"/>
  <c r="AW428" i="13"/>
  <c r="AW429" i="13"/>
  <c r="AW430" i="13"/>
  <c r="AW431" i="13"/>
  <c r="AW432" i="13"/>
  <c r="AW433" i="13"/>
  <c r="AW434" i="13"/>
  <c r="AW435" i="13"/>
  <c r="AW436" i="13"/>
  <c r="AW437" i="13"/>
  <c r="AW438" i="13"/>
  <c r="AW439" i="13"/>
  <c r="AW440" i="13"/>
  <c r="AW441" i="13"/>
  <c r="AW442" i="13"/>
  <c r="AW443" i="13"/>
  <c r="AW444" i="13"/>
  <c r="AW445" i="13"/>
  <c r="AW446" i="13"/>
  <c r="AW447" i="13"/>
  <c r="AW448" i="13"/>
  <c r="AW449" i="13"/>
  <c r="AW450" i="13"/>
  <c r="AW451" i="13"/>
  <c r="AW452" i="13"/>
  <c r="AW453" i="13"/>
  <c r="AW454" i="13"/>
  <c r="AW455" i="13"/>
  <c r="AW456" i="13"/>
  <c r="AW457" i="13"/>
  <c r="AW458" i="13"/>
  <c r="AW459" i="13"/>
  <c r="AW460" i="13"/>
  <c r="AW461" i="13"/>
  <c r="AW462" i="13"/>
  <c r="AW463" i="13"/>
  <c r="AW464" i="13"/>
  <c r="AW465" i="13"/>
  <c r="AW466" i="13"/>
  <c r="AW467" i="13"/>
  <c r="AW468" i="13"/>
  <c r="AW469" i="13"/>
  <c r="AW470" i="13"/>
  <c r="AW471" i="13"/>
  <c r="AW472" i="13"/>
  <c r="AW473" i="13"/>
  <c r="AW474" i="13"/>
  <c r="AW475" i="13"/>
  <c r="AW476" i="13"/>
  <c r="AW477" i="13"/>
  <c r="AW478" i="13"/>
  <c r="AW479" i="13"/>
  <c r="AW480" i="13"/>
  <c r="AW481" i="13"/>
  <c r="AW482" i="13"/>
  <c r="AW483" i="13"/>
  <c r="AW484" i="13"/>
  <c r="AW485" i="13"/>
  <c r="AW486" i="13"/>
  <c r="AW487" i="13"/>
  <c r="AW488" i="13"/>
  <c r="AW489" i="13"/>
  <c r="AW490" i="13"/>
  <c r="AW491" i="13"/>
  <c r="AW492" i="13"/>
  <c r="AW493" i="13"/>
  <c r="AW494" i="13"/>
  <c r="AW495" i="13"/>
  <c r="AW496" i="13"/>
  <c r="AW497" i="13"/>
  <c r="AW498" i="13"/>
  <c r="AW499" i="13"/>
  <c r="AW500" i="13"/>
  <c r="AW501" i="13"/>
  <c r="AW502" i="13"/>
  <c r="AW503" i="13"/>
  <c r="AW504" i="13"/>
  <c r="AW505" i="13"/>
  <c r="AW506" i="13"/>
  <c r="AW507" i="13"/>
  <c r="AW508" i="13"/>
  <c r="AW509" i="13"/>
  <c r="AW510" i="13"/>
  <c r="AW511" i="13"/>
  <c r="AW512" i="13"/>
  <c r="AW513" i="13"/>
  <c r="AW514" i="13"/>
  <c r="AW515" i="13"/>
  <c r="AW516" i="13"/>
  <c r="AW517" i="13"/>
  <c r="AW518" i="13"/>
  <c r="AW519" i="13"/>
  <c r="AW520" i="13"/>
  <c r="AW521" i="13"/>
  <c r="AW522" i="13"/>
  <c r="AW523" i="13"/>
  <c r="AW524" i="13"/>
  <c r="AW525" i="13"/>
  <c r="AW526" i="13"/>
  <c r="AW527" i="13"/>
  <c r="AW528" i="13"/>
  <c r="AW529" i="13"/>
  <c r="AW530" i="13"/>
  <c r="AW531" i="13"/>
  <c r="AW532" i="13"/>
  <c r="AW533" i="13"/>
  <c r="AW534" i="13"/>
  <c r="AW535" i="13"/>
  <c r="AW536" i="13"/>
  <c r="AW537" i="13"/>
  <c r="AW538" i="13"/>
  <c r="AW539" i="13"/>
  <c r="AW540" i="13"/>
  <c r="AW541" i="13"/>
  <c r="AW542" i="13"/>
  <c r="AW543" i="13"/>
  <c r="AW544" i="13"/>
  <c r="AW545" i="13"/>
  <c r="AW546" i="13"/>
  <c r="AW547" i="13"/>
  <c r="AW548" i="13"/>
  <c r="AW549" i="13"/>
  <c r="AW550" i="13"/>
  <c r="AW551" i="13"/>
  <c r="AW552" i="13"/>
  <c r="AW553" i="13"/>
  <c r="AW554" i="13"/>
  <c r="AW555" i="13"/>
  <c r="AW556" i="13"/>
  <c r="AW557" i="13"/>
  <c r="AW558" i="13"/>
  <c r="AW559" i="13"/>
  <c r="AW560" i="13"/>
  <c r="AW561" i="13"/>
  <c r="AW562" i="13"/>
  <c r="AW563" i="13"/>
  <c r="AW564" i="13"/>
  <c r="AW565" i="13"/>
  <c r="AW566" i="13"/>
  <c r="AW567" i="13"/>
  <c r="AW568" i="13"/>
  <c r="AW569" i="13"/>
  <c r="AW570" i="13"/>
  <c r="AW571" i="13"/>
  <c r="AW572" i="13"/>
  <c r="AW573" i="13"/>
  <c r="AW574" i="13"/>
  <c r="AW575" i="13"/>
  <c r="AW576" i="13"/>
  <c r="AW577" i="13"/>
  <c r="AW578" i="13"/>
  <c r="AW579" i="13"/>
  <c r="AW580" i="13"/>
  <c r="AW581" i="13"/>
  <c r="AW582" i="13"/>
  <c r="AW583" i="13"/>
  <c r="AW584" i="13"/>
  <c r="AW585" i="13"/>
  <c r="AW586" i="13"/>
  <c r="AW587" i="13"/>
  <c r="AW588" i="13"/>
  <c r="AW589" i="13"/>
  <c r="AW590" i="13"/>
  <c r="AW591" i="13"/>
  <c r="AW592" i="13"/>
  <c r="AW593" i="13"/>
  <c r="AW594" i="13"/>
  <c r="AW595" i="13"/>
  <c r="AW596" i="13"/>
  <c r="AW597" i="13"/>
  <c r="AW598" i="13"/>
  <c r="AW599" i="13"/>
  <c r="AW600" i="13"/>
  <c r="AW601" i="13"/>
  <c r="AW602" i="13"/>
  <c r="AW603" i="13"/>
  <c r="AW604" i="13"/>
  <c r="AW605" i="13"/>
  <c r="AW606" i="13"/>
  <c r="AW607" i="13"/>
  <c r="AW608" i="13"/>
  <c r="AW609" i="13"/>
  <c r="AW610" i="13"/>
  <c r="AW611" i="13"/>
  <c r="AW612" i="13"/>
  <c r="AW613" i="13"/>
  <c r="AW614" i="13"/>
  <c r="AW615" i="13"/>
  <c r="AW616" i="13"/>
  <c r="AW617" i="13"/>
  <c r="AW618" i="13"/>
  <c r="AW619" i="13"/>
  <c r="AW620" i="13"/>
  <c r="AW621" i="13"/>
  <c r="AW622" i="13"/>
  <c r="AW623" i="13"/>
  <c r="AW624" i="13"/>
  <c r="AW625" i="13"/>
  <c r="AW626" i="13"/>
  <c r="AW2" i="13"/>
  <c r="AU3" i="13"/>
  <c r="AU4" i="13"/>
  <c r="AU5" i="13"/>
  <c r="AU6" i="13"/>
  <c r="AU7" i="13"/>
  <c r="AU8" i="13"/>
  <c r="AU9" i="13"/>
  <c r="AU10" i="13"/>
  <c r="AU11" i="13"/>
  <c r="AU12" i="13"/>
  <c r="AU13" i="13"/>
  <c r="AU14" i="13"/>
  <c r="AU15" i="13"/>
  <c r="AU16" i="13"/>
  <c r="AU17" i="13"/>
  <c r="AU18" i="13"/>
  <c r="AU19" i="13"/>
  <c r="AU20" i="13"/>
  <c r="AU21" i="13"/>
  <c r="AU22" i="13"/>
  <c r="AU23" i="13"/>
  <c r="AU24" i="13"/>
  <c r="AU25" i="13"/>
  <c r="AU26" i="13"/>
  <c r="AU27" i="13"/>
  <c r="AU28" i="13"/>
  <c r="AU29" i="13"/>
  <c r="AU30" i="13"/>
  <c r="AU31" i="13"/>
  <c r="AU32" i="13"/>
  <c r="AU33" i="13"/>
  <c r="AU34" i="13"/>
  <c r="AU35" i="13"/>
  <c r="AU36" i="13"/>
  <c r="AU37" i="13"/>
  <c r="AU38" i="13"/>
  <c r="AU39" i="13"/>
  <c r="AU40" i="13"/>
  <c r="AU41" i="13"/>
  <c r="AU42" i="13"/>
  <c r="AU43" i="13"/>
  <c r="AU44" i="13"/>
  <c r="AU45" i="13"/>
  <c r="AU46" i="13"/>
  <c r="AU47" i="13"/>
  <c r="AU48" i="13"/>
  <c r="AU49" i="13"/>
  <c r="AU50" i="13"/>
  <c r="AU51" i="13"/>
  <c r="AU52" i="13"/>
  <c r="AU53" i="13"/>
  <c r="AU54" i="13"/>
  <c r="AU55" i="13"/>
  <c r="AU56" i="13"/>
  <c r="AU57" i="13"/>
  <c r="AU58" i="13"/>
  <c r="AU59" i="13"/>
  <c r="AU60" i="13"/>
  <c r="AU61" i="13"/>
  <c r="AU62" i="13"/>
  <c r="AU63" i="13"/>
  <c r="AU64" i="13"/>
  <c r="AU65" i="13"/>
  <c r="AU66" i="13"/>
  <c r="AU67" i="13"/>
  <c r="AU68" i="13"/>
  <c r="AU69" i="13"/>
  <c r="AU70" i="13"/>
  <c r="AU71" i="13"/>
  <c r="AU72" i="13"/>
  <c r="AU73" i="13"/>
  <c r="AU74" i="13"/>
  <c r="AU75" i="13"/>
  <c r="AU76" i="13"/>
  <c r="AU77" i="13"/>
  <c r="AU78" i="13"/>
  <c r="AU79" i="13"/>
  <c r="AU80" i="13"/>
  <c r="AU81" i="13"/>
  <c r="AU82" i="13"/>
  <c r="AU83" i="13"/>
  <c r="AU84" i="13"/>
  <c r="AU85" i="13"/>
  <c r="AU86" i="13"/>
  <c r="AU87" i="13"/>
  <c r="AU88" i="13"/>
  <c r="AU89" i="13"/>
  <c r="AU90" i="13"/>
  <c r="AU91" i="13"/>
  <c r="AU92" i="13"/>
  <c r="AU93" i="13"/>
  <c r="AU94" i="13"/>
  <c r="AU95" i="13"/>
  <c r="AU96" i="13"/>
  <c r="AU97" i="13"/>
  <c r="AU98" i="13"/>
  <c r="AU99" i="13"/>
  <c r="AU100" i="13"/>
  <c r="AU101" i="13"/>
  <c r="AU102" i="13"/>
  <c r="AU103" i="13"/>
  <c r="AU104" i="13"/>
  <c r="AU105" i="13"/>
  <c r="AU106" i="13"/>
  <c r="AU107" i="13"/>
  <c r="AU108" i="13"/>
  <c r="AU109" i="13"/>
  <c r="AU110" i="13"/>
  <c r="AU111" i="13"/>
  <c r="AU112" i="13"/>
  <c r="AU113" i="13"/>
  <c r="AU114" i="13"/>
  <c r="AU115" i="13"/>
  <c r="AU116" i="13"/>
  <c r="AU117" i="13"/>
  <c r="AU118" i="13"/>
  <c r="AU119" i="13"/>
  <c r="AU120" i="13"/>
  <c r="AU121" i="13"/>
  <c r="AU122" i="13"/>
  <c r="AU123" i="13"/>
  <c r="AU124" i="13"/>
  <c r="AU125" i="13"/>
  <c r="AU126" i="13"/>
  <c r="AU127" i="13"/>
  <c r="AU128" i="13"/>
  <c r="AU129" i="13"/>
  <c r="AU130" i="13"/>
  <c r="AU131" i="13"/>
  <c r="AU132" i="13"/>
  <c r="AU133" i="13"/>
  <c r="AU134" i="13"/>
  <c r="AU135" i="13"/>
  <c r="AU136" i="13"/>
  <c r="AU137" i="13"/>
  <c r="AU138" i="13"/>
  <c r="AU139" i="13"/>
  <c r="AU140" i="13"/>
  <c r="AU141" i="13"/>
  <c r="AU142" i="13"/>
  <c r="AU143" i="13"/>
  <c r="AU144" i="13"/>
  <c r="AU145" i="13"/>
  <c r="AU146" i="13"/>
  <c r="AU147" i="13"/>
  <c r="AU148" i="13"/>
  <c r="AU149" i="13"/>
  <c r="AU150" i="13"/>
  <c r="AU151" i="13"/>
  <c r="AU152" i="13"/>
  <c r="AU153" i="13"/>
  <c r="AU154" i="13"/>
  <c r="AU155" i="13"/>
  <c r="AU156" i="13"/>
  <c r="AU157" i="13"/>
  <c r="AU158" i="13"/>
  <c r="AU159" i="13"/>
  <c r="AU160" i="13"/>
  <c r="AU161" i="13"/>
  <c r="AU162" i="13"/>
  <c r="AU163" i="13"/>
  <c r="AU164" i="13"/>
  <c r="AU165" i="13"/>
  <c r="AU166" i="13"/>
  <c r="AU167" i="13"/>
  <c r="AU168" i="13"/>
  <c r="AU169" i="13"/>
  <c r="AU170" i="13"/>
  <c r="AU171" i="13"/>
  <c r="AU172" i="13"/>
  <c r="AU173" i="13"/>
  <c r="AU174" i="13"/>
  <c r="AU175" i="13"/>
  <c r="AU176" i="13"/>
  <c r="AU177" i="13"/>
  <c r="AU178" i="13"/>
  <c r="AU179" i="13"/>
  <c r="AU180" i="13"/>
  <c r="AU181" i="13"/>
  <c r="AU182" i="13"/>
  <c r="AU183" i="13"/>
  <c r="AU184" i="13"/>
  <c r="AU185" i="13"/>
  <c r="AU186" i="13"/>
  <c r="AU187" i="13"/>
  <c r="AU188" i="13"/>
  <c r="AU189" i="13"/>
  <c r="AU190" i="13"/>
  <c r="AU191" i="13"/>
  <c r="AU192" i="13"/>
  <c r="AU193" i="13"/>
  <c r="AU194" i="13"/>
  <c r="AU195" i="13"/>
  <c r="AU196" i="13"/>
  <c r="AU197" i="13"/>
  <c r="AU198" i="13"/>
  <c r="AU199" i="13"/>
  <c r="AU200" i="13"/>
  <c r="AU201" i="13"/>
  <c r="AU202" i="13"/>
  <c r="AU203" i="13"/>
  <c r="AU204" i="13"/>
  <c r="AU205" i="13"/>
  <c r="AU206" i="13"/>
  <c r="AU207" i="13"/>
  <c r="AU208" i="13"/>
  <c r="AU209" i="13"/>
  <c r="AU210" i="13"/>
  <c r="AU211" i="13"/>
  <c r="AU212" i="13"/>
  <c r="AU213" i="13"/>
  <c r="AU214" i="13"/>
  <c r="AU215" i="13"/>
  <c r="AU216" i="13"/>
  <c r="AU217" i="13"/>
  <c r="AU218" i="13"/>
  <c r="AU219" i="13"/>
  <c r="AU220" i="13"/>
  <c r="AU221" i="13"/>
  <c r="AU222" i="13"/>
  <c r="AU223" i="13"/>
  <c r="AU224" i="13"/>
  <c r="AU225" i="13"/>
  <c r="AU226" i="13"/>
  <c r="AU227" i="13"/>
  <c r="AU228" i="13"/>
  <c r="AU229" i="13"/>
  <c r="AU230" i="13"/>
  <c r="AU231" i="13"/>
  <c r="AU232" i="13"/>
  <c r="AU233" i="13"/>
  <c r="AU234" i="13"/>
  <c r="AU235" i="13"/>
  <c r="AU236" i="13"/>
  <c r="AU237" i="13"/>
  <c r="AU238" i="13"/>
  <c r="AU239" i="13"/>
  <c r="AU240" i="13"/>
  <c r="AU241" i="13"/>
  <c r="AU242" i="13"/>
  <c r="AU243" i="13"/>
  <c r="AU244" i="13"/>
  <c r="AU245" i="13"/>
  <c r="AU246" i="13"/>
  <c r="AU247" i="13"/>
  <c r="AU248" i="13"/>
  <c r="AU249" i="13"/>
  <c r="AU250" i="13"/>
  <c r="AU251" i="13"/>
  <c r="AU252" i="13"/>
  <c r="AU253" i="13"/>
  <c r="AU254" i="13"/>
  <c r="AU255" i="13"/>
  <c r="AU256" i="13"/>
  <c r="AU257" i="13"/>
  <c r="AU258" i="13"/>
  <c r="AU259" i="13"/>
  <c r="AU260" i="13"/>
  <c r="AU261" i="13"/>
  <c r="AU262" i="13"/>
  <c r="AU263" i="13"/>
  <c r="AU264" i="13"/>
  <c r="AU265" i="13"/>
  <c r="AU266" i="13"/>
  <c r="AU267" i="13"/>
  <c r="AU268" i="13"/>
  <c r="AU269" i="13"/>
  <c r="AU270" i="13"/>
  <c r="AU271" i="13"/>
  <c r="AU272" i="13"/>
  <c r="AU273" i="13"/>
  <c r="AU274" i="13"/>
  <c r="AU275" i="13"/>
  <c r="AU276" i="13"/>
  <c r="AU277" i="13"/>
  <c r="AU278" i="13"/>
  <c r="AU279" i="13"/>
  <c r="AU280" i="13"/>
  <c r="AU281" i="13"/>
  <c r="AU282" i="13"/>
  <c r="AU283" i="13"/>
  <c r="AU284" i="13"/>
  <c r="AU285" i="13"/>
  <c r="AU286" i="13"/>
  <c r="AU287" i="13"/>
  <c r="AU288" i="13"/>
  <c r="AU289" i="13"/>
  <c r="AU290" i="13"/>
  <c r="AU291" i="13"/>
  <c r="AU292" i="13"/>
  <c r="AU293" i="13"/>
  <c r="AU294" i="13"/>
  <c r="AU295" i="13"/>
  <c r="AU296" i="13"/>
  <c r="AU297" i="13"/>
  <c r="AU298" i="13"/>
  <c r="AU299" i="13"/>
  <c r="AU300" i="13"/>
  <c r="AU301" i="13"/>
  <c r="AU302" i="13"/>
  <c r="AU303" i="13"/>
  <c r="AU304" i="13"/>
  <c r="AU305" i="13"/>
  <c r="AU306" i="13"/>
  <c r="AU307" i="13"/>
  <c r="AU308" i="13"/>
  <c r="AU309" i="13"/>
  <c r="AU310" i="13"/>
  <c r="AU311" i="13"/>
  <c r="AU312" i="13"/>
  <c r="AU313" i="13"/>
  <c r="AU314" i="13"/>
  <c r="AU315" i="13"/>
  <c r="AU316" i="13"/>
  <c r="AU317" i="13"/>
  <c r="AU318" i="13"/>
  <c r="AU319" i="13"/>
  <c r="AU320" i="13"/>
  <c r="AU321" i="13"/>
  <c r="AU322" i="13"/>
  <c r="AU323" i="13"/>
  <c r="AU324" i="13"/>
  <c r="AU325" i="13"/>
  <c r="AU326" i="13"/>
  <c r="AU327" i="13"/>
  <c r="AU328" i="13"/>
  <c r="AU329" i="13"/>
  <c r="AU330" i="13"/>
  <c r="AU331" i="13"/>
  <c r="AU332" i="13"/>
  <c r="AU333" i="13"/>
  <c r="AU334" i="13"/>
  <c r="AU335" i="13"/>
  <c r="AU336" i="13"/>
  <c r="AU337" i="13"/>
  <c r="AU338" i="13"/>
  <c r="AU339" i="13"/>
  <c r="AU340" i="13"/>
  <c r="AU341" i="13"/>
  <c r="AU342" i="13"/>
  <c r="AU343" i="13"/>
  <c r="AU344" i="13"/>
  <c r="AU345" i="13"/>
  <c r="AU346" i="13"/>
  <c r="AU347" i="13"/>
  <c r="AU348" i="13"/>
  <c r="AU349" i="13"/>
  <c r="AU350" i="13"/>
  <c r="AU351" i="13"/>
  <c r="AU352" i="13"/>
  <c r="AU353" i="13"/>
  <c r="AU354" i="13"/>
  <c r="AU355" i="13"/>
  <c r="AU356" i="13"/>
  <c r="AU357" i="13"/>
  <c r="AU358" i="13"/>
  <c r="AU359" i="13"/>
  <c r="AU360" i="13"/>
  <c r="AU361" i="13"/>
  <c r="AU362" i="13"/>
  <c r="AU363" i="13"/>
  <c r="AU364" i="13"/>
  <c r="AU365" i="13"/>
  <c r="AU366" i="13"/>
  <c r="AU367" i="13"/>
  <c r="AU368" i="13"/>
  <c r="AU369" i="13"/>
  <c r="AU370" i="13"/>
  <c r="AU371" i="13"/>
  <c r="AU372" i="13"/>
  <c r="AU373" i="13"/>
  <c r="AU374" i="13"/>
  <c r="AU375" i="13"/>
  <c r="AU376" i="13"/>
  <c r="AU377" i="13"/>
  <c r="AU378" i="13"/>
  <c r="AU379" i="13"/>
  <c r="AU380" i="13"/>
  <c r="AU381" i="13"/>
  <c r="AU382" i="13"/>
  <c r="AU383" i="13"/>
  <c r="AU384" i="13"/>
  <c r="AU385" i="13"/>
  <c r="AU386" i="13"/>
  <c r="AU387" i="13"/>
  <c r="AU388" i="13"/>
  <c r="AU389" i="13"/>
  <c r="AU390" i="13"/>
  <c r="AU391" i="13"/>
  <c r="AU392" i="13"/>
  <c r="AU393" i="13"/>
  <c r="AU394" i="13"/>
  <c r="AU395" i="13"/>
  <c r="AU396" i="13"/>
  <c r="AU397" i="13"/>
  <c r="AU398" i="13"/>
  <c r="AU399" i="13"/>
  <c r="AU400" i="13"/>
  <c r="AU401" i="13"/>
  <c r="AU402" i="13"/>
  <c r="AU403" i="13"/>
  <c r="AU404" i="13"/>
  <c r="AU405" i="13"/>
  <c r="AU406" i="13"/>
  <c r="AU407" i="13"/>
  <c r="AU408" i="13"/>
  <c r="AU409" i="13"/>
  <c r="AU410" i="13"/>
  <c r="AU411" i="13"/>
  <c r="AU412" i="13"/>
  <c r="AU413" i="13"/>
  <c r="AU414" i="13"/>
  <c r="AU415" i="13"/>
  <c r="AU416" i="13"/>
  <c r="AU417" i="13"/>
  <c r="AU418" i="13"/>
  <c r="AU419" i="13"/>
  <c r="AU420" i="13"/>
  <c r="AU421" i="13"/>
  <c r="AU422" i="13"/>
  <c r="AU423" i="13"/>
  <c r="AU424" i="13"/>
  <c r="AU425" i="13"/>
  <c r="AU426" i="13"/>
  <c r="AU427" i="13"/>
  <c r="AU428" i="13"/>
  <c r="AU429" i="13"/>
  <c r="AU430" i="13"/>
  <c r="AU431" i="13"/>
  <c r="AU432" i="13"/>
  <c r="AU433" i="13"/>
  <c r="AU434" i="13"/>
  <c r="AU435" i="13"/>
  <c r="AU436" i="13"/>
  <c r="AU437" i="13"/>
  <c r="AU438" i="13"/>
  <c r="AU439" i="13"/>
  <c r="AU440" i="13"/>
  <c r="AU441" i="13"/>
  <c r="AU442" i="13"/>
  <c r="AU443" i="13"/>
  <c r="AU444" i="13"/>
  <c r="AU445" i="13"/>
  <c r="AU446" i="13"/>
  <c r="AU447" i="13"/>
  <c r="AU448" i="13"/>
  <c r="AU449" i="13"/>
  <c r="AU450" i="13"/>
  <c r="AU451" i="13"/>
  <c r="AU452" i="13"/>
  <c r="AU453" i="13"/>
  <c r="AU454" i="13"/>
  <c r="AU455" i="13"/>
  <c r="AU456" i="13"/>
  <c r="AU457" i="13"/>
  <c r="AU458" i="13"/>
  <c r="AU459" i="13"/>
  <c r="AU460" i="13"/>
  <c r="AU461" i="13"/>
  <c r="AU462" i="13"/>
  <c r="AU463" i="13"/>
  <c r="AU464" i="13"/>
  <c r="AU465" i="13"/>
  <c r="AU466" i="13"/>
  <c r="AU467" i="13"/>
  <c r="AU468" i="13"/>
  <c r="AU469" i="13"/>
  <c r="AU470" i="13"/>
  <c r="AU471" i="13"/>
  <c r="AU472" i="13"/>
  <c r="AU473" i="13"/>
  <c r="AU474" i="13"/>
  <c r="AU475" i="13"/>
  <c r="AU476" i="13"/>
  <c r="AU477" i="13"/>
  <c r="AU478" i="13"/>
  <c r="AU479" i="13"/>
  <c r="AU480" i="13"/>
  <c r="AU481" i="13"/>
  <c r="AU482" i="13"/>
  <c r="AU483" i="13"/>
  <c r="AU484" i="13"/>
  <c r="AU485" i="13"/>
  <c r="AU486" i="13"/>
  <c r="AU487" i="13"/>
  <c r="AU488" i="13"/>
  <c r="AU489" i="13"/>
  <c r="AU490" i="13"/>
  <c r="AU491" i="13"/>
  <c r="AU492" i="13"/>
  <c r="AU493" i="13"/>
  <c r="AU494" i="13"/>
  <c r="AU495" i="13"/>
  <c r="AU496" i="13"/>
  <c r="AU497" i="13"/>
  <c r="AU498" i="13"/>
  <c r="AU499" i="13"/>
  <c r="AU500" i="13"/>
  <c r="AU501" i="13"/>
  <c r="AU502" i="13"/>
  <c r="AU503" i="13"/>
  <c r="AU504" i="13"/>
  <c r="AU505" i="13"/>
  <c r="AU506" i="13"/>
  <c r="AU507" i="13"/>
  <c r="AU508" i="13"/>
  <c r="AU509" i="13"/>
  <c r="AU510" i="13"/>
  <c r="AU511" i="13"/>
  <c r="AU512" i="13"/>
  <c r="AU513" i="13"/>
  <c r="AU514" i="13"/>
  <c r="AU515" i="13"/>
  <c r="AU516" i="13"/>
  <c r="AU517" i="13"/>
  <c r="AU518" i="13"/>
  <c r="AU519" i="13"/>
  <c r="AU520" i="13"/>
  <c r="AU521" i="13"/>
  <c r="AU522" i="13"/>
  <c r="AU523" i="13"/>
  <c r="AU524" i="13"/>
  <c r="AU525" i="13"/>
  <c r="AU526" i="13"/>
  <c r="AU527" i="13"/>
  <c r="AU528" i="13"/>
  <c r="AU529" i="13"/>
  <c r="AU530" i="13"/>
  <c r="AU531" i="13"/>
  <c r="AU532" i="13"/>
  <c r="AU533" i="13"/>
  <c r="AU534" i="13"/>
  <c r="AU535" i="13"/>
  <c r="AU536" i="13"/>
  <c r="AU537" i="13"/>
  <c r="AU538" i="13"/>
  <c r="AU539" i="13"/>
  <c r="AU540" i="13"/>
  <c r="AU541" i="13"/>
  <c r="AU542" i="13"/>
  <c r="AU543" i="13"/>
  <c r="AU544" i="13"/>
  <c r="AU545" i="13"/>
  <c r="AU546" i="13"/>
  <c r="AU547" i="13"/>
  <c r="AU548" i="13"/>
  <c r="AU549" i="13"/>
  <c r="AU550" i="13"/>
  <c r="AU551" i="13"/>
  <c r="AU552" i="13"/>
  <c r="AU553" i="13"/>
  <c r="AU554" i="13"/>
  <c r="AU555" i="13"/>
  <c r="AU556" i="13"/>
  <c r="AU557" i="13"/>
  <c r="AU558" i="13"/>
  <c r="AU559" i="13"/>
  <c r="AU560" i="13"/>
  <c r="AU561" i="13"/>
  <c r="AU562" i="13"/>
  <c r="AU563" i="13"/>
  <c r="AU564" i="13"/>
  <c r="AU565" i="13"/>
  <c r="AU566" i="13"/>
  <c r="AU567" i="13"/>
  <c r="AU568" i="13"/>
  <c r="AU569" i="13"/>
  <c r="AU570" i="13"/>
  <c r="AU571" i="13"/>
  <c r="AU572" i="13"/>
  <c r="AU573" i="13"/>
  <c r="AU574" i="13"/>
  <c r="AU575" i="13"/>
  <c r="AU576" i="13"/>
  <c r="AU577" i="13"/>
  <c r="AU578" i="13"/>
  <c r="AU579" i="13"/>
  <c r="AU580" i="13"/>
  <c r="AU581" i="13"/>
  <c r="AU582" i="13"/>
  <c r="AU583" i="13"/>
  <c r="AU584" i="13"/>
  <c r="AU585" i="13"/>
  <c r="AU586" i="13"/>
  <c r="AU587" i="13"/>
  <c r="AU588" i="13"/>
  <c r="AU589" i="13"/>
  <c r="AU590" i="13"/>
  <c r="AU591" i="13"/>
  <c r="AU592" i="13"/>
  <c r="AU593" i="13"/>
  <c r="AU594" i="13"/>
  <c r="AU595" i="13"/>
  <c r="AU596" i="13"/>
  <c r="AU597" i="13"/>
  <c r="AU598" i="13"/>
  <c r="AU599" i="13"/>
  <c r="AU600" i="13"/>
  <c r="AU601" i="13"/>
  <c r="AU602" i="13"/>
  <c r="AU603" i="13"/>
  <c r="AU604" i="13"/>
  <c r="AU605" i="13"/>
  <c r="AU606" i="13"/>
  <c r="AU607" i="13"/>
  <c r="AU608" i="13"/>
  <c r="AU609" i="13"/>
  <c r="AU610" i="13"/>
  <c r="AU611" i="13"/>
  <c r="AU612" i="13"/>
  <c r="AU613" i="13"/>
  <c r="AU614" i="13"/>
  <c r="AU615" i="13"/>
  <c r="AU616" i="13"/>
  <c r="AU617" i="13"/>
  <c r="AU618" i="13"/>
  <c r="AU619" i="13"/>
  <c r="AU620" i="13"/>
  <c r="AU621" i="13"/>
  <c r="AU622" i="13"/>
  <c r="AU623" i="13"/>
  <c r="AU624" i="13"/>
  <c r="AU625" i="13"/>
  <c r="AU626" i="13"/>
  <c r="AU2" i="13"/>
  <c r="BC5" i="7"/>
  <c r="BC6" i="7"/>
  <c r="BC7" i="7"/>
  <c r="BC8" i="7"/>
  <c r="BC9" i="7"/>
  <c r="BC10" i="7"/>
  <c r="BC11" i="7"/>
  <c r="BC12" i="7"/>
  <c r="BC13" i="7"/>
  <c r="BC14" i="7"/>
  <c r="BC15" i="7"/>
  <c r="BC16" i="7"/>
  <c r="BC17" i="7"/>
  <c r="BC18" i="7"/>
  <c r="BC19" i="7"/>
  <c r="BC20" i="7"/>
  <c r="BC21" i="7"/>
  <c r="BC22" i="7"/>
  <c r="BC23" i="7"/>
  <c r="BC24" i="7"/>
  <c r="BC25" i="7"/>
  <c r="BC26" i="7"/>
  <c r="BC27" i="7"/>
  <c r="BC28" i="7"/>
  <c r="BC29" i="7"/>
  <c r="BC30" i="7"/>
  <c r="BC31" i="7"/>
  <c r="BC32" i="7"/>
  <c r="BC33" i="7"/>
  <c r="BC34" i="7"/>
  <c r="BC35" i="7"/>
  <c r="BC36" i="7"/>
  <c r="BC37" i="7"/>
  <c r="BC38" i="7"/>
  <c r="BC39" i="7"/>
  <c r="BC40" i="7"/>
  <c r="BC41" i="7"/>
  <c r="BC42" i="7"/>
  <c r="BC43" i="7"/>
  <c r="BC44" i="7"/>
  <c r="BC45" i="7"/>
  <c r="BC46" i="7"/>
  <c r="BC47" i="7"/>
  <c r="BC48" i="7"/>
  <c r="BC49" i="7"/>
  <c r="BC50" i="7"/>
  <c r="BC51" i="7"/>
  <c r="BC52" i="7"/>
  <c r="BC53" i="7"/>
  <c r="BC54" i="7"/>
  <c r="BC55" i="7"/>
  <c r="BC56" i="7"/>
  <c r="BC57" i="7"/>
  <c r="BC58" i="7"/>
  <c r="BC59" i="7"/>
  <c r="BC60" i="7"/>
  <c r="BC61" i="7"/>
  <c r="BC62" i="7"/>
  <c r="BC63" i="7"/>
  <c r="BC64" i="7"/>
  <c r="BC65" i="7"/>
  <c r="BC66" i="7"/>
  <c r="BC67" i="7"/>
  <c r="BC68" i="7"/>
  <c r="BC69" i="7"/>
  <c r="BC70" i="7"/>
  <c r="BC71" i="7"/>
  <c r="BC72" i="7"/>
  <c r="BC73" i="7"/>
  <c r="BC74" i="7"/>
  <c r="BC75" i="7"/>
  <c r="BC76" i="7"/>
  <c r="BC77" i="7"/>
  <c r="BC78" i="7"/>
  <c r="BC79" i="7"/>
  <c r="BC80" i="7"/>
  <c r="BC81" i="7"/>
  <c r="BC82" i="7"/>
  <c r="BC83" i="7"/>
  <c r="BC84" i="7"/>
  <c r="BC85" i="7"/>
  <c r="BC86" i="7"/>
  <c r="BC87" i="7"/>
  <c r="BC88" i="7"/>
  <c r="BC89" i="7"/>
  <c r="BC90" i="7"/>
  <c r="BC91" i="7"/>
  <c r="BC92" i="7"/>
  <c r="BC93" i="7"/>
  <c r="BC94" i="7"/>
  <c r="BC95" i="7"/>
  <c r="BC96" i="7"/>
  <c r="BC97" i="7"/>
  <c r="BC98" i="7"/>
  <c r="BC99" i="7"/>
  <c r="BC100" i="7"/>
  <c r="BC101" i="7"/>
  <c r="BC102" i="7"/>
  <c r="BC103" i="7"/>
  <c r="BC104" i="7"/>
  <c r="BC105" i="7"/>
  <c r="BC106" i="7"/>
  <c r="BC107" i="7"/>
  <c r="BC108" i="7"/>
  <c r="BC109" i="7"/>
  <c r="BC110" i="7"/>
  <c r="BC111" i="7"/>
  <c r="BC112" i="7"/>
  <c r="BC113" i="7"/>
  <c r="BC114" i="7"/>
  <c r="BC115" i="7"/>
  <c r="BC116" i="7"/>
  <c r="BC117" i="7"/>
  <c r="BC118" i="7"/>
  <c r="BC119" i="7"/>
  <c r="BC120" i="7"/>
  <c r="BC121" i="7"/>
  <c r="BC122" i="7"/>
  <c r="BC123" i="7"/>
  <c r="BC124" i="7"/>
  <c r="BC125" i="7"/>
  <c r="BC126" i="7"/>
  <c r="BC127" i="7"/>
  <c r="BC128" i="7"/>
  <c r="BC129" i="7"/>
  <c r="BC130" i="7"/>
  <c r="BC131" i="7"/>
  <c r="BC132" i="7"/>
  <c r="BC133" i="7"/>
  <c r="BC134" i="7"/>
  <c r="BC135" i="7"/>
  <c r="BC136" i="7"/>
  <c r="BC137" i="7"/>
  <c r="BC138" i="7"/>
  <c r="BC139" i="7"/>
  <c r="BC140" i="7"/>
  <c r="BC141" i="7"/>
  <c r="BC142" i="7"/>
  <c r="BC143" i="7"/>
  <c r="BC144" i="7"/>
  <c r="BC145" i="7"/>
  <c r="BC146" i="7"/>
  <c r="BC147" i="7"/>
  <c r="BC148" i="7"/>
  <c r="BC149" i="7"/>
  <c r="BC150" i="7"/>
  <c r="BC151" i="7"/>
  <c r="BC152" i="7"/>
  <c r="BC153" i="7"/>
  <c r="BC154" i="7"/>
  <c r="BC155" i="7"/>
  <c r="BC156" i="7"/>
  <c r="BC157" i="7"/>
  <c r="BC158" i="7"/>
  <c r="BC159" i="7"/>
  <c r="BC160" i="7"/>
  <c r="BC161" i="7"/>
  <c r="BC162" i="7"/>
  <c r="BC163" i="7"/>
  <c r="BC164" i="7"/>
  <c r="BC165" i="7"/>
  <c r="BC166" i="7"/>
  <c r="BC167" i="7"/>
  <c r="BC168" i="7"/>
  <c r="BC169" i="7"/>
  <c r="BC170" i="7"/>
  <c r="BC171" i="7"/>
  <c r="BC172" i="7"/>
  <c r="BC173" i="7"/>
  <c r="BC174" i="7"/>
  <c r="BC175" i="7"/>
  <c r="BC176" i="7"/>
  <c r="BC177" i="7"/>
  <c r="BC178" i="7"/>
  <c r="BC179" i="7"/>
  <c r="BC180" i="7"/>
  <c r="BC181" i="7"/>
  <c r="BC182" i="7"/>
  <c r="BC183" i="7"/>
  <c r="BC184" i="7"/>
  <c r="BC185" i="7"/>
  <c r="BC186" i="7"/>
  <c r="BC187" i="7"/>
  <c r="BC188" i="7"/>
  <c r="BC189" i="7"/>
  <c r="BC190" i="7"/>
  <c r="BC191" i="7"/>
  <c r="BC192" i="7"/>
  <c r="BC193" i="7"/>
  <c r="BC194" i="7"/>
  <c r="BC195" i="7"/>
  <c r="BC196" i="7"/>
  <c r="BC197" i="7"/>
  <c r="BC198" i="7"/>
  <c r="BC199" i="7"/>
  <c r="BC200" i="7"/>
  <c r="BC201" i="7"/>
  <c r="BC202" i="7"/>
  <c r="BC203" i="7"/>
  <c r="BC204" i="7"/>
  <c r="BC205" i="7"/>
  <c r="BC206" i="7"/>
  <c r="BC207" i="7"/>
  <c r="BC208" i="7"/>
  <c r="BC209" i="7"/>
  <c r="BC210" i="7"/>
  <c r="BC211" i="7"/>
  <c r="BC212" i="7"/>
  <c r="BC213" i="7"/>
  <c r="BC214" i="7"/>
  <c r="BC215" i="7"/>
  <c r="BC216" i="7"/>
  <c r="BC217" i="7"/>
  <c r="BC218" i="7"/>
  <c r="BC219" i="7"/>
  <c r="BC220" i="7"/>
  <c r="BC221" i="7"/>
  <c r="BC222" i="7"/>
  <c r="BC223" i="7"/>
  <c r="BC224" i="7"/>
  <c r="BC225" i="7"/>
  <c r="BC226" i="7"/>
  <c r="BC227" i="7"/>
  <c r="BC228" i="7"/>
  <c r="BC229" i="7"/>
  <c r="BC230" i="7"/>
  <c r="BC231" i="7"/>
  <c r="BC232" i="7"/>
  <c r="BC233" i="7"/>
  <c r="BC234" i="7"/>
  <c r="BC235" i="7"/>
  <c r="BC236" i="7"/>
  <c r="BC237" i="7"/>
  <c r="BC238" i="7"/>
  <c r="BC239" i="7"/>
  <c r="BC240" i="7"/>
  <c r="BC241" i="7"/>
  <c r="BC242" i="7"/>
  <c r="BC243" i="7"/>
  <c r="BC244" i="7"/>
  <c r="BC245" i="7"/>
  <c r="BC246" i="7"/>
  <c r="BC247" i="7"/>
  <c r="BC248" i="7"/>
  <c r="BC249" i="7"/>
  <c r="BC250" i="7"/>
  <c r="BC251" i="7"/>
  <c r="BC252" i="7"/>
  <c r="BC253" i="7"/>
  <c r="BC254" i="7"/>
  <c r="BC255" i="7"/>
  <c r="BC256" i="7"/>
  <c r="BC257" i="7"/>
  <c r="BC258" i="7"/>
  <c r="BC259" i="7"/>
  <c r="BC260" i="7"/>
  <c r="BC261" i="7"/>
  <c r="BC262" i="7"/>
  <c r="BC263" i="7"/>
  <c r="BC264" i="7"/>
  <c r="BC265" i="7"/>
  <c r="BC266" i="7"/>
  <c r="BC267" i="7"/>
  <c r="BC268" i="7"/>
  <c r="BC269" i="7"/>
  <c r="BC270" i="7"/>
  <c r="BC271" i="7"/>
  <c r="BC272" i="7"/>
  <c r="BC273" i="7"/>
  <c r="BC274" i="7"/>
  <c r="BC275" i="7"/>
  <c r="BC276" i="7"/>
  <c r="BC277" i="7"/>
  <c r="BC278" i="7"/>
  <c r="BC279" i="7"/>
  <c r="BC280" i="7"/>
  <c r="BC281" i="7"/>
  <c r="BC282" i="7"/>
  <c r="BC283" i="7"/>
  <c r="BC284" i="7"/>
  <c r="BC285" i="7"/>
  <c r="BC286" i="7"/>
  <c r="BC287" i="7"/>
  <c r="BC288" i="7"/>
  <c r="BC289" i="7"/>
  <c r="BC290" i="7"/>
  <c r="BC291" i="7"/>
  <c r="BC292" i="7"/>
  <c r="BC293" i="7"/>
  <c r="BC294" i="7"/>
  <c r="BC295" i="7"/>
  <c r="BC296" i="7"/>
  <c r="BC297" i="7"/>
  <c r="BC298" i="7"/>
  <c r="BC299" i="7"/>
  <c r="BC300" i="7"/>
  <c r="BC301" i="7"/>
  <c r="BC302" i="7"/>
  <c r="BC303" i="7"/>
  <c r="BC304" i="7"/>
  <c r="BC305" i="7"/>
  <c r="BC306" i="7"/>
  <c r="BC307" i="7"/>
  <c r="BC308" i="7"/>
  <c r="BC309" i="7"/>
  <c r="BC310" i="7"/>
  <c r="BC311" i="7"/>
  <c r="BC312" i="7"/>
  <c r="BC313" i="7"/>
  <c r="BC314" i="7"/>
  <c r="BC315" i="7"/>
  <c r="BC316" i="7"/>
  <c r="BC317" i="7"/>
  <c r="BC318" i="7"/>
  <c r="BC319" i="7"/>
  <c r="BC320" i="7"/>
  <c r="BC321" i="7"/>
  <c r="BC322" i="7"/>
  <c r="BC323" i="7"/>
  <c r="BC324" i="7"/>
  <c r="BC325" i="7"/>
  <c r="BC326" i="7"/>
  <c r="BC327" i="7"/>
  <c r="BC328" i="7"/>
  <c r="BC329" i="7"/>
  <c r="BC330" i="7"/>
  <c r="BC331" i="7"/>
  <c r="BC332" i="7"/>
  <c r="BC333" i="7"/>
  <c r="BC334" i="7"/>
  <c r="BC335" i="7"/>
  <c r="BC336" i="7"/>
  <c r="BC337" i="7"/>
  <c r="BC338" i="7"/>
  <c r="BC339" i="7"/>
  <c r="BC340" i="7"/>
  <c r="BC341" i="7"/>
  <c r="BC342" i="7"/>
  <c r="BC343" i="7"/>
  <c r="BC344" i="7"/>
  <c r="BC345" i="7"/>
  <c r="BC346" i="7"/>
  <c r="BC347" i="7"/>
  <c r="BC348" i="7"/>
  <c r="BC349" i="7"/>
  <c r="BC350" i="7"/>
  <c r="BC351" i="7"/>
  <c r="BC352" i="7"/>
  <c r="BC353" i="7"/>
  <c r="BC354" i="7"/>
  <c r="BC355" i="7"/>
  <c r="BC356" i="7"/>
  <c r="BC357" i="7"/>
  <c r="BC358" i="7"/>
  <c r="BC359" i="7"/>
  <c r="BC360" i="7"/>
  <c r="BC361" i="7"/>
  <c r="BC362" i="7"/>
  <c r="BC363" i="7"/>
  <c r="BC364" i="7"/>
  <c r="BC365" i="7"/>
  <c r="BC366" i="7"/>
  <c r="BC367" i="7"/>
  <c r="BC368" i="7"/>
  <c r="BC369" i="7"/>
  <c r="BC370" i="7"/>
  <c r="BC371" i="7"/>
  <c r="BC372" i="7"/>
  <c r="BC373" i="7"/>
  <c r="BC374" i="7"/>
  <c r="BC375" i="7"/>
  <c r="BC376" i="7"/>
  <c r="BC377" i="7"/>
  <c r="BC378" i="7"/>
  <c r="BC379" i="7"/>
  <c r="BC380" i="7"/>
  <c r="BC381" i="7"/>
  <c r="BC382" i="7"/>
  <c r="BC383" i="7"/>
  <c r="BC384" i="7"/>
  <c r="BC385" i="7"/>
  <c r="BC386" i="7"/>
  <c r="BC387" i="7"/>
  <c r="BC388" i="7"/>
  <c r="BC389" i="7"/>
  <c r="BC390" i="7"/>
  <c r="BC391" i="7"/>
  <c r="BC392" i="7"/>
  <c r="BC393" i="7"/>
  <c r="BC394" i="7"/>
  <c r="BC395" i="7"/>
  <c r="BC396" i="7"/>
  <c r="BC397" i="7"/>
  <c r="BC398" i="7"/>
  <c r="BC399" i="7"/>
  <c r="BC400" i="7"/>
  <c r="BC401" i="7"/>
  <c r="BC402" i="7"/>
  <c r="BC403" i="7"/>
  <c r="BC404" i="7"/>
  <c r="BC405" i="7"/>
  <c r="BC406" i="7"/>
  <c r="BC407" i="7"/>
  <c r="BC408" i="7"/>
  <c r="BC409" i="7"/>
  <c r="BC410" i="7"/>
  <c r="BC411" i="7"/>
  <c r="BC412" i="7"/>
  <c r="BC413" i="7"/>
  <c r="BC414" i="7"/>
  <c r="BC415" i="7"/>
  <c r="BC416" i="7"/>
  <c r="BC417" i="7"/>
  <c r="BC418" i="7"/>
  <c r="BC419" i="7"/>
  <c r="BC420" i="7"/>
  <c r="BC421" i="7"/>
  <c r="BC422" i="7"/>
  <c r="BC423" i="7"/>
  <c r="BC424" i="7"/>
  <c r="BC425" i="7"/>
  <c r="BC426" i="7"/>
  <c r="BC427" i="7"/>
  <c r="BC428" i="7"/>
  <c r="BC429" i="7"/>
  <c r="BC430" i="7"/>
  <c r="BC431" i="7"/>
  <c r="BC432" i="7"/>
  <c r="BC433" i="7"/>
  <c r="BC434" i="7"/>
  <c r="BC435" i="7"/>
  <c r="BC436" i="7"/>
  <c r="BC437" i="7"/>
  <c r="BC438" i="7"/>
  <c r="BC439" i="7"/>
  <c r="BC440" i="7"/>
  <c r="BC441" i="7"/>
  <c r="BC442" i="7"/>
  <c r="BC443" i="7"/>
  <c r="BC444" i="7"/>
  <c r="BC445" i="7"/>
  <c r="BC446" i="7"/>
  <c r="BC447" i="7"/>
  <c r="BC448" i="7"/>
  <c r="BC449" i="7"/>
  <c r="BC450" i="7"/>
  <c r="BC451" i="7"/>
  <c r="BC452" i="7"/>
  <c r="BC453" i="7"/>
  <c r="BC454" i="7"/>
  <c r="BC455" i="7"/>
  <c r="BC456" i="7"/>
  <c r="BC457" i="7"/>
  <c r="BC458" i="7"/>
  <c r="BC459" i="7"/>
  <c r="BC460" i="7"/>
  <c r="BC461" i="7"/>
  <c r="BC462" i="7"/>
  <c r="BC463" i="7"/>
  <c r="BC464" i="7"/>
  <c r="BC465" i="7"/>
  <c r="BC466" i="7"/>
  <c r="BC467" i="7"/>
  <c r="BC468" i="7"/>
  <c r="BC469" i="7"/>
  <c r="BC470" i="7"/>
  <c r="BC471" i="7"/>
  <c r="BC472" i="7"/>
  <c r="BC473" i="7"/>
  <c r="BC474" i="7"/>
  <c r="BC475" i="7"/>
  <c r="BC476" i="7"/>
  <c r="BC477" i="7"/>
  <c r="BC478" i="7"/>
  <c r="BC479" i="7"/>
  <c r="BC480" i="7"/>
  <c r="BC481" i="7"/>
  <c r="BC482" i="7"/>
  <c r="BC483" i="7"/>
  <c r="BC484" i="7"/>
  <c r="BC485" i="7"/>
  <c r="BC486" i="7"/>
  <c r="BC487" i="7"/>
  <c r="BC488" i="7"/>
  <c r="BC489" i="7"/>
  <c r="BC490" i="7"/>
  <c r="BC491" i="7"/>
  <c r="BC492" i="7"/>
  <c r="BC493" i="7"/>
  <c r="BC494" i="7"/>
  <c r="BC495" i="7"/>
  <c r="BC496" i="7"/>
  <c r="BC497" i="7"/>
  <c r="BC498" i="7"/>
  <c r="BC499" i="7"/>
  <c r="BC500" i="7"/>
  <c r="BC501" i="7"/>
  <c r="BC502" i="7"/>
  <c r="BC503" i="7"/>
  <c r="BC504" i="7"/>
  <c r="BC505" i="7"/>
  <c r="BC506" i="7"/>
  <c r="BC507" i="7"/>
  <c r="BC508" i="7"/>
  <c r="BC509" i="7"/>
  <c r="BC510" i="7"/>
  <c r="BC511" i="7"/>
  <c r="BC512" i="7"/>
  <c r="BC513" i="7"/>
  <c r="BC514" i="7"/>
  <c r="BC515" i="7"/>
  <c r="BC516" i="7"/>
  <c r="BC517" i="7"/>
  <c r="BC518" i="7"/>
  <c r="BC519" i="7"/>
  <c r="BC520" i="7"/>
  <c r="BC521" i="7"/>
  <c r="BC522" i="7"/>
  <c r="BC523" i="7"/>
  <c r="BC524" i="7"/>
  <c r="BC525" i="7"/>
  <c r="BC526" i="7"/>
  <c r="BC527" i="7"/>
  <c r="BC528" i="7"/>
  <c r="BC529" i="7"/>
  <c r="BC530" i="7"/>
  <c r="BC531" i="7"/>
  <c r="BC532" i="7"/>
  <c r="BC533" i="7"/>
  <c r="BC534" i="7"/>
  <c r="BC535" i="7"/>
  <c r="BC536" i="7"/>
  <c r="BC537" i="7"/>
  <c r="BC538" i="7"/>
  <c r="BC539" i="7"/>
  <c r="BC540" i="7"/>
  <c r="BC541" i="7"/>
  <c r="BC542" i="7"/>
  <c r="BC543" i="7"/>
  <c r="BC544" i="7"/>
  <c r="BC545" i="7"/>
  <c r="BC546" i="7"/>
  <c r="BC547" i="7"/>
  <c r="BC548" i="7"/>
  <c r="BC549" i="7"/>
  <c r="BC550" i="7"/>
  <c r="BC551" i="7"/>
  <c r="BC552" i="7"/>
  <c r="BC553" i="7"/>
  <c r="BC554" i="7"/>
  <c r="BC555" i="7"/>
  <c r="BC556" i="7"/>
  <c r="BC557" i="7"/>
  <c r="BC558" i="7"/>
  <c r="BC559" i="7"/>
  <c r="BC560" i="7"/>
  <c r="BC561" i="7"/>
  <c r="BC562" i="7"/>
  <c r="BC563" i="7"/>
  <c r="BC564" i="7"/>
  <c r="BC565" i="7"/>
  <c r="BC566" i="7"/>
  <c r="BC567" i="7"/>
  <c r="BC568" i="7"/>
  <c r="BC569" i="7"/>
  <c r="BC570" i="7"/>
  <c r="BC571" i="7"/>
  <c r="BC572" i="7"/>
  <c r="BC573" i="7"/>
  <c r="BC574" i="7"/>
  <c r="BC575" i="7"/>
  <c r="BC576" i="7"/>
  <c r="BC577" i="7"/>
  <c r="BC578" i="7"/>
  <c r="BC579" i="7"/>
  <c r="BC580" i="7"/>
  <c r="BC581" i="7"/>
  <c r="BC582" i="7"/>
  <c r="BC583" i="7"/>
  <c r="BC584" i="7"/>
  <c r="BC585" i="7"/>
  <c r="BC586" i="7"/>
  <c r="BC587" i="7"/>
  <c r="BC588" i="7"/>
  <c r="BC589" i="7"/>
  <c r="BC590" i="7"/>
  <c r="BC591" i="7"/>
  <c r="BC592" i="7"/>
  <c r="BC593" i="7"/>
  <c r="BC594" i="7"/>
  <c r="BC595" i="7"/>
  <c r="BC596" i="7"/>
  <c r="BC597" i="7"/>
  <c r="BC598" i="7"/>
  <c r="BC599" i="7"/>
  <c r="BC600" i="7"/>
  <c r="BC601" i="7"/>
  <c r="BC602" i="7"/>
  <c r="BC603" i="7"/>
  <c r="BC604" i="7"/>
  <c r="BC605" i="7"/>
  <c r="BC606" i="7"/>
  <c r="BC607" i="7"/>
  <c r="BC608" i="7"/>
  <c r="BC609" i="7"/>
  <c r="BC610" i="7"/>
  <c r="BC611" i="7"/>
  <c r="BC612" i="7"/>
  <c r="BC613" i="7"/>
  <c r="BC614" i="7"/>
  <c r="BC615" i="7"/>
  <c r="BC616" i="7"/>
  <c r="BC617" i="7"/>
  <c r="BC618" i="7"/>
  <c r="BC619" i="7"/>
  <c r="BC620" i="7"/>
  <c r="BC621" i="7"/>
  <c r="BC622" i="7"/>
  <c r="BC623" i="7"/>
  <c r="BC624" i="7"/>
  <c r="BC625" i="7"/>
  <c r="BC626" i="7"/>
  <c r="BC627" i="7"/>
  <c r="BC628" i="7"/>
  <c r="BC4" i="7"/>
  <c r="BB4" i="7"/>
  <c r="BB5" i="7"/>
  <c r="BB6" i="7"/>
  <c r="BB7" i="7"/>
  <c r="BB8" i="7"/>
  <c r="BB9" i="7"/>
  <c r="BB10" i="7"/>
  <c r="BB11" i="7"/>
  <c r="BB12" i="7"/>
  <c r="BB13" i="7"/>
  <c r="BB14" i="7"/>
  <c r="BB15" i="7"/>
  <c r="BB16" i="7"/>
  <c r="BB17" i="7"/>
  <c r="BB18" i="7"/>
  <c r="BB19" i="7"/>
  <c r="BB20" i="7"/>
  <c r="BB21" i="7"/>
  <c r="BB22" i="7"/>
  <c r="BB23" i="7"/>
  <c r="BB24" i="7"/>
  <c r="BB25" i="7"/>
  <c r="BB26" i="7"/>
  <c r="BB27" i="7"/>
  <c r="BB28" i="7"/>
  <c r="BB29" i="7"/>
  <c r="BB30" i="7"/>
  <c r="BB31" i="7"/>
  <c r="BB32" i="7"/>
  <c r="BB33" i="7"/>
  <c r="BB34" i="7"/>
  <c r="BB35" i="7"/>
  <c r="BB36" i="7"/>
  <c r="BB37" i="7"/>
  <c r="BB38" i="7"/>
  <c r="BB39" i="7"/>
  <c r="BB40" i="7"/>
  <c r="BB41" i="7"/>
  <c r="BB42" i="7"/>
  <c r="BB43" i="7"/>
  <c r="BB44" i="7"/>
  <c r="BB45" i="7"/>
  <c r="BB46" i="7"/>
  <c r="BB47" i="7"/>
  <c r="BB48" i="7"/>
  <c r="BB49" i="7"/>
  <c r="BB50" i="7"/>
  <c r="BB51" i="7"/>
  <c r="BB52" i="7"/>
  <c r="BB53" i="7"/>
  <c r="BB54" i="7"/>
  <c r="BB55" i="7"/>
  <c r="BB56" i="7"/>
  <c r="BB57" i="7"/>
  <c r="BB58" i="7"/>
  <c r="BB59" i="7"/>
  <c r="BB60" i="7"/>
  <c r="BB61" i="7"/>
  <c r="BB62" i="7"/>
  <c r="BB63" i="7"/>
  <c r="BB64" i="7"/>
  <c r="BB65" i="7"/>
  <c r="BB66" i="7"/>
  <c r="BB67" i="7"/>
  <c r="BB68" i="7"/>
  <c r="BB69" i="7"/>
  <c r="BB70" i="7"/>
  <c r="BB71" i="7"/>
  <c r="BB72" i="7"/>
  <c r="BB73" i="7"/>
  <c r="BB74" i="7"/>
  <c r="BB75" i="7"/>
  <c r="BB76" i="7"/>
  <c r="BB77" i="7"/>
  <c r="BB78" i="7"/>
  <c r="BB79" i="7"/>
  <c r="BB80" i="7"/>
  <c r="BB81" i="7"/>
  <c r="BB82" i="7"/>
  <c r="BB83" i="7"/>
  <c r="BB84" i="7"/>
  <c r="BB85" i="7"/>
  <c r="BB86" i="7"/>
  <c r="BB87" i="7"/>
  <c r="BB88" i="7"/>
  <c r="BB89" i="7"/>
  <c r="BB90" i="7"/>
  <c r="BB91" i="7"/>
  <c r="BB92" i="7"/>
  <c r="BB93" i="7"/>
  <c r="BB94" i="7"/>
  <c r="BB95" i="7"/>
  <c r="BB96" i="7"/>
  <c r="BB97" i="7"/>
  <c r="BB98" i="7"/>
  <c r="BB99" i="7"/>
  <c r="BB100" i="7"/>
  <c r="BB101" i="7"/>
  <c r="BB102" i="7"/>
  <c r="BB103" i="7"/>
  <c r="BB104" i="7"/>
  <c r="BB105" i="7"/>
  <c r="BB106" i="7"/>
  <c r="BB107" i="7"/>
  <c r="BB108" i="7"/>
  <c r="BB109" i="7"/>
  <c r="BB110" i="7"/>
  <c r="BB111" i="7"/>
  <c r="BB112" i="7"/>
  <c r="BB113" i="7"/>
  <c r="BB114" i="7"/>
  <c r="BB115" i="7"/>
  <c r="BB116" i="7"/>
  <c r="BB117" i="7"/>
  <c r="BB118" i="7"/>
  <c r="BB119" i="7"/>
  <c r="BB120" i="7"/>
  <c r="BB121" i="7"/>
  <c r="BB122" i="7"/>
  <c r="BB123" i="7"/>
  <c r="BB124" i="7"/>
  <c r="BB125" i="7"/>
  <c r="BB126" i="7"/>
  <c r="BB127" i="7"/>
  <c r="BB128" i="7"/>
  <c r="BB129" i="7"/>
  <c r="BB130" i="7"/>
  <c r="BB131" i="7"/>
  <c r="BB132" i="7"/>
  <c r="BB133" i="7"/>
  <c r="BB134" i="7"/>
  <c r="BB135" i="7"/>
  <c r="BB136" i="7"/>
  <c r="BB137" i="7"/>
  <c r="BB138" i="7"/>
  <c r="BB139" i="7"/>
  <c r="BB140" i="7"/>
  <c r="BB141" i="7"/>
  <c r="BB142" i="7"/>
  <c r="BB143" i="7"/>
  <c r="BB144" i="7"/>
  <c r="BB145" i="7"/>
  <c r="BB146" i="7"/>
  <c r="BB147" i="7"/>
  <c r="BB148" i="7"/>
  <c r="BB149" i="7"/>
  <c r="BB150" i="7"/>
  <c r="BB151" i="7"/>
  <c r="BB152" i="7"/>
  <c r="BB153" i="7"/>
  <c r="BB154" i="7"/>
  <c r="BB155" i="7"/>
  <c r="BB156" i="7"/>
  <c r="BB157" i="7"/>
  <c r="BB158" i="7"/>
  <c r="BB159" i="7"/>
  <c r="BB160" i="7"/>
  <c r="BB161" i="7"/>
  <c r="BB162" i="7"/>
  <c r="BB163" i="7"/>
  <c r="BB164" i="7"/>
  <c r="BB165" i="7"/>
  <c r="BB166" i="7"/>
  <c r="BB167" i="7"/>
  <c r="BB168" i="7"/>
  <c r="BB169" i="7"/>
  <c r="BB170" i="7"/>
  <c r="BB171" i="7"/>
  <c r="BB172" i="7"/>
  <c r="BB173" i="7"/>
  <c r="BB174" i="7"/>
  <c r="BB175" i="7"/>
  <c r="BB176" i="7"/>
  <c r="BB177" i="7"/>
  <c r="BB178" i="7"/>
  <c r="BB179" i="7"/>
  <c r="BB180" i="7"/>
  <c r="BB181" i="7"/>
  <c r="BB182" i="7"/>
  <c r="BB183" i="7"/>
  <c r="BB184" i="7"/>
  <c r="BB185" i="7"/>
  <c r="BB186" i="7"/>
  <c r="BB187" i="7"/>
  <c r="BB188" i="7"/>
  <c r="BB189" i="7"/>
  <c r="BB190" i="7"/>
  <c r="BB191" i="7"/>
  <c r="BB192" i="7"/>
  <c r="BB193" i="7"/>
  <c r="BB194" i="7"/>
  <c r="BB195" i="7"/>
  <c r="BB196" i="7"/>
  <c r="BB197" i="7"/>
  <c r="BB198" i="7"/>
  <c r="BB199" i="7"/>
  <c r="BB200" i="7"/>
  <c r="BB201" i="7"/>
  <c r="BB202" i="7"/>
  <c r="BB203" i="7"/>
  <c r="BB204" i="7"/>
  <c r="BB205" i="7"/>
  <c r="BB206" i="7"/>
  <c r="BB207" i="7"/>
  <c r="BB208" i="7"/>
  <c r="BB209" i="7"/>
  <c r="BB210" i="7"/>
  <c r="BB211" i="7"/>
  <c r="BB212" i="7"/>
  <c r="BB213" i="7"/>
  <c r="BB214" i="7"/>
  <c r="BB215" i="7"/>
  <c r="BB216" i="7"/>
  <c r="BB217" i="7"/>
  <c r="BB218" i="7"/>
  <c r="BB219" i="7"/>
  <c r="BB220" i="7"/>
  <c r="BB221" i="7"/>
  <c r="BB222" i="7"/>
  <c r="BB223" i="7"/>
  <c r="BB224" i="7"/>
  <c r="BB225" i="7"/>
  <c r="BB226" i="7"/>
  <c r="BB227" i="7"/>
  <c r="BB228" i="7"/>
  <c r="BB229" i="7"/>
  <c r="BB230" i="7"/>
  <c r="BB231" i="7"/>
  <c r="BB232" i="7"/>
  <c r="BB233" i="7"/>
  <c r="BB234" i="7"/>
  <c r="BB235" i="7"/>
  <c r="BB236" i="7"/>
  <c r="BB237" i="7"/>
  <c r="BB238" i="7"/>
  <c r="BB239" i="7"/>
  <c r="BB240" i="7"/>
  <c r="BB241" i="7"/>
  <c r="BB242" i="7"/>
  <c r="BB243" i="7"/>
  <c r="BB244" i="7"/>
  <c r="BB245" i="7"/>
  <c r="BB246" i="7"/>
  <c r="BB247" i="7"/>
  <c r="BB248" i="7"/>
  <c r="BB249" i="7"/>
  <c r="BB250" i="7"/>
  <c r="BB251" i="7"/>
  <c r="BB252" i="7"/>
  <c r="BB253" i="7"/>
  <c r="BB254" i="7"/>
  <c r="BB255" i="7"/>
  <c r="BB256" i="7"/>
  <c r="BB257" i="7"/>
  <c r="BB258" i="7"/>
  <c r="BB259" i="7"/>
  <c r="BB260" i="7"/>
  <c r="BB261" i="7"/>
  <c r="BB262" i="7"/>
  <c r="BB263" i="7"/>
  <c r="BB264" i="7"/>
  <c r="BB265" i="7"/>
  <c r="BB266" i="7"/>
  <c r="BB267" i="7"/>
  <c r="BB268" i="7"/>
  <c r="BB269" i="7"/>
  <c r="BB270" i="7"/>
  <c r="BB271" i="7"/>
  <c r="BB272" i="7"/>
  <c r="BB273" i="7"/>
  <c r="BB274" i="7"/>
  <c r="BB275" i="7"/>
  <c r="BB276" i="7"/>
  <c r="BB277" i="7"/>
  <c r="BB278" i="7"/>
  <c r="BB279" i="7"/>
  <c r="BB280" i="7"/>
  <c r="BB281" i="7"/>
  <c r="BB282" i="7"/>
  <c r="BB283" i="7"/>
  <c r="BB284" i="7"/>
  <c r="BB285" i="7"/>
  <c r="BB286" i="7"/>
  <c r="BB287" i="7"/>
  <c r="BB288" i="7"/>
  <c r="BB289" i="7"/>
  <c r="BB290" i="7"/>
  <c r="BB291" i="7"/>
  <c r="BB292" i="7"/>
  <c r="BB293" i="7"/>
  <c r="BB294" i="7"/>
  <c r="BB295" i="7"/>
  <c r="BB296" i="7"/>
  <c r="BB297" i="7"/>
  <c r="BB298" i="7"/>
  <c r="BB299" i="7"/>
  <c r="BB300" i="7"/>
  <c r="BB301" i="7"/>
  <c r="BB302" i="7"/>
  <c r="BB303" i="7"/>
  <c r="BB304" i="7"/>
  <c r="BB305" i="7"/>
  <c r="BB306" i="7"/>
  <c r="BB307" i="7"/>
  <c r="BB308" i="7"/>
  <c r="BB309" i="7"/>
  <c r="BB310" i="7"/>
  <c r="BB311" i="7"/>
  <c r="BB312" i="7"/>
  <c r="BB313" i="7"/>
  <c r="BB314" i="7"/>
  <c r="BB315" i="7"/>
  <c r="BB316" i="7"/>
  <c r="BB317" i="7"/>
  <c r="BB318" i="7"/>
  <c r="BB319" i="7"/>
  <c r="BB320" i="7"/>
  <c r="BB321" i="7"/>
  <c r="BB322" i="7"/>
  <c r="BB323" i="7"/>
  <c r="BB324" i="7"/>
  <c r="BB325" i="7"/>
  <c r="BB326" i="7"/>
  <c r="BB327" i="7"/>
  <c r="BB328" i="7"/>
  <c r="BB329" i="7"/>
  <c r="BB330" i="7"/>
  <c r="BB331" i="7"/>
  <c r="BB332" i="7"/>
  <c r="BB333" i="7"/>
  <c r="BB334" i="7"/>
  <c r="BB335" i="7"/>
  <c r="BB336" i="7"/>
  <c r="BB337" i="7"/>
  <c r="BB338" i="7"/>
  <c r="BB339" i="7"/>
  <c r="BB340" i="7"/>
  <c r="BB341" i="7"/>
  <c r="BB342" i="7"/>
  <c r="BB343" i="7"/>
  <c r="BB344" i="7"/>
  <c r="BB345" i="7"/>
  <c r="BB346" i="7"/>
  <c r="BB347" i="7"/>
  <c r="BB348" i="7"/>
  <c r="BB349" i="7"/>
  <c r="BB350" i="7"/>
  <c r="BB351" i="7"/>
  <c r="BB352" i="7"/>
  <c r="BB353" i="7"/>
  <c r="BB354" i="7"/>
  <c r="BB355" i="7"/>
  <c r="BB356" i="7"/>
  <c r="BB357" i="7"/>
  <c r="BB358" i="7"/>
  <c r="BB359" i="7"/>
  <c r="BB360" i="7"/>
  <c r="BB361" i="7"/>
  <c r="BB362" i="7"/>
  <c r="BB363" i="7"/>
  <c r="BB364" i="7"/>
  <c r="BB365" i="7"/>
  <c r="BB366" i="7"/>
  <c r="BB367" i="7"/>
  <c r="BB368" i="7"/>
  <c r="BB369" i="7"/>
  <c r="BB370" i="7"/>
  <c r="BB371" i="7"/>
  <c r="BB372" i="7"/>
  <c r="BB373" i="7"/>
  <c r="BB374" i="7"/>
  <c r="BB375" i="7"/>
  <c r="BB376" i="7"/>
  <c r="BB377" i="7"/>
  <c r="BB378" i="7"/>
  <c r="BB379" i="7"/>
  <c r="BB380" i="7"/>
  <c r="BB381" i="7"/>
  <c r="BB382" i="7"/>
  <c r="BB383" i="7"/>
  <c r="BB384" i="7"/>
  <c r="BB385" i="7"/>
  <c r="BB386" i="7"/>
  <c r="BB387" i="7"/>
  <c r="BB388" i="7"/>
  <c r="BB389" i="7"/>
  <c r="BB390" i="7"/>
  <c r="BB391" i="7"/>
  <c r="BB392" i="7"/>
  <c r="BB393" i="7"/>
  <c r="BB394" i="7"/>
  <c r="BB395" i="7"/>
  <c r="BB396" i="7"/>
  <c r="BB397" i="7"/>
  <c r="BB398" i="7"/>
  <c r="BB399" i="7"/>
  <c r="BB400" i="7"/>
  <c r="BB401" i="7"/>
  <c r="BB402" i="7"/>
  <c r="BB403" i="7"/>
  <c r="BB404" i="7"/>
  <c r="BB405" i="7"/>
  <c r="BB406" i="7"/>
  <c r="BB407" i="7"/>
  <c r="BB408" i="7"/>
  <c r="BB409" i="7"/>
  <c r="BB410" i="7"/>
  <c r="BB411" i="7"/>
  <c r="BB412" i="7"/>
  <c r="BB413" i="7"/>
  <c r="BB414" i="7"/>
  <c r="BB415" i="7"/>
  <c r="BB416" i="7"/>
  <c r="BB417" i="7"/>
  <c r="BB418" i="7"/>
  <c r="BB419" i="7"/>
  <c r="BB420" i="7"/>
  <c r="BB421" i="7"/>
  <c r="BB422" i="7"/>
  <c r="BB423" i="7"/>
  <c r="BB424" i="7"/>
  <c r="BB425" i="7"/>
  <c r="BB426" i="7"/>
  <c r="BB427" i="7"/>
  <c r="BB428" i="7"/>
  <c r="BB429" i="7"/>
  <c r="BB430" i="7"/>
  <c r="BB431" i="7"/>
  <c r="BB432" i="7"/>
  <c r="BB433" i="7"/>
  <c r="BB434" i="7"/>
  <c r="BB435" i="7"/>
  <c r="BB436" i="7"/>
  <c r="BB437" i="7"/>
  <c r="BB438" i="7"/>
  <c r="BB439" i="7"/>
  <c r="BB440" i="7"/>
  <c r="BB441" i="7"/>
  <c r="BB442" i="7"/>
  <c r="BB443" i="7"/>
  <c r="BB444" i="7"/>
  <c r="BB445" i="7"/>
  <c r="BB446" i="7"/>
  <c r="BB447" i="7"/>
  <c r="BB448" i="7"/>
  <c r="BB449" i="7"/>
  <c r="BB450" i="7"/>
  <c r="BB451" i="7"/>
  <c r="BB452" i="7"/>
  <c r="BB453" i="7"/>
  <c r="BB454" i="7"/>
  <c r="BB455" i="7"/>
  <c r="BB456" i="7"/>
  <c r="BB457" i="7"/>
  <c r="BB458" i="7"/>
  <c r="BB459" i="7"/>
  <c r="BB460" i="7"/>
  <c r="BB461" i="7"/>
  <c r="BB462" i="7"/>
  <c r="BB463" i="7"/>
  <c r="BB464" i="7"/>
  <c r="BB465" i="7"/>
  <c r="BB466" i="7"/>
  <c r="BB467" i="7"/>
  <c r="BB468" i="7"/>
  <c r="BB469" i="7"/>
  <c r="BB470" i="7"/>
  <c r="BB471" i="7"/>
  <c r="BB472" i="7"/>
  <c r="BB473" i="7"/>
  <c r="BB474" i="7"/>
  <c r="BB475" i="7"/>
  <c r="BB476" i="7"/>
  <c r="BB477" i="7"/>
  <c r="BB478" i="7"/>
  <c r="BB479" i="7"/>
  <c r="BB480" i="7"/>
  <c r="BB481" i="7"/>
  <c r="BB482" i="7"/>
  <c r="BB483" i="7"/>
  <c r="BB484" i="7"/>
  <c r="BB485" i="7"/>
  <c r="BB486" i="7"/>
  <c r="BB487" i="7"/>
  <c r="BB488" i="7"/>
  <c r="BB489" i="7"/>
  <c r="BB490" i="7"/>
  <c r="BB491" i="7"/>
  <c r="BB492" i="7"/>
  <c r="BB493" i="7"/>
  <c r="BB494" i="7"/>
  <c r="BB495" i="7"/>
  <c r="BB496" i="7"/>
  <c r="BB497" i="7"/>
  <c r="BB498" i="7"/>
  <c r="BB499" i="7"/>
  <c r="BB500" i="7"/>
  <c r="BB501" i="7"/>
  <c r="BB502" i="7"/>
  <c r="BB503" i="7"/>
  <c r="BB504" i="7"/>
  <c r="BB505" i="7"/>
  <c r="BB506" i="7"/>
  <c r="BB507" i="7"/>
  <c r="BB508" i="7"/>
  <c r="BB509" i="7"/>
  <c r="BB510" i="7"/>
  <c r="BB511" i="7"/>
  <c r="BB512" i="7"/>
  <c r="BB513" i="7"/>
  <c r="BB514" i="7"/>
  <c r="BB515" i="7"/>
  <c r="BB516" i="7"/>
  <c r="BB517" i="7"/>
  <c r="BB518" i="7"/>
  <c r="BB519" i="7"/>
  <c r="BB520" i="7"/>
  <c r="BB521" i="7"/>
  <c r="BB522" i="7"/>
  <c r="BB523" i="7"/>
  <c r="BB524" i="7"/>
  <c r="BB525" i="7"/>
  <c r="BB526" i="7"/>
  <c r="BB527" i="7"/>
  <c r="BB528" i="7"/>
  <c r="BB529" i="7"/>
  <c r="BB530" i="7"/>
  <c r="BB531" i="7"/>
  <c r="BB532" i="7"/>
  <c r="BB533" i="7"/>
  <c r="BB534" i="7"/>
  <c r="BB535" i="7"/>
  <c r="BB536" i="7"/>
  <c r="BB537" i="7"/>
  <c r="BB538" i="7"/>
  <c r="BB539" i="7"/>
  <c r="BB540" i="7"/>
  <c r="BB541" i="7"/>
  <c r="BB542" i="7"/>
  <c r="BB543" i="7"/>
  <c r="BB544" i="7"/>
  <c r="BB545" i="7"/>
  <c r="BB546" i="7"/>
  <c r="BB547" i="7"/>
  <c r="BB548" i="7"/>
  <c r="BB549" i="7"/>
  <c r="BB550" i="7"/>
  <c r="BB551" i="7"/>
  <c r="BB552" i="7"/>
  <c r="BB553" i="7"/>
  <c r="BB554" i="7"/>
  <c r="BB555" i="7"/>
  <c r="BB556" i="7"/>
  <c r="BB557" i="7"/>
  <c r="BB558" i="7"/>
  <c r="BB559" i="7"/>
  <c r="BB560" i="7"/>
  <c r="BB561" i="7"/>
  <c r="BB562" i="7"/>
  <c r="BB563" i="7"/>
  <c r="BB564" i="7"/>
  <c r="BB565" i="7"/>
  <c r="BB566" i="7"/>
  <c r="BB567" i="7"/>
  <c r="BB568" i="7"/>
  <c r="BB569" i="7"/>
  <c r="BB570" i="7"/>
  <c r="BB571" i="7"/>
  <c r="BB572" i="7"/>
  <c r="BB573" i="7"/>
  <c r="BB574" i="7"/>
  <c r="BB575" i="7"/>
  <c r="BB576" i="7"/>
  <c r="BB577" i="7"/>
  <c r="BB578" i="7"/>
  <c r="BB579" i="7"/>
  <c r="BB580" i="7"/>
  <c r="BB581" i="7"/>
  <c r="BB582" i="7"/>
  <c r="BB583" i="7"/>
  <c r="BB584" i="7"/>
  <c r="BB585" i="7"/>
  <c r="BB586" i="7"/>
  <c r="BB587" i="7"/>
  <c r="BB588" i="7"/>
  <c r="BB589" i="7"/>
  <c r="BB590" i="7"/>
  <c r="BB591" i="7"/>
  <c r="BB592" i="7"/>
  <c r="BB593" i="7"/>
  <c r="BB594" i="7"/>
  <c r="BB595" i="7"/>
  <c r="BB596" i="7"/>
  <c r="BB597" i="7"/>
  <c r="BB598" i="7"/>
  <c r="BB599" i="7"/>
  <c r="BB600" i="7"/>
  <c r="BB601" i="7"/>
  <c r="BB602" i="7"/>
  <c r="BB603" i="7"/>
  <c r="BB604" i="7"/>
  <c r="BB605" i="7"/>
  <c r="BB606" i="7"/>
  <c r="BB607" i="7"/>
  <c r="BB608" i="7"/>
  <c r="BB609" i="7"/>
  <c r="BB610" i="7"/>
  <c r="BB611" i="7"/>
  <c r="BB612" i="7"/>
  <c r="BB613" i="7"/>
  <c r="BB614" i="7"/>
  <c r="BB615" i="7"/>
  <c r="BB616" i="7"/>
  <c r="BB617" i="7"/>
  <c r="BB618" i="7"/>
  <c r="BB619" i="7"/>
  <c r="BB620" i="7"/>
  <c r="BB621" i="7"/>
  <c r="BB622" i="7"/>
  <c r="BB623" i="7"/>
  <c r="BB624" i="7"/>
  <c r="BB625" i="7"/>
  <c r="BB626" i="7"/>
  <c r="BB627" i="7"/>
  <c r="BB628" i="7"/>
  <c r="BA4" i="7"/>
  <c r="BA5" i="7"/>
  <c r="BA6" i="7"/>
  <c r="BA7" i="7"/>
  <c r="BA8" i="7"/>
  <c r="BA9" i="7"/>
  <c r="BA10" i="7"/>
  <c r="BA11" i="7"/>
  <c r="BA12" i="7"/>
  <c r="BA13" i="7"/>
  <c r="BA14" i="7"/>
  <c r="BA15" i="7"/>
  <c r="BA16" i="7"/>
  <c r="BA17" i="7"/>
  <c r="BA18" i="7"/>
  <c r="BA19" i="7"/>
  <c r="BA20" i="7"/>
  <c r="BA21" i="7"/>
  <c r="BA22" i="7"/>
  <c r="BA23" i="7"/>
  <c r="BA24" i="7"/>
  <c r="BA25" i="7"/>
  <c r="BA26" i="7"/>
  <c r="BA27" i="7"/>
  <c r="BA28" i="7"/>
  <c r="BA29" i="7"/>
  <c r="BA30" i="7"/>
  <c r="BA31" i="7"/>
  <c r="BA32" i="7"/>
  <c r="BA33" i="7"/>
  <c r="BA34" i="7"/>
  <c r="BA35" i="7"/>
  <c r="BA36" i="7"/>
  <c r="BA37" i="7"/>
  <c r="BA38" i="7"/>
  <c r="BA39" i="7"/>
  <c r="BA40" i="7"/>
  <c r="BA41" i="7"/>
  <c r="BA42" i="7"/>
  <c r="BA43" i="7"/>
  <c r="BA44" i="7"/>
  <c r="BA45" i="7"/>
  <c r="BA46" i="7"/>
  <c r="BA47" i="7"/>
  <c r="BA48" i="7"/>
  <c r="BA49" i="7"/>
  <c r="BA50" i="7"/>
  <c r="BA51" i="7"/>
  <c r="BA52" i="7"/>
  <c r="BA53" i="7"/>
  <c r="BA54" i="7"/>
  <c r="BA55" i="7"/>
  <c r="BA56" i="7"/>
  <c r="BA57" i="7"/>
  <c r="BA58" i="7"/>
  <c r="BA59" i="7"/>
  <c r="BA60" i="7"/>
  <c r="BA61" i="7"/>
  <c r="BA62" i="7"/>
  <c r="BA63" i="7"/>
  <c r="BA64" i="7"/>
  <c r="BA65" i="7"/>
  <c r="BA66" i="7"/>
  <c r="BA67" i="7"/>
  <c r="BA68" i="7"/>
  <c r="BA69" i="7"/>
  <c r="BA70" i="7"/>
  <c r="BA71" i="7"/>
  <c r="BA72" i="7"/>
  <c r="BA73" i="7"/>
  <c r="BA74" i="7"/>
  <c r="BA75" i="7"/>
  <c r="BA76" i="7"/>
  <c r="BA77" i="7"/>
  <c r="BA78" i="7"/>
  <c r="BA79" i="7"/>
  <c r="BA80" i="7"/>
  <c r="BA81" i="7"/>
  <c r="BA82" i="7"/>
  <c r="BA83" i="7"/>
  <c r="BA84" i="7"/>
  <c r="BA85" i="7"/>
  <c r="BA86" i="7"/>
  <c r="BA87" i="7"/>
  <c r="BA88" i="7"/>
  <c r="BA89" i="7"/>
  <c r="BA90" i="7"/>
  <c r="BA91" i="7"/>
  <c r="BA92" i="7"/>
  <c r="BA93" i="7"/>
  <c r="BA94" i="7"/>
  <c r="BA95" i="7"/>
  <c r="BA96" i="7"/>
  <c r="BA97" i="7"/>
  <c r="BA98" i="7"/>
  <c r="BA99" i="7"/>
  <c r="BA100" i="7"/>
  <c r="BA101" i="7"/>
  <c r="BA102" i="7"/>
  <c r="BA103" i="7"/>
  <c r="BA104" i="7"/>
  <c r="BA105" i="7"/>
  <c r="BA106" i="7"/>
  <c r="BA107" i="7"/>
  <c r="BA108" i="7"/>
  <c r="BA109" i="7"/>
  <c r="BA110" i="7"/>
  <c r="BA111" i="7"/>
  <c r="BA112" i="7"/>
  <c r="BA113" i="7"/>
  <c r="BA114" i="7"/>
  <c r="BA115" i="7"/>
  <c r="BA116" i="7"/>
  <c r="BA117" i="7"/>
  <c r="BA118" i="7"/>
  <c r="BA119" i="7"/>
  <c r="BA120" i="7"/>
  <c r="BA121" i="7"/>
  <c r="BA122" i="7"/>
  <c r="BA123" i="7"/>
  <c r="BA124" i="7"/>
  <c r="BA125" i="7"/>
  <c r="BA126" i="7"/>
  <c r="BA127" i="7"/>
  <c r="BA128" i="7"/>
  <c r="BA129" i="7"/>
  <c r="BA130" i="7"/>
  <c r="BA131" i="7"/>
  <c r="BA132" i="7"/>
  <c r="BA133" i="7"/>
  <c r="BA134" i="7"/>
  <c r="BA135" i="7"/>
  <c r="BA136" i="7"/>
  <c r="BA137" i="7"/>
  <c r="BA138" i="7"/>
  <c r="BA139" i="7"/>
  <c r="BA140" i="7"/>
  <c r="BA141" i="7"/>
  <c r="BA142" i="7"/>
  <c r="BA143" i="7"/>
  <c r="BA144" i="7"/>
  <c r="BA145" i="7"/>
  <c r="BA146" i="7"/>
  <c r="BA147" i="7"/>
  <c r="BA148" i="7"/>
  <c r="BA149" i="7"/>
  <c r="BA150" i="7"/>
  <c r="BA151" i="7"/>
  <c r="BA152" i="7"/>
  <c r="BA153" i="7"/>
  <c r="BA154" i="7"/>
  <c r="BA155" i="7"/>
  <c r="BA156" i="7"/>
  <c r="BA157" i="7"/>
  <c r="BA158" i="7"/>
  <c r="BA159" i="7"/>
  <c r="BA160" i="7"/>
  <c r="BA161" i="7"/>
  <c r="BA162" i="7"/>
  <c r="BA163" i="7"/>
  <c r="BA164" i="7"/>
  <c r="BA165" i="7"/>
  <c r="BA166" i="7"/>
  <c r="BA167" i="7"/>
  <c r="BA168" i="7"/>
  <c r="BA169" i="7"/>
  <c r="BA170" i="7"/>
  <c r="BA171" i="7"/>
  <c r="BA172" i="7"/>
  <c r="BA173" i="7"/>
  <c r="BA174" i="7"/>
  <c r="BA175" i="7"/>
  <c r="BA176" i="7"/>
  <c r="BA177" i="7"/>
  <c r="BA178" i="7"/>
  <c r="BA179" i="7"/>
  <c r="BA180" i="7"/>
  <c r="BA181" i="7"/>
  <c r="BA182" i="7"/>
  <c r="BA183" i="7"/>
  <c r="BA184" i="7"/>
  <c r="BA185" i="7"/>
  <c r="BA186" i="7"/>
  <c r="BA187" i="7"/>
  <c r="BA188" i="7"/>
  <c r="BA189" i="7"/>
  <c r="BA190" i="7"/>
  <c r="BA191" i="7"/>
  <c r="BA192" i="7"/>
  <c r="BA193" i="7"/>
  <c r="BA194" i="7"/>
  <c r="BA195" i="7"/>
  <c r="BA196" i="7"/>
  <c r="BA197" i="7"/>
  <c r="BA198" i="7"/>
  <c r="BA199" i="7"/>
  <c r="BA200" i="7"/>
  <c r="BA201" i="7"/>
  <c r="BA202" i="7"/>
  <c r="BA203" i="7"/>
  <c r="BA204" i="7"/>
  <c r="BA205" i="7"/>
  <c r="BA206" i="7"/>
  <c r="BA207" i="7"/>
  <c r="BA208" i="7"/>
  <c r="BA209" i="7"/>
  <c r="BA210" i="7"/>
  <c r="BA211" i="7"/>
  <c r="BA212" i="7"/>
  <c r="BA213" i="7"/>
  <c r="BA214" i="7"/>
  <c r="BA215" i="7"/>
  <c r="BA216" i="7"/>
  <c r="BA217" i="7"/>
  <c r="BA218" i="7"/>
  <c r="BA219" i="7"/>
  <c r="BA220" i="7"/>
  <c r="BA221" i="7"/>
  <c r="BA222" i="7"/>
  <c r="BA223" i="7"/>
  <c r="BA224" i="7"/>
  <c r="BA225" i="7"/>
  <c r="BA226" i="7"/>
  <c r="BA227" i="7"/>
  <c r="BA228" i="7"/>
  <c r="BA229" i="7"/>
  <c r="BA230" i="7"/>
  <c r="BA231" i="7"/>
  <c r="BA232" i="7"/>
  <c r="BA233" i="7"/>
  <c r="BA234" i="7"/>
  <c r="BA235" i="7"/>
  <c r="BA236" i="7"/>
  <c r="BA237" i="7"/>
  <c r="BA238" i="7"/>
  <c r="BA239" i="7"/>
  <c r="BA240" i="7"/>
  <c r="BA241" i="7"/>
  <c r="BA242" i="7"/>
  <c r="BA243" i="7"/>
  <c r="BA244" i="7"/>
  <c r="BA245" i="7"/>
  <c r="BA246" i="7"/>
  <c r="BA247" i="7"/>
  <c r="BA248" i="7"/>
  <c r="BA249" i="7"/>
  <c r="BA250" i="7"/>
  <c r="BA251" i="7"/>
  <c r="BA252" i="7"/>
  <c r="BA253" i="7"/>
  <c r="BA254" i="7"/>
  <c r="BA255" i="7"/>
  <c r="BA256" i="7"/>
  <c r="BA257" i="7"/>
  <c r="BA258" i="7"/>
  <c r="BA259" i="7"/>
  <c r="BA260" i="7"/>
  <c r="BA261" i="7"/>
  <c r="BA262" i="7"/>
  <c r="BA263" i="7"/>
  <c r="BA264" i="7"/>
  <c r="BA265" i="7"/>
  <c r="BA266" i="7"/>
  <c r="BA267" i="7"/>
  <c r="BA268" i="7"/>
  <c r="BA269" i="7"/>
  <c r="BA270" i="7"/>
  <c r="BA271" i="7"/>
  <c r="BA272" i="7"/>
  <c r="BA273" i="7"/>
  <c r="BA274" i="7"/>
  <c r="BA275" i="7"/>
  <c r="BA276" i="7"/>
  <c r="BA277" i="7"/>
  <c r="BA278" i="7"/>
  <c r="BA279" i="7"/>
  <c r="BA280" i="7"/>
  <c r="BA281" i="7"/>
  <c r="BA282" i="7"/>
  <c r="BA283" i="7"/>
  <c r="BA284" i="7"/>
  <c r="BA285" i="7"/>
  <c r="BA286" i="7"/>
  <c r="BA287" i="7"/>
  <c r="BA288" i="7"/>
  <c r="BA289" i="7"/>
  <c r="BA290" i="7"/>
  <c r="BA291" i="7"/>
  <c r="BA292" i="7"/>
  <c r="BA293" i="7"/>
  <c r="BA294" i="7"/>
  <c r="BA295" i="7"/>
  <c r="BA296" i="7"/>
  <c r="BA297" i="7"/>
  <c r="BA298" i="7"/>
  <c r="BA299" i="7"/>
  <c r="BA300" i="7"/>
  <c r="BA301" i="7"/>
  <c r="BA302" i="7"/>
  <c r="BA303" i="7"/>
  <c r="BA304" i="7"/>
  <c r="BA305" i="7"/>
  <c r="BA306" i="7"/>
  <c r="BA307" i="7"/>
  <c r="BA308" i="7"/>
  <c r="BA309" i="7"/>
  <c r="BA310" i="7"/>
  <c r="BA311" i="7"/>
  <c r="BA312" i="7"/>
  <c r="BA313" i="7"/>
  <c r="BA314" i="7"/>
  <c r="BA315" i="7"/>
  <c r="BA316" i="7"/>
  <c r="BA317" i="7"/>
  <c r="BA318" i="7"/>
  <c r="BA319" i="7"/>
  <c r="BA320" i="7"/>
  <c r="BA321" i="7"/>
  <c r="BA322" i="7"/>
  <c r="BA323" i="7"/>
  <c r="BA324" i="7"/>
  <c r="BA325" i="7"/>
  <c r="BA326" i="7"/>
  <c r="BA327" i="7"/>
  <c r="BA328" i="7"/>
  <c r="BA329" i="7"/>
  <c r="BA330" i="7"/>
  <c r="BA331" i="7"/>
  <c r="BA332" i="7"/>
  <c r="BA333" i="7"/>
  <c r="BA334" i="7"/>
  <c r="BA335" i="7"/>
  <c r="BA336" i="7"/>
  <c r="BA337" i="7"/>
  <c r="BA338" i="7"/>
  <c r="BA339" i="7"/>
  <c r="BA340" i="7"/>
  <c r="BA341" i="7"/>
  <c r="BA342" i="7"/>
  <c r="BA343" i="7"/>
  <c r="BA344" i="7"/>
  <c r="BA345" i="7"/>
  <c r="BA346" i="7"/>
  <c r="BA347" i="7"/>
  <c r="BA348" i="7"/>
  <c r="BA349" i="7"/>
  <c r="BA350" i="7"/>
  <c r="BA351" i="7"/>
  <c r="BA352" i="7"/>
  <c r="BA353" i="7"/>
  <c r="BA354" i="7"/>
  <c r="BA355" i="7"/>
  <c r="BA356" i="7"/>
  <c r="BA357" i="7"/>
  <c r="BA358" i="7"/>
  <c r="BA359" i="7"/>
  <c r="BA360" i="7"/>
  <c r="BA361" i="7"/>
  <c r="BA362" i="7"/>
  <c r="BA363" i="7"/>
  <c r="BA364" i="7"/>
  <c r="BA365" i="7"/>
  <c r="BA366" i="7"/>
  <c r="BA367" i="7"/>
  <c r="BA368" i="7"/>
  <c r="BA369" i="7"/>
  <c r="BA370" i="7"/>
  <c r="BA371" i="7"/>
  <c r="BA372" i="7"/>
  <c r="BA373" i="7"/>
  <c r="BA374" i="7"/>
  <c r="BA375" i="7"/>
  <c r="BA376" i="7"/>
  <c r="BA377" i="7"/>
  <c r="BA378" i="7"/>
  <c r="BA379" i="7"/>
  <c r="BA380" i="7"/>
  <c r="BA381" i="7"/>
  <c r="BA382" i="7"/>
  <c r="BA383" i="7"/>
  <c r="BA384" i="7"/>
  <c r="BA385" i="7"/>
  <c r="BA386" i="7"/>
  <c r="BA387" i="7"/>
  <c r="BA388" i="7"/>
  <c r="BA389" i="7"/>
  <c r="BA390" i="7"/>
  <c r="BA391" i="7"/>
  <c r="BA392" i="7"/>
  <c r="BA393" i="7"/>
  <c r="BA394" i="7"/>
  <c r="BA395" i="7"/>
  <c r="BA396" i="7"/>
  <c r="BA397" i="7"/>
  <c r="BA398" i="7"/>
  <c r="BA399" i="7"/>
  <c r="BA400" i="7"/>
  <c r="BA401" i="7"/>
  <c r="BA402" i="7"/>
  <c r="BA403" i="7"/>
  <c r="BA404" i="7"/>
  <c r="BA405" i="7"/>
  <c r="BA406" i="7"/>
  <c r="BA407" i="7"/>
  <c r="BA408" i="7"/>
  <c r="BA409" i="7"/>
  <c r="BA410" i="7"/>
  <c r="BA411" i="7"/>
  <c r="BA412" i="7"/>
  <c r="BA413" i="7"/>
  <c r="BA414" i="7"/>
  <c r="BA415" i="7"/>
  <c r="BA416" i="7"/>
  <c r="BA417" i="7"/>
  <c r="BA418" i="7"/>
  <c r="BA419" i="7"/>
  <c r="BA420" i="7"/>
  <c r="BA421" i="7"/>
  <c r="BA422" i="7"/>
  <c r="BA423" i="7"/>
  <c r="BA424" i="7"/>
  <c r="BA425" i="7"/>
  <c r="BA426" i="7"/>
  <c r="BA427" i="7"/>
  <c r="BA428" i="7"/>
  <c r="BA429" i="7"/>
  <c r="BA430" i="7"/>
  <c r="BA431" i="7"/>
  <c r="BA432" i="7"/>
  <c r="BA433" i="7"/>
  <c r="BA434" i="7"/>
  <c r="BA435" i="7"/>
  <c r="BA436" i="7"/>
  <c r="BA437" i="7"/>
  <c r="BA438" i="7"/>
  <c r="BA439" i="7"/>
  <c r="BA440" i="7"/>
  <c r="BA441" i="7"/>
  <c r="BA442" i="7"/>
  <c r="BA443" i="7"/>
  <c r="BA444" i="7"/>
  <c r="BA445" i="7"/>
  <c r="BA446" i="7"/>
  <c r="BA447" i="7"/>
  <c r="BA448" i="7"/>
  <c r="BA449" i="7"/>
  <c r="BA450" i="7"/>
  <c r="BA451" i="7"/>
  <c r="BA452" i="7"/>
  <c r="BA453" i="7"/>
  <c r="BA454" i="7"/>
  <c r="BA455" i="7"/>
  <c r="BA456" i="7"/>
  <c r="BA457" i="7"/>
  <c r="BA458" i="7"/>
  <c r="BA459" i="7"/>
  <c r="BA460" i="7"/>
  <c r="BA461" i="7"/>
  <c r="BA462" i="7"/>
  <c r="BA463" i="7"/>
  <c r="BA464" i="7"/>
  <c r="BA465" i="7"/>
  <c r="BA466" i="7"/>
  <c r="BA467" i="7"/>
  <c r="BA468" i="7"/>
  <c r="BA469" i="7"/>
  <c r="BA470" i="7"/>
  <c r="BA471" i="7"/>
  <c r="BA472" i="7"/>
  <c r="BA473" i="7"/>
  <c r="BA474" i="7"/>
  <c r="BA475" i="7"/>
  <c r="BA476" i="7"/>
  <c r="BA477" i="7"/>
  <c r="BA478" i="7"/>
  <c r="BA479" i="7"/>
  <c r="BA480" i="7"/>
  <c r="BA481" i="7"/>
  <c r="BA482" i="7"/>
  <c r="BA483" i="7"/>
  <c r="BA484" i="7"/>
  <c r="BA485" i="7"/>
  <c r="BA486" i="7"/>
  <c r="BA487" i="7"/>
  <c r="BA488" i="7"/>
  <c r="BA489" i="7"/>
  <c r="BA490" i="7"/>
  <c r="BA491" i="7"/>
  <c r="BA492" i="7"/>
  <c r="BA493" i="7"/>
  <c r="BA494" i="7"/>
  <c r="BA495" i="7"/>
  <c r="BA496" i="7"/>
  <c r="BA497" i="7"/>
  <c r="BA498" i="7"/>
  <c r="BA499" i="7"/>
  <c r="BA500" i="7"/>
  <c r="BA501" i="7"/>
  <c r="BA502" i="7"/>
  <c r="BA503" i="7"/>
  <c r="BA504" i="7"/>
  <c r="BA505" i="7"/>
  <c r="BA506" i="7"/>
  <c r="BA507" i="7"/>
  <c r="BA508" i="7"/>
  <c r="BA509" i="7"/>
  <c r="BA510" i="7"/>
  <c r="BA511" i="7"/>
  <c r="BA512" i="7"/>
  <c r="BA513" i="7"/>
  <c r="BA514" i="7"/>
  <c r="BA515" i="7"/>
  <c r="BA516" i="7"/>
  <c r="BA517" i="7"/>
  <c r="BA518" i="7"/>
  <c r="BA519" i="7"/>
  <c r="BA520" i="7"/>
  <c r="BA521" i="7"/>
  <c r="BA522" i="7"/>
  <c r="BA523" i="7"/>
  <c r="BA524" i="7"/>
  <c r="BA525" i="7"/>
  <c r="BA526" i="7"/>
  <c r="BA527" i="7"/>
  <c r="BA528" i="7"/>
  <c r="BA529" i="7"/>
  <c r="BA530" i="7"/>
  <c r="BA531" i="7"/>
  <c r="BA532" i="7"/>
  <c r="BA533" i="7"/>
  <c r="BA534" i="7"/>
  <c r="BA535" i="7"/>
  <c r="BA536" i="7"/>
  <c r="BA537" i="7"/>
  <c r="BA538" i="7"/>
  <c r="BA539" i="7"/>
  <c r="BA540" i="7"/>
  <c r="BA541" i="7"/>
  <c r="BA542" i="7"/>
  <c r="BA543" i="7"/>
  <c r="BA544" i="7"/>
  <c r="BA545" i="7"/>
  <c r="BA546" i="7"/>
  <c r="BA547" i="7"/>
  <c r="BA548" i="7"/>
  <c r="BA549" i="7"/>
  <c r="BA550" i="7"/>
  <c r="BA551" i="7"/>
  <c r="BA552" i="7"/>
  <c r="BA553" i="7"/>
  <c r="BA554" i="7"/>
  <c r="BA555" i="7"/>
  <c r="BA556" i="7"/>
  <c r="BA557" i="7"/>
  <c r="BA558" i="7"/>
  <c r="BA559" i="7"/>
  <c r="BA560" i="7"/>
  <c r="BA561" i="7"/>
  <c r="BA562" i="7"/>
  <c r="BA563" i="7"/>
  <c r="BA564" i="7"/>
  <c r="BA565" i="7"/>
  <c r="BA566" i="7"/>
  <c r="BA567" i="7"/>
  <c r="BA568" i="7"/>
  <c r="BA569" i="7"/>
  <c r="BA570" i="7"/>
  <c r="BA571" i="7"/>
  <c r="BA572" i="7"/>
  <c r="BA573" i="7"/>
  <c r="BA574" i="7"/>
  <c r="BA575" i="7"/>
  <c r="BA576" i="7"/>
  <c r="BA577" i="7"/>
  <c r="BA578" i="7"/>
  <c r="BA579" i="7"/>
  <c r="BA580" i="7"/>
  <c r="BA581" i="7"/>
  <c r="BA582" i="7"/>
  <c r="BA583" i="7"/>
  <c r="BA584" i="7"/>
  <c r="BA585" i="7"/>
  <c r="BA586" i="7"/>
  <c r="BA587" i="7"/>
  <c r="BA588" i="7"/>
  <c r="BA589" i="7"/>
  <c r="BA590" i="7"/>
  <c r="BA591" i="7"/>
  <c r="BA592" i="7"/>
  <c r="BA593" i="7"/>
  <c r="BA594" i="7"/>
  <c r="BA595" i="7"/>
  <c r="BA596" i="7"/>
  <c r="BA597" i="7"/>
  <c r="BA598" i="7"/>
  <c r="BA599" i="7"/>
  <c r="BA600" i="7"/>
  <c r="BA601" i="7"/>
  <c r="BA602" i="7"/>
  <c r="BA603" i="7"/>
  <c r="BA604" i="7"/>
  <c r="BA605" i="7"/>
  <c r="BA606" i="7"/>
  <c r="BA607" i="7"/>
  <c r="BA608" i="7"/>
  <c r="BA609" i="7"/>
  <c r="BA610" i="7"/>
  <c r="BA611" i="7"/>
  <c r="BA612" i="7"/>
  <c r="BA613" i="7"/>
  <c r="BA614" i="7"/>
  <c r="BA615" i="7"/>
  <c r="BA616" i="7"/>
  <c r="BA617" i="7"/>
  <c r="BA618" i="7"/>
  <c r="BA619" i="7"/>
  <c r="BA620" i="7"/>
  <c r="BA621" i="7"/>
  <c r="BA622" i="7"/>
  <c r="BA623" i="7"/>
  <c r="BA624" i="7"/>
  <c r="BA625" i="7"/>
  <c r="BA626" i="7"/>
  <c r="BA627" i="7"/>
  <c r="BA628" i="7"/>
  <c r="AZ5" i="7"/>
  <c r="AZ6" i="7"/>
  <c r="AZ7" i="7"/>
  <c r="AZ8" i="7"/>
  <c r="AZ9" i="7"/>
  <c r="AZ10" i="7"/>
  <c r="AZ11" i="7"/>
  <c r="AZ12" i="7"/>
  <c r="AZ13" i="7"/>
  <c r="AZ14" i="7"/>
  <c r="AZ15" i="7"/>
  <c r="AZ16" i="7"/>
  <c r="AZ17" i="7"/>
  <c r="AZ18" i="7"/>
  <c r="AZ19" i="7"/>
  <c r="AZ20" i="7"/>
  <c r="AZ21" i="7"/>
  <c r="AZ22" i="7"/>
  <c r="AZ23" i="7"/>
  <c r="AZ24" i="7"/>
  <c r="AZ25" i="7"/>
  <c r="AZ26" i="7"/>
  <c r="AZ27" i="7"/>
  <c r="AZ28" i="7"/>
  <c r="AZ29" i="7"/>
  <c r="AZ30" i="7"/>
  <c r="AZ31" i="7"/>
  <c r="AZ32" i="7"/>
  <c r="AZ33" i="7"/>
  <c r="AZ34" i="7"/>
  <c r="AZ35" i="7"/>
  <c r="AZ36" i="7"/>
  <c r="AZ37" i="7"/>
  <c r="AZ38" i="7"/>
  <c r="AZ39" i="7"/>
  <c r="AZ40" i="7"/>
  <c r="AZ41" i="7"/>
  <c r="AZ42" i="7"/>
  <c r="AZ43" i="7"/>
  <c r="AZ44" i="7"/>
  <c r="AZ45" i="7"/>
  <c r="AZ46" i="7"/>
  <c r="AZ47" i="7"/>
  <c r="AZ48" i="7"/>
  <c r="AZ49" i="7"/>
  <c r="AZ50" i="7"/>
  <c r="AZ51" i="7"/>
  <c r="AZ52" i="7"/>
  <c r="AZ53" i="7"/>
  <c r="AZ54" i="7"/>
  <c r="AZ55" i="7"/>
  <c r="AZ56" i="7"/>
  <c r="AZ57" i="7"/>
  <c r="AZ58" i="7"/>
  <c r="AZ59" i="7"/>
  <c r="AZ60" i="7"/>
  <c r="AZ61" i="7"/>
  <c r="AZ62" i="7"/>
  <c r="AZ63" i="7"/>
  <c r="AZ64" i="7"/>
  <c r="AZ65" i="7"/>
  <c r="AZ66" i="7"/>
  <c r="AZ67" i="7"/>
  <c r="AZ68" i="7"/>
  <c r="AZ69" i="7"/>
  <c r="AZ70" i="7"/>
  <c r="AZ71" i="7"/>
  <c r="AZ72" i="7"/>
  <c r="AZ73" i="7"/>
  <c r="AZ74" i="7"/>
  <c r="AZ75" i="7"/>
  <c r="AZ76" i="7"/>
  <c r="AZ77" i="7"/>
  <c r="AZ78" i="7"/>
  <c r="AZ79" i="7"/>
  <c r="AZ80" i="7"/>
  <c r="AZ81" i="7"/>
  <c r="AZ82" i="7"/>
  <c r="AZ83" i="7"/>
  <c r="AZ84" i="7"/>
  <c r="AZ85" i="7"/>
  <c r="AZ86" i="7"/>
  <c r="AZ87" i="7"/>
  <c r="AZ88" i="7"/>
  <c r="AZ89" i="7"/>
  <c r="AZ90" i="7"/>
  <c r="AZ91" i="7"/>
  <c r="AZ92" i="7"/>
  <c r="AZ93" i="7"/>
  <c r="AZ94" i="7"/>
  <c r="AZ95" i="7"/>
  <c r="AZ96" i="7"/>
  <c r="AZ97" i="7"/>
  <c r="AZ98" i="7"/>
  <c r="AZ99" i="7"/>
  <c r="AZ100" i="7"/>
  <c r="AZ101" i="7"/>
  <c r="AZ102" i="7"/>
  <c r="AZ103" i="7"/>
  <c r="AZ104" i="7"/>
  <c r="AZ105" i="7"/>
  <c r="AZ106" i="7"/>
  <c r="AZ107" i="7"/>
  <c r="AZ108" i="7"/>
  <c r="AZ109" i="7"/>
  <c r="AZ110" i="7"/>
  <c r="AZ111" i="7"/>
  <c r="AZ112" i="7"/>
  <c r="AZ113" i="7"/>
  <c r="AZ114" i="7"/>
  <c r="AZ115" i="7"/>
  <c r="AZ116" i="7"/>
  <c r="AZ117" i="7"/>
  <c r="AZ118" i="7"/>
  <c r="AZ119" i="7"/>
  <c r="AZ120" i="7"/>
  <c r="AZ121" i="7"/>
  <c r="AZ122" i="7"/>
  <c r="AZ123" i="7"/>
  <c r="AZ124" i="7"/>
  <c r="AZ125" i="7"/>
  <c r="AZ126" i="7"/>
  <c r="AZ127" i="7"/>
  <c r="AZ128" i="7"/>
  <c r="AZ129" i="7"/>
  <c r="AZ130" i="7"/>
  <c r="AZ131" i="7"/>
  <c r="AZ132" i="7"/>
  <c r="AZ133" i="7"/>
  <c r="AZ134" i="7"/>
  <c r="AZ135" i="7"/>
  <c r="AZ136" i="7"/>
  <c r="AZ137" i="7"/>
  <c r="AZ138" i="7"/>
  <c r="AZ139" i="7"/>
  <c r="AZ140" i="7"/>
  <c r="AZ141" i="7"/>
  <c r="AZ142" i="7"/>
  <c r="AZ143" i="7"/>
  <c r="AZ144" i="7"/>
  <c r="AZ145" i="7"/>
  <c r="AZ146" i="7"/>
  <c r="AZ147" i="7"/>
  <c r="AZ148" i="7"/>
  <c r="AZ149" i="7"/>
  <c r="AZ150" i="7"/>
  <c r="AZ151" i="7"/>
  <c r="AZ152" i="7"/>
  <c r="AZ153" i="7"/>
  <c r="AZ154" i="7"/>
  <c r="AZ155" i="7"/>
  <c r="AZ156" i="7"/>
  <c r="AZ157" i="7"/>
  <c r="AZ158" i="7"/>
  <c r="AZ159" i="7"/>
  <c r="AZ160" i="7"/>
  <c r="AZ161" i="7"/>
  <c r="AZ162" i="7"/>
  <c r="AZ163" i="7"/>
  <c r="AZ164" i="7"/>
  <c r="AZ165" i="7"/>
  <c r="AZ166" i="7"/>
  <c r="AZ167" i="7"/>
  <c r="AZ168" i="7"/>
  <c r="AZ169" i="7"/>
  <c r="AZ170" i="7"/>
  <c r="AZ171" i="7"/>
  <c r="AZ172" i="7"/>
  <c r="AZ173" i="7"/>
  <c r="AZ174" i="7"/>
  <c r="AZ175" i="7"/>
  <c r="AZ176" i="7"/>
  <c r="AZ177" i="7"/>
  <c r="AZ178" i="7"/>
  <c r="AZ179" i="7"/>
  <c r="AZ180" i="7"/>
  <c r="AZ181" i="7"/>
  <c r="AZ182" i="7"/>
  <c r="AZ183" i="7"/>
  <c r="AZ184" i="7"/>
  <c r="AZ185" i="7"/>
  <c r="AZ186" i="7"/>
  <c r="AZ187" i="7"/>
  <c r="AZ188" i="7"/>
  <c r="AZ189" i="7"/>
  <c r="AZ190" i="7"/>
  <c r="AZ191" i="7"/>
  <c r="AZ192" i="7"/>
  <c r="AZ193" i="7"/>
  <c r="AZ194" i="7"/>
  <c r="AZ195" i="7"/>
  <c r="AZ196" i="7"/>
  <c r="AZ197" i="7"/>
  <c r="AZ198" i="7"/>
  <c r="AZ199" i="7"/>
  <c r="AZ200" i="7"/>
  <c r="AZ201" i="7"/>
  <c r="AZ202" i="7"/>
  <c r="AZ203" i="7"/>
  <c r="AZ204" i="7"/>
  <c r="AZ205" i="7"/>
  <c r="AZ206" i="7"/>
  <c r="AZ207" i="7"/>
  <c r="AZ208" i="7"/>
  <c r="AZ209" i="7"/>
  <c r="AZ210" i="7"/>
  <c r="AZ211" i="7"/>
  <c r="AZ212" i="7"/>
  <c r="AZ213" i="7"/>
  <c r="AZ214" i="7"/>
  <c r="AZ215" i="7"/>
  <c r="AZ216" i="7"/>
  <c r="AZ217" i="7"/>
  <c r="AZ218" i="7"/>
  <c r="AZ219" i="7"/>
  <c r="AZ220" i="7"/>
  <c r="AZ221" i="7"/>
  <c r="AZ222" i="7"/>
  <c r="AZ223" i="7"/>
  <c r="AZ224" i="7"/>
  <c r="AZ225" i="7"/>
  <c r="AZ226" i="7"/>
  <c r="AZ227" i="7"/>
  <c r="AZ228" i="7"/>
  <c r="AZ229" i="7"/>
  <c r="AZ230" i="7"/>
  <c r="AZ231" i="7"/>
  <c r="AZ232" i="7"/>
  <c r="AZ233" i="7"/>
  <c r="AZ234" i="7"/>
  <c r="AZ235" i="7"/>
  <c r="AZ236" i="7"/>
  <c r="AZ237" i="7"/>
  <c r="AZ238" i="7"/>
  <c r="AZ239" i="7"/>
  <c r="AZ240" i="7"/>
  <c r="AZ241" i="7"/>
  <c r="AZ242" i="7"/>
  <c r="AZ243" i="7"/>
  <c r="AZ244" i="7"/>
  <c r="AZ245" i="7"/>
  <c r="AZ246" i="7"/>
  <c r="AZ247" i="7"/>
  <c r="AZ248" i="7"/>
  <c r="AZ249" i="7"/>
  <c r="AZ250" i="7"/>
  <c r="AZ251" i="7"/>
  <c r="AZ252" i="7"/>
  <c r="AZ253" i="7"/>
  <c r="AZ254" i="7"/>
  <c r="AZ255" i="7"/>
  <c r="AZ256" i="7"/>
  <c r="AZ257" i="7"/>
  <c r="AZ258" i="7"/>
  <c r="AZ259" i="7"/>
  <c r="AZ260" i="7"/>
  <c r="AZ261" i="7"/>
  <c r="AZ262" i="7"/>
  <c r="AZ263" i="7"/>
  <c r="AZ264" i="7"/>
  <c r="AZ265" i="7"/>
  <c r="AZ266" i="7"/>
  <c r="AZ267" i="7"/>
  <c r="AZ268" i="7"/>
  <c r="AZ269" i="7"/>
  <c r="AZ270" i="7"/>
  <c r="AZ271" i="7"/>
  <c r="AZ272" i="7"/>
  <c r="AZ273" i="7"/>
  <c r="AZ274" i="7"/>
  <c r="AZ275" i="7"/>
  <c r="AZ276" i="7"/>
  <c r="AZ277" i="7"/>
  <c r="AZ278" i="7"/>
  <c r="AZ279" i="7"/>
  <c r="AZ280" i="7"/>
  <c r="AZ281" i="7"/>
  <c r="AZ282" i="7"/>
  <c r="AZ283" i="7"/>
  <c r="AZ284" i="7"/>
  <c r="AZ285" i="7"/>
  <c r="AZ286" i="7"/>
  <c r="AZ287" i="7"/>
  <c r="AZ288" i="7"/>
  <c r="AZ289" i="7"/>
  <c r="AZ290" i="7"/>
  <c r="AZ291" i="7"/>
  <c r="AZ292" i="7"/>
  <c r="AZ293" i="7"/>
  <c r="AZ294" i="7"/>
  <c r="AZ295" i="7"/>
  <c r="AZ296" i="7"/>
  <c r="AZ297" i="7"/>
  <c r="AZ298" i="7"/>
  <c r="AZ299" i="7"/>
  <c r="AZ300" i="7"/>
  <c r="AZ301" i="7"/>
  <c r="AZ302" i="7"/>
  <c r="AZ303" i="7"/>
  <c r="AZ304" i="7"/>
  <c r="AZ305" i="7"/>
  <c r="AZ306" i="7"/>
  <c r="AZ307" i="7"/>
  <c r="AZ308" i="7"/>
  <c r="AZ309" i="7"/>
  <c r="AZ310" i="7"/>
  <c r="AZ311" i="7"/>
  <c r="AZ312" i="7"/>
  <c r="AZ313" i="7"/>
  <c r="AZ314" i="7"/>
  <c r="AZ315" i="7"/>
  <c r="AZ316" i="7"/>
  <c r="AZ317" i="7"/>
  <c r="AZ318" i="7"/>
  <c r="AZ319" i="7"/>
  <c r="AZ320" i="7"/>
  <c r="AZ321" i="7"/>
  <c r="AZ322" i="7"/>
  <c r="AZ323" i="7"/>
  <c r="AZ324" i="7"/>
  <c r="AZ325" i="7"/>
  <c r="AZ326" i="7"/>
  <c r="AZ327" i="7"/>
  <c r="AZ328" i="7"/>
  <c r="AZ329" i="7"/>
  <c r="AZ330" i="7"/>
  <c r="AZ331" i="7"/>
  <c r="AZ332" i="7"/>
  <c r="AZ333" i="7"/>
  <c r="AZ334" i="7"/>
  <c r="AZ335" i="7"/>
  <c r="AZ336" i="7"/>
  <c r="AZ337" i="7"/>
  <c r="AZ338" i="7"/>
  <c r="AZ339" i="7"/>
  <c r="AZ340" i="7"/>
  <c r="AZ341" i="7"/>
  <c r="AZ342" i="7"/>
  <c r="AZ343" i="7"/>
  <c r="AZ344" i="7"/>
  <c r="AZ345" i="7"/>
  <c r="AZ346" i="7"/>
  <c r="AZ347" i="7"/>
  <c r="AZ348" i="7"/>
  <c r="AZ349" i="7"/>
  <c r="AZ350" i="7"/>
  <c r="AZ351" i="7"/>
  <c r="AZ352" i="7"/>
  <c r="AZ353" i="7"/>
  <c r="AZ354" i="7"/>
  <c r="AZ355" i="7"/>
  <c r="AZ356" i="7"/>
  <c r="AZ357" i="7"/>
  <c r="AZ358" i="7"/>
  <c r="AZ359" i="7"/>
  <c r="AZ360" i="7"/>
  <c r="AZ361" i="7"/>
  <c r="AZ362" i="7"/>
  <c r="AZ363" i="7"/>
  <c r="AZ364" i="7"/>
  <c r="AZ365" i="7"/>
  <c r="AZ366" i="7"/>
  <c r="AZ367" i="7"/>
  <c r="AZ368" i="7"/>
  <c r="AZ369" i="7"/>
  <c r="AZ370" i="7"/>
  <c r="AZ371" i="7"/>
  <c r="AZ372" i="7"/>
  <c r="AZ373" i="7"/>
  <c r="AZ374" i="7"/>
  <c r="AZ375" i="7"/>
  <c r="AZ376" i="7"/>
  <c r="AZ377" i="7"/>
  <c r="AZ378" i="7"/>
  <c r="AZ379" i="7"/>
  <c r="AZ380" i="7"/>
  <c r="AZ381" i="7"/>
  <c r="AZ382" i="7"/>
  <c r="AZ383" i="7"/>
  <c r="AZ384" i="7"/>
  <c r="AZ385" i="7"/>
  <c r="AZ386" i="7"/>
  <c r="AZ387" i="7"/>
  <c r="AZ388" i="7"/>
  <c r="AZ389" i="7"/>
  <c r="AZ390" i="7"/>
  <c r="AZ391" i="7"/>
  <c r="AZ392" i="7"/>
  <c r="AZ393" i="7"/>
  <c r="AZ394" i="7"/>
  <c r="AZ395" i="7"/>
  <c r="AZ396" i="7"/>
  <c r="AZ397" i="7"/>
  <c r="AZ398" i="7"/>
  <c r="AZ399" i="7"/>
  <c r="AZ400" i="7"/>
  <c r="AZ401" i="7"/>
  <c r="AZ402" i="7"/>
  <c r="AZ403" i="7"/>
  <c r="AZ404" i="7"/>
  <c r="AZ405" i="7"/>
  <c r="AZ406" i="7"/>
  <c r="AZ407" i="7"/>
  <c r="AZ408" i="7"/>
  <c r="AZ409" i="7"/>
  <c r="AZ410" i="7"/>
  <c r="AZ411" i="7"/>
  <c r="AZ412" i="7"/>
  <c r="AZ413" i="7"/>
  <c r="AZ414" i="7"/>
  <c r="AZ415" i="7"/>
  <c r="AZ416" i="7"/>
  <c r="AZ417" i="7"/>
  <c r="AZ418" i="7"/>
  <c r="AZ419" i="7"/>
  <c r="AZ420" i="7"/>
  <c r="AZ421" i="7"/>
  <c r="AZ422" i="7"/>
  <c r="AZ423" i="7"/>
  <c r="AZ424" i="7"/>
  <c r="AZ425" i="7"/>
  <c r="AZ426" i="7"/>
  <c r="AZ427" i="7"/>
  <c r="AZ428" i="7"/>
  <c r="AZ429" i="7"/>
  <c r="AZ430" i="7"/>
  <c r="AZ431" i="7"/>
  <c r="AZ432" i="7"/>
  <c r="AZ433" i="7"/>
  <c r="AZ434" i="7"/>
  <c r="AZ435" i="7"/>
  <c r="AZ436" i="7"/>
  <c r="AZ437" i="7"/>
  <c r="AZ438" i="7"/>
  <c r="AZ439" i="7"/>
  <c r="AZ440" i="7"/>
  <c r="AZ441" i="7"/>
  <c r="AZ442" i="7"/>
  <c r="AZ443" i="7"/>
  <c r="AZ444" i="7"/>
  <c r="AZ445" i="7"/>
  <c r="AZ446" i="7"/>
  <c r="AZ447" i="7"/>
  <c r="AZ448" i="7"/>
  <c r="AZ449" i="7"/>
  <c r="AZ450" i="7"/>
  <c r="AZ451" i="7"/>
  <c r="AZ452" i="7"/>
  <c r="AZ453" i="7"/>
  <c r="AZ454" i="7"/>
  <c r="AZ455" i="7"/>
  <c r="AZ456" i="7"/>
  <c r="AZ457" i="7"/>
  <c r="AZ458" i="7"/>
  <c r="AZ459" i="7"/>
  <c r="AZ460" i="7"/>
  <c r="AZ461" i="7"/>
  <c r="AZ462" i="7"/>
  <c r="AZ463" i="7"/>
  <c r="AZ464" i="7"/>
  <c r="AZ465" i="7"/>
  <c r="AZ466" i="7"/>
  <c r="AZ467" i="7"/>
  <c r="AZ468" i="7"/>
  <c r="AZ469" i="7"/>
  <c r="AZ470" i="7"/>
  <c r="AZ471" i="7"/>
  <c r="AZ472" i="7"/>
  <c r="AZ473" i="7"/>
  <c r="AZ474" i="7"/>
  <c r="AZ475" i="7"/>
  <c r="AZ476" i="7"/>
  <c r="AZ477" i="7"/>
  <c r="AZ478" i="7"/>
  <c r="AZ479" i="7"/>
  <c r="AZ480" i="7"/>
  <c r="AZ481" i="7"/>
  <c r="AZ482" i="7"/>
  <c r="AZ483" i="7"/>
  <c r="AZ484" i="7"/>
  <c r="AZ485" i="7"/>
  <c r="AZ486" i="7"/>
  <c r="AZ487" i="7"/>
  <c r="AZ488" i="7"/>
  <c r="AZ489" i="7"/>
  <c r="AZ490" i="7"/>
  <c r="AZ491" i="7"/>
  <c r="AZ492" i="7"/>
  <c r="AZ493" i="7"/>
  <c r="AZ494" i="7"/>
  <c r="AZ495" i="7"/>
  <c r="AZ496" i="7"/>
  <c r="AZ497" i="7"/>
  <c r="AZ498" i="7"/>
  <c r="AZ499" i="7"/>
  <c r="AZ500" i="7"/>
  <c r="AZ501" i="7"/>
  <c r="AZ502" i="7"/>
  <c r="AZ503" i="7"/>
  <c r="AZ504" i="7"/>
  <c r="AZ505" i="7"/>
  <c r="AZ506" i="7"/>
  <c r="AZ507" i="7"/>
  <c r="AZ508" i="7"/>
  <c r="AZ509" i="7"/>
  <c r="AZ510" i="7"/>
  <c r="AZ511" i="7"/>
  <c r="AZ512" i="7"/>
  <c r="AZ513" i="7"/>
  <c r="AZ514" i="7"/>
  <c r="AZ515" i="7"/>
  <c r="AZ516" i="7"/>
  <c r="AZ517" i="7"/>
  <c r="AZ518" i="7"/>
  <c r="AZ519" i="7"/>
  <c r="AZ520" i="7"/>
  <c r="AZ521" i="7"/>
  <c r="AZ522" i="7"/>
  <c r="AZ523" i="7"/>
  <c r="AZ524" i="7"/>
  <c r="AZ525" i="7"/>
  <c r="AZ526" i="7"/>
  <c r="AZ527" i="7"/>
  <c r="AZ528" i="7"/>
  <c r="AZ529" i="7"/>
  <c r="AZ530" i="7"/>
  <c r="AZ531" i="7"/>
  <c r="AZ532" i="7"/>
  <c r="AZ533" i="7"/>
  <c r="AZ534" i="7"/>
  <c r="AZ535" i="7"/>
  <c r="AZ536" i="7"/>
  <c r="AZ537" i="7"/>
  <c r="AZ538" i="7"/>
  <c r="AZ539" i="7"/>
  <c r="AZ540" i="7"/>
  <c r="AZ541" i="7"/>
  <c r="AZ542" i="7"/>
  <c r="AZ543" i="7"/>
  <c r="AZ544" i="7"/>
  <c r="AZ545" i="7"/>
  <c r="AZ546" i="7"/>
  <c r="AZ547" i="7"/>
  <c r="AZ548" i="7"/>
  <c r="AZ549" i="7"/>
  <c r="AZ550" i="7"/>
  <c r="AZ551" i="7"/>
  <c r="AZ552" i="7"/>
  <c r="AZ553" i="7"/>
  <c r="AZ554" i="7"/>
  <c r="AZ555" i="7"/>
  <c r="AZ556" i="7"/>
  <c r="AZ557" i="7"/>
  <c r="AZ558" i="7"/>
  <c r="AZ559" i="7"/>
  <c r="AZ560" i="7"/>
  <c r="AZ561" i="7"/>
  <c r="AZ562" i="7"/>
  <c r="AZ563" i="7"/>
  <c r="AZ564" i="7"/>
  <c r="AZ565" i="7"/>
  <c r="AZ566" i="7"/>
  <c r="AZ567" i="7"/>
  <c r="AZ568" i="7"/>
  <c r="AZ569" i="7"/>
  <c r="AZ570" i="7"/>
  <c r="AZ571" i="7"/>
  <c r="AZ572" i="7"/>
  <c r="AZ573" i="7"/>
  <c r="AZ574" i="7"/>
  <c r="AZ575" i="7"/>
  <c r="AZ576" i="7"/>
  <c r="AZ577" i="7"/>
  <c r="AZ578" i="7"/>
  <c r="AZ579" i="7"/>
  <c r="AZ580" i="7"/>
  <c r="AZ581" i="7"/>
  <c r="AZ582" i="7"/>
  <c r="AZ583" i="7"/>
  <c r="AZ584" i="7"/>
  <c r="AZ585" i="7"/>
  <c r="AZ586" i="7"/>
  <c r="AZ587" i="7"/>
  <c r="AZ588" i="7"/>
  <c r="AZ589" i="7"/>
  <c r="AZ590" i="7"/>
  <c r="AZ591" i="7"/>
  <c r="AZ592" i="7"/>
  <c r="AZ593" i="7"/>
  <c r="AZ594" i="7"/>
  <c r="AZ595" i="7"/>
  <c r="AZ596" i="7"/>
  <c r="AZ597" i="7"/>
  <c r="AZ598" i="7"/>
  <c r="AZ599" i="7"/>
  <c r="AZ600" i="7"/>
  <c r="AZ601" i="7"/>
  <c r="AZ602" i="7"/>
  <c r="AZ603" i="7"/>
  <c r="AZ604" i="7"/>
  <c r="AZ605" i="7"/>
  <c r="AZ606" i="7"/>
  <c r="AZ607" i="7"/>
  <c r="AZ608" i="7"/>
  <c r="AZ609" i="7"/>
  <c r="AZ610" i="7"/>
  <c r="AZ611" i="7"/>
  <c r="AZ612" i="7"/>
  <c r="AZ613" i="7"/>
  <c r="AZ614" i="7"/>
  <c r="AZ615" i="7"/>
  <c r="AZ616" i="7"/>
  <c r="AZ617" i="7"/>
  <c r="AZ618" i="7"/>
  <c r="AZ619" i="7"/>
  <c r="AZ620" i="7"/>
  <c r="AZ621" i="7"/>
  <c r="AZ622" i="7"/>
  <c r="AZ623" i="7"/>
  <c r="AZ624" i="7"/>
  <c r="AZ625" i="7"/>
  <c r="AZ626" i="7"/>
  <c r="AZ627" i="7"/>
  <c r="AZ628" i="7"/>
  <c r="AZ4" i="7"/>
  <c r="AV4" i="7"/>
  <c r="AV5" i="7"/>
  <c r="AV6" i="7"/>
  <c r="AV7" i="7"/>
  <c r="AV8" i="7"/>
  <c r="AV9" i="7"/>
  <c r="AV10" i="7"/>
  <c r="AV11" i="7"/>
  <c r="AV12" i="7"/>
  <c r="AV13" i="7"/>
  <c r="AV14" i="7"/>
  <c r="AV15" i="7"/>
  <c r="AV16" i="7"/>
  <c r="AV17" i="7"/>
  <c r="AV18" i="7"/>
  <c r="AV19" i="7"/>
  <c r="AV20" i="7"/>
  <c r="AV21" i="7"/>
  <c r="AV22" i="7"/>
  <c r="AV23" i="7"/>
  <c r="AV24" i="7"/>
  <c r="AV25" i="7"/>
  <c r="AV26" i="7"/>
  <c r="AV27" i="7"/>
  <c r="AV28" i="7"/>
  <c r="AV29" i="7"/>
  <c r="AV30" i="7"/>
  <c r="AV31" i="7"/>
  <c r="AV32" i="7"/>
  <c r="AV33" i="7"/>
  <c r="AV34" i="7"/>
  <c r="AV35" i="7"/>
  <c r="AV36" i="7"/>
  <c r="AV37" i="7"/>
  <c r="AV38" i="7"/>
  <c r="AV39" i="7"/>
  <c r="AV40" i="7"/>
  <c r="AV41" i="7"/>
  <c r="AV42" i="7"/>
  <c r="AV43" i="7"/>
  <c r="AV44" i="7"/>
  <c r="AV45" i="7"/>
  <c r="AV46" i="7"/>
  <c r="AV47" i="7"/>
  <c r="AV48" i="7"/>
  <c r="AV49" i="7"/>
  <c r="AV50" i="7"/>
  <c r="AV51" i="7"/>
  <c r="AV52" i="7"/>
  <c r="AV53" i="7"/>
  <c r="AV54" i="7"/>
  <c r="AV55" i="7"/>
  <c r="AV56" i="7"/>
  <c r="AV57" i="7"/>
  <c r="AV58" i="7"/>
  <c r="AV59" i="7"/>
  <c r="AV60" i="7"/>
  <c r="AV61" i="7"/>
  <c r="AV62" i="7"/>
  <c r="AV63" i="7"/>
  <c r="AV64" i="7"/>
  <c r="AV65" i="7"/>
  <c r="AV66" i="7"/>
  <c r="AV67" i="7"/>
  <c r="AV68" i="7"/>
  <c r="AV69" i="7"/>
  <c r="AV70" i="7"/>
  <c r="AV71" i="7"/>
  <c r="AV72" i="7"/>
  <c r="AV73" i="7"/>
  <c r="AV74" i="7"/>
  <c r="AV75" i="7"/>
  <c r="AV76" i="7"/>
  <c r="AV77" i="7"/>
  <c r="AV78" i="7"/>
  <c r="AV79" i="7"/>
  <c r="AV80" i="7"/>
  <c r="AV81" i="7"/>
  <c r="AV82" i="7"/>
  <c r="AV83" i="7"/>
  <c r="AV84" i="7"/>
  <c r="AV85" i="7"/>
  <c r="AV86" i="7"/>
  <c r="AV87" i="7"/>
  <c r="AV88" i="7"/>
  <c r="AV89" i="7"/>
  <c r="AV90" i="7"/>
  <c r="AV91" i="7"/>
  <c r="AV92" i="7"/>
  <c r="AV93" i="7"/>
  <c r="AV94" i="7"/>
  <c r="AV95" i="7"/>
  <c r="AV96" i="7"/>
  <c r="AV97" i="7"/>
  <c r="AV98" i="7"/>
  <c r="AV99" i="7"/>
  <c r="AV100" i="7"/>
  <c r="AV101" i="7"/>
  <c r="AV102" i="7"/>
  <c r="AV103" i="7"/>
  <c r="AV104" i="7"/>
  <c r="AV105" i="7"/>
  <c r="AV106" i="7"/>
  <c r="AV107" i="7"/>
  <c r="AV108" i="7"/>
  <c r="AV109" i="7"/>
  <c r="AV110" i="7"/>
  <c r="AV111" i="7"/>
  <c r="AV112" i="7"/>
  <c r="AV113" i="7"/>
  <c r="AV114" i="7"/>
  <c r="AV115" i="7"/>
  <c r="AV116" i="7"/>
  <c r="AV117" i="7"/>
  <c r="AV118" i="7"/>
  <c r="AV119" i="7"/>
  <c r="AV120" i="7"/>
  <c r="AV121" i="7"/>
  <c r="AV122" i="7"/>
  <c r="AV123" i="7"/>
  <c r="AV124" i="7"/>
  <c r="AV125" i="7"/>
  <c r="AV126" i="7"/>
  <c r="AV127" i="7"/>
  <c r="AV128" i="7"/>
  <c r="AV129" i="7"/>
  <c r="AV130" i="7"/>
  <c r="AV131" i="7"/>
  <c r="AV132" i="7"/>
  <c r="AV133" i="7"/>
  <c r="AV134" i="7"/>
  <c r="AV135" i="7"/>
  <c r="AV136" i="7"/>
  <c r="AV137" i="7"/>
  <c r="AV138" i="7"/>
  <c r="AV139" i="7"/>
  <c r="AV140" i="7"/>
  <c r="AV141" i="7"/>
  <c r="AV142" i="7"/>
  <c r="AV143" i="7"/>
  <c r="AV144" i="7"/>
  <c r="AV145" i="7"/>
  <c r="AV146" i="7"/>
  <c r="AV147" i="7"/>
  <c r="AV148" i="7"/>
  <c r="AV149" i="7"/>
  <c r="AV150" i="7"/>
  <c r="AV151" i="7"/>
  <c r="AV152" i="7"/>
  <c r="AV153" i="7"/>
  <c r="AV154" i="7"/>
  <c r="AV155" i="7"/>
  <c r="AV156" i="7"/>
  <c r="AV157" i="7"/>
  <c r="AV158" i="7"/>
  <c r="AV159" i="7"/>
  <c r="AV160" i="7"/>
  <c r="AV161" i="7"/>
  <c r="AV162" i="7"/>
  <c r="AV163" i="7"/>
  <c r="AV164" i="7"/>
  <c r="AV165" i="7"/>
  <c r="AV166" i="7"/>
  <c r="AV167" i="7"/>
  <c r="AV168" i="7"/>
  <c r="AV169" i="7"/>
  <c r="AV170" i="7"/>
  <c r="AV171" i="7"/>
  <c r="AV172" i="7"/>
  <c r="AV173" i="7"/>
  <c r="AV174" i="7"/>
  <c r="AV175" i="7"/>
  <c r="AV176" i="7"/>
  <c r="AV177" i="7"/>
  <c r="AV178" i="7"/>
  <c r="AV179" i="7"/>
  <c r="AV180" i="7"/>
  <c r="AV181" i="7"/>
  <c r="AV182" i="7"/>
  <c r="AV183" i="7"/>
  <c r="AV184" i="7"/>
  <c r="AV185" i="7"/>
  <c r="AV186" i="7"/>
  <c r="AV187" i="7"/>
  <c r="AV188" i="7"/>
  <c r="AV189" i="7"/>
  <c r="AV190" i="7"/>
  <c r="AV191" i="7"/>
  <c r="AV192" i="7"/>
  <c r="AV193" i="7"/>
  <c r="AV194" i="7"/>
  <c r="AV195" i="7"/>
  <c r="AV196" i="7"/>
  <c r="AV197" i="7"/>
  <c r="AV198" i="7"/>
  <c r="AV199" i="7"/>
  <c r="AV200" i="7"/>
  <c r="AV201" i="7"/>
  <c r="AV202" i="7"/>
  <c r="AV203" i="7"/>
  <c r="AV204" i="7"/>
  <c r="AV205" i="7"/>
  <c r="AV206" i="7"/>
  <c r="AV207" i="7"/>
  <c r="AV208" i="7"/>
  <c r="AV209" i="7"/>
  <c r="AV210" i="7"/>
  <c r="AV211" i="7"/>
  <c r="AV212" i="7"/>
  <c r="AV213" i="7"/>
  <c r="AV214" i="7"/>
  <c r="AV215" i="7"/>
  <c r="AV216" i="7"/>
  <c r="AV217" i="7"/>
  <c r="AV218" i="7"/>
  <c r="AV219" i="7"/>
  <c r="AV220" i="7"/>
  <c r="AV221" i="7"/>
  <c r="AV222" i="7"/>
  <c r="AV223" i="7"/>
  <c r="AV224" i="7"/>
  <c r="AV225" i="7"/>
  <c r="AV226" i="7"/>
  <c r="AV227" i="7"/>
  <c r="AV228" i="7"/>
  <c r="AV229" i="7"/>
  <c r="AV230" i="7"/>
  <c r="AV231" i="7"/>
  <c r="AV232" i="7"/>
  <c r="AV233" i="7"/>
  <c r="AV234" i="7"/>
  <c r="AV235" i="7"/>
  <c r="AV236" i="7"/>
  <c r="AV237" i="7"/>
  <c r="AV238" i="7"/>
  <c r="AV239" i="7"/>
  <c r="AV240" i="7"/>
  <c r="AV241" i="7"/>
  <c r="AV242" i="7"/>
  <c r="AV243" i="7"/>
  <c r="AV244" i="7"/>
  <c r="AV245" i="7"/>
  <c r="AV246" i="7"/>
  <c r="AV247" i="7"/>
  <c r="AV248" i="7"/>
  <c r="AV249" i="7"/>
  <c r="AV250" i="7"/>
  <c r="AV251" i="7"/>
  <c r="AV252" i="7"/>
  <c r="AV253" i="7"/>
  <c r="AV254" i="7"/>
  <c r="AV255" i="7"/>
  <c r="AV256" i="7"/>
  <c r="AV257" i="7"/>
  <c r="AV258" i="7"/>
  <c r="AV259" i="7"/>
  <c r="AV260" i="7"/>
  <c r="AV261" i="7"/>
  <c r="AV262" i="7"/>
  <c r="AV263" i="7"/>
  <c r="AV264" i="7"/>
  <c r="AV265" i="7"/>
  <c r="AV266" i="7"/>
  <c r="AV267" i="7"/>
  <c r="AV268" i="7"/>
  <c r="AV269" i="7"/>
  <c r="AV270" i="7"/>
  <c r="AV271" i="7"/>
  <c r="AV272" i="7"/>
  <c r="AV273" i="7"/>
  <c r="AV274" i="7"/>
  <c r="AV275" i="7"/>
  <c r="AV276" i="7"/>
  <c r="AV277" i="7"/>
  <c r="AV278" i="7"/>
  <c r="AV279" i="7"/>
  <c r="AV280" i="7"/>
  <c r="AV281" i="7"/>
  <c r="AV282" i="7"/>
  <c r="AV283" i="7"/>
  <c r="AV284" i="7"/>
  <c r="AV285" i="7"/>
  <c r="AV286" i="7"/>
  <c r="AV287" i="7"/>
  <c r="AV288" i="7"/>
  <c r="AV289" i="7"/>
  <c r="AV290" i="7"/>
  <c r="AV291" i="7"/>
  <c r="AV292" i="7"/>
  <c r="AV293" i="7"/>
  <c r="AV294" i="7"/>
  <c r="AV295" i="7"/>
  <c r="AV296" i="7"/>
  <c r="AV297" i="7"/>
  <c r="AV298" i="7"/>
  <c r="AV299" i="7"/>
  <c r="AV300" i="7"/>
  <c r="AV301" i="7"/>
  <c r="AV302" i="7"/>
  <c r="AV303" i="7"/>
  <c r="AV304" i="7"/>
  <c r="AV305" i="7"/>
  <c r="AV306" i="7"/>
  <c r="AV307" i="7"/>
  <c r="AV308" i="7"/>
  <c r="AV309" i="7"/>
  <c r="AV310" i="7"/>
  <c r="AV311" i="7"/>
  <c r="AV312" i="7"/>
  <c r="AV313" i="7"/>
  <c r="AV314" i="7"/>
  <c r="AV315" i="7"/>
  <c r="AV316" i="7"/>
  <c r="AV317" i="7"/>
  <c r="AV318" i="7"/>
  <c r="AV319" i="7"/>
  <c r="AV320" i="7"/>
  <c r="AV321" i="7"/>
  <c r="AV322" i="7"/>
  <c r="AV323" i="7"/>
  <c r="AV324" i="7"/>
  <c r="AV325" i="7"/>
  <c r="AV326" i="7"/>
  <c r="AV327" i="7"/>
  <c r="AV328" i="7"/>
  <c r="AV329" i="7"/>
  <c r="AV330" i="7"/>
  <c r="AV331" i="7"/>
  <c r="AV332" i="7"/>
  <c r="AV333" i="7"/>
  <c r="AV334" i="7"/>
  <c r="AV335" i="7"/>
  <c r="AV336" i="7"/>
  <c r="AV337" i="7"/>
  <c r="AV338" i="7"/>
  <c r="AV339" i="7"/>
  <c r="AV340" i="7"/>
  <c r="AV341" i="7"/>
  <c r="AV342" i="7"/>
  <c r="AV343" i="7"/>
  <c r="AV344" i="7"/>
  <c r="AV345" i="7"/>
  <c r="AV346" i="7"/>
  <c r="AV347" i="7"/>
  <c r="AV348" i="7"/>
  <c r="AV349" i="7"/>
  <c r="AV350" i="7"/>
  <c r="AV351" i="7"/>
  <c r="AV352" i="7"/>
  <c r="AV353" i="7"/>
  <c r="AV354" i="7"/>
  <c r="AV355" i="7"/>
  <c r="AV356" i="7"/>
  <c r="AV357" i="7"/>
  <c r="AV358" i="7"/>
  <c r="AV359" i="7"/>
  <c r="AV360" i="7"/>
  <c r="AV361" i="7"/>
  <c r="AV362" i="7"/>
  <c r="AV363" i="7"/>
  <c r="AV364" i="7"/>
  <c r="AV365" i="7"/>
  <c r="AV366" i="7"/>
  <c r="AV367" i="7"/>
  <c r="AV368" i="7"/>
  <c r="AV369" i="7"/>
  <c r="AV370" i="7"/>
  <c r="AV371" i="7"/>
  <c r="AV372" i="7"/>
  <c r="AV373" i="7"/>
  <c r="AV374" i="7"/>
  <c r="AV375" i="7"/>
  <c r="AV376" i="7"/>
  <c r="AV377" i="7"/>
  <c r="AV378" i="7"/>
  <c r="AV379" i="7"/>
  <c r="AV380" i="7"/>
  <c r="AV381" i="7"/>
  <c r="AV382" i="7"/>
  <c r="AV383" i="7"/>
  <c r="AV384" i="7"/>
  <c r="AV385" i="7"/>
  <c r="AV386" i="7"/>
  <c r="AV387" i="7"/>
  <c r="AV388" i="7"/>
  <c r="AV389" i="7"/>
  <c r="AV390" i="7"/>
  <c r="AV391" i="7"/>
  <c r="AV392" i="7"/>
  <c r="AV393" i="7"/>
  <c r="AV394" i="7"/>
  <c r="AV395" i="7"/>
  <c r="AV396" i="7"/>
  <c r="AV397" i="7"/>
  <c r="AV398" i="7"/>
  <c r="AV399" i="7"/>
  <c r="AV400" i="7"/>
  <c r="AV401" i="7"/>
  <c r="AV402" i="7"/>
  <c r="AV403" i="7"/>
  <c r="AV404" i="7"/>
  <c r="AV405" i="7"/>
  <c r="AV406" i="7"/>
  <c r="AV407" i="7"/>
  <c r="AV408" i="7"/>
  <c r="AV409" i="7"/>
  <c r="AV410" i="7"/>
  <c r="AV411" i="7"/>
  <c r="AV412" i="7"/>
  <c r="AV413" i="7"/>
  <c r="AV414" i="7"/>
  <c r="AV415" i="7"/>
  <c r="AV416" i="7"/>
  <c r="AV417" i="7"/>
  <c r="AV418" i="7"/>
  <c r="AV419" i="7"/>
  <c r="AV420" i="7"/>
  <c r="AV421" i="7"/>
  <c r="AV422" i="7"/>
  <c r="AV423" i="7"/>
  <c r="AV424" i="7"/>
  <c r="AV425" i="7"/>
  <c r="AV426" i="7"/>
  <c r="AV427" i="7"/>
  <c r="AV428" i="7"/>
  <c r="AV429" i="7"/>
  <c r="AV430" i="7"/>
  <c r="AV431" i="7"/>
  <c r="AV432" i="7"/>
  <c r="AV433" i="7"/>
  <c r="AV434" i="7"/>
  <c r="AV435" i="7"/>
  <c r="AV436" i="7"/>
  <c r="AV437" i="7"/>
  <c r="AV438" i="7"/>
  <c r="AV439" i="7"/>
  <c r="AV440" i="7"/>
  <c r="AV441" i="7"/>
  <c r="AV442" i="7"/>
  <c r="AV443" i="7"/>
  <c r="AV444" i="7"/>
  <c r="AV445" i="7"/>
  <c r="AV446" i="7"/>
  <c r="AV447" i="7"/>
  <c r="AV448" i="7"/>
  <c r="AV449" i="7"/>
  <c r="AV450" i="7"/>
  <c r="AV451" i="7"/>
  <c r="AV452" i="7"/>
  <c r="AV453" i="7"/>
  <c r="AV454" i="7"/>
  <c r="AV455" i="7"/>
  <c r="AV456" i="7"/>
  <c r="AV457" i="7"/>
  <c r="AV458" i="7"/>
  <c r="AV459" i="7"/>
  <c r="AV460" i="7"/>
  <c r="AV461" i="7"/>
  <c r="AV462" i="7"/>
  <c r="AV463" i="7"/>
  <c r="AV464" i="7"/>
  <c r="AV465" i="7"/>
  <c r="AV466" i="7"/>
  <c r="AV467" i="7"/>
  <c r="AV468" i="7"/>
  <c r="AV469" i="7"/>
  <c r="AV470" i="7"/>
  <c r="AV471" i="7"/>
  <c r="AV472" i="7"/>
  <c r="AV473" i="7"/>
  <c r="AV474" i="7"/>
  <c r="AV475" i="7"/>
  <c r="AV476" i="7"/>
  <c r="AV477" i="7"/>
  <c r="AV478" i="7"/>
  <c r="AV479" i="7"/>
  <c r="AV480" i="7"/>
  <c r="AV481" i="7"/>
  <c r="AV482" i="7"/>
  <c r="AV483" i="7"/>
  <c r="AV484" i="7"/>
  <c r="AV485" i="7"/>
  <c r="AV486" i="7"/>
  <c r="AV487" i="7"/>
  <c r="AV488" i="7"/>
  <c r="AV489" i="7"/>
  <c r="AV490" i="7"/>
  <c r="AV491" i="7"/>
  <c r="AV492" i="7"/>
  <c r="AV493" i="7"/>
  <c r="AV494" i="7"/>
  <c r="AV495" i="7"/>
  <c r="AV496" i="7"/>
  <c r="AV497" i="7"/>
  <c r="AV498" i="7"/>
  <c r="AV499" i="7"/>
  <c r="AV500" i="7"/>
  <c r="AV501" i="7"/>
  <c r="AV502" i="7"/>
  <c r="AV503" i="7"/>
  <c r="AV504" i="7"/>
  <c r="AV505" i="7"/>
  <c r="AV506" i="7"/>
  <c r="AV507" i="7"/>
  <c r="AV508" i="7"/>
  <c r="AV509" i="7"/>
  <c r="AV510" i="7"/>
  <c r="AV511" i="7"/>
  <c r="AV512" i="7"/>
  <c r="AV513" i="7"/>
  <c r="AV514" i="7"/>
  <c r="AV515" i="7"/>
  <c r="AV516" i="7"/>
  <c r="AV517" i="7"/>
  <c r="AV518" i="7"/>
  <c r="AV519" i="7"/>
  <c r="AV520" i="7"/>
  <c r="AV521" i="7"/>
  <c r="AV522" i="7"/>
  <c r="AV523" i="7"/>
  <c r="AV524" i="7"/>
  <c r="AV525" i="7"/>
  <c r="AV526" i="7"/>
  <c r="AV527" i="7"/>
  <c r="AV528" i="7"/>
  <c r="AV529" i="7"/>
  <c r="AV530" i="7"/>
  <c r="AV531" i="7"/>
  <c r="AV532" i="7"/>
  <c r="AV533" i="7"/>
  <c r="AV537" i="7"/>
  <c r="AV538" i="7"/>
  <c r="AV539" i="7"/>
  <c r="AV540" i="7"/>
  <c r="AV541" i="7"/>
  <c r="AV542" i="7"/>
  <c r="AV543" i="7"/>
  <c r="AV544" i="7"/>
  <c r="AV545" i="7"/>
  <c r="AV546" i="7"/>
  <c r="AV551" i="7"/>
  <c r="AV552" i="7"/>
  <c r="AV553" i="7"/>
  <c r="AV554" i="7"/>
  <c r="AV555" i="7"/>
  <c r="AV556" i="7"/>
  <c r="AV557" i="7"/>
  <c r="AV558" i="7"/>
  <c r="AV559" i="7"/>
  <c r="AV560" i="7"/>
  <c r="AV561" i="7"/>
  <c r="AV562" i="7"/>
  <c r="AV563" i="7"/>
  <c r="AV564" i="7"/>
  <c r="AV565" i="7"/>
  <c r="AV566" i="7"/>
  <c r="AV567" i="7"/>
  <c r="AV568" i="7"/>
  <c r="AV569" i="7"/>
  <c r="AV570" i="7"/>
  <c r="AV571" i="7"/>
  <c r="AV572" i="7"/>
  <c r="AV573" i="7"/>
  <c r="AV574" i="7"/>
  <c r="AV575" i="7"/>
  <c r="AV576" i="7"/>
  <c r="AV577" i="7"/>
  <c r="AV578" i="7"/>
  <c r="AV579" i="7"/>
  <c r="AV580" i="7"/>
  <c r="AV581" i="7"/>
  <c r="AV582" i="7"/>
  <c r="AV583" i="7"/>
  <c r="AV584" i="7"/>
  <c r="AV588" i="7"/>
  <c r="AV589" i="7"/>
  <c r="AV590" i="7"/>
  <c r="AV591" i="7"/>
  <c r="AV592" i="7"/>
  <c r="AV593" i="7"/>
  <c r="AV594" i="7"/>
  <c r="AV595" i="7"/>
  <c r="AV596" i="7"/>
  <c r="AV597" i="7"/>
  <c r="AV598" i="7"/>
  <c r="AV599" i="7"/>
  <c r="AV600" i="7"/>
  <c r="AV601" i="7"/>
  <c r="AV604" i="7"/>
  <c r="AV605" i="7"/>
  <c r="AV606" i="7"/>
  <c r="AV607" i="7"/>
  <c r="AV608" i="7"/>
  <c r="AV609" i="7"/>
  <c r="AV610" i="7"/>
  <c r="AV611" i="7"/>
  <c r="AV612" i="7"/>
  <c r="AV613" i="7"/>
  <c r="AV614" i="7"/>
  <c r="AV615" i="7"/>
  <c r="AV616" i="7"/>
  <c r="AV617" i="7"/>
  <c r="AV618" i="7"/>
  <c r="AV619" i="7"/>
  <c r="AV620" i="7"/>
  <c r="AV621" i="7"/>
  <c r="AV622" i="7"/>
  <c r="AV623" i="7"/>
  <c r="AV624" i="7"/>
  <c r="AV625" i="7"/>
  <c r="AV626" i="7"/>
  <c r="AV627" i="7"/>
  <c r="AV628"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R102" i="7"/>
  <c r="R103" i="7"/>
  <c r="R104" i="7"/>
  <c r="R105" i="7"/>
  <c r="R106" i="7"/>
  <c r="R107" i="7"/>
  <c r="R108" i="7"/>
  <c r="R109" i="7"/>
  <c r="R110" i="7"/>
  <c r="R111" i="7"/>
  <c r="R112" i="7"/>
  <c r="R113" i="7"/>
  <c r="R114" i="7"/>
  <c r="R115" i="7"/>
  <c r="R116" i="7"/>
  <c r="R117" i="7"/>
  <c r="R118" i="7"/>
  <c r="R119" i="7"/>
  <c r="R120" i="7"/>
  <c r="R121" i="7"/>
  <c r="R122" i="7"/>
  <c r="R123" i="7"/>
  <c r="R124" i="7"/>
  <c r="R125" i="7"/>
  <c r="R126" i="7"/>
  <c r="R127" i="7"/>
  <c r="R128" i="7"/>
  <c r="R129" i="7"/>
  <c r="R130" i="7"/>
  <c r="R131" i="7"/>
  <c r="R132" i="7"/>
  <c r="R133" i="7"/>
  <c r="R134" i="7"/>
  <c r="R135" i="7"/>
  <c r="R136" i="7"/>
  <c r="R137" i="7"/>
  <c r="R138" i="7"/>
  <c r="R139" i="7"/>
  <c r="R140" i="7"/>
  <c r="R141" i="7"/>
  <c r="R142" i="7"/>
  <c r="R143" i="7"/>
  <c r="R144" i="7"/>
  <c r="R145" i="7"/>
  <c r="R146" i="7"/>
  <c r="R147" i="7"/>
  <c r="R148" i="7"/>
  <c r="R149" i="7"/>
  <c r="R150" i="7"/>
  <c r="R151" i="7"/>
  <c r="R152" i="7"/>
  <c r="R153" i="7"/>
  <c r="R154" i="7"/>
  <c r="R155" i="7"/>
  <c r="R156" i="7"/>
  <c r="R157" i="7"/>
  <c r="R158" i="7"/>
  <c r="R159" i="7"/>
  <c r="R160" i="7"/>
  <c r="R161" i="7"/>
  <c r="R162" i="7"/>
  <c r="R163" i="7"/>
  <c r="R164" i="7"/>
  <c r="R165" i="7"/>
  <c r="R166" i="7"/>
  <c r="R167" i="7"/>
  <c r="R168" i="7"/>
  <c r="R169" i="7"/>
  <c r="R170" i="7"/>
  <c r="R171" i="7"/>
  <c r="R172" i="7"/>
  <c r="R173" i="7"/>
  <c r="R174" i="7"/>
  <c r="R175" i="7"/>
  <c r="R176" i="7"/>
  <c r="R177" i="7"/>
  <c r="R178" i="7"/>
  <c r="R179" i="7"/>
  <c r="R180" i="7"/>
  <c r="R181" i="7"/>
  <c r="R182" i="7"/>
  <c r="R183" i="7"/>
  <c r="R184" i="7"/>
  <c r="R185" i="7"/>
  <c r="R186" i="7"/>
  <c r="R187" i="7"/>
  <c r="R188" i="7"/>
  <c r="R189" i="7"/>
  <c r="R190" i="7"/>
  <c r="R191" i="7"/>
  <c r="R192" i="7"/>
  <c r="R193" i="7"/>
  <c r="R194" i="7"/>
  <c r="R195" i="7"/>
  <c r="R196" i="7"/>
  <c r="R197" i="7"/>
  <c r="R198" i="7"/>
  <c r="R199" i="7"/>
  <c r="R200" i="7"/>
  <c r="R201" i="7"/>
  <c r="R202" i="7"/>
  <c r="R203" i="7"/>
  <c r="R204" i="7"/>
  <c r="R205" i="7"/>
  <c r="R206" i="7"/>
  <c r="R207" i="7"/>
  <c r="R208" i="7"/>
  <c r="R209" i="7"/>
  <c r="R210" i="7"/>
  <c r="R211" i="7"/>
  <c r="R212" i="7"/>
  <c r="R213" i="7"/>
  <c r="R214" i="7"/>
  <c r="R215" i="7"/>
  <c r="R216" i="7"/>
  <c r="R217" i="7"/>
  <c r="R218" i="7"/>
  <c r="R219" i="7"/>
  <c r="R220" i="7"/>
  <c r="R221" i="7"/>
  <c r="R222" i="7"/>
  <c r="R223" i="7"/>
  <c r="R224" i="7"/>
  <c r="R225" i="7"/>
  <c r="R226" i="7"/>
  <c r="R227" i="7"/>
  <c r="R228" i="7"/>
  <c r="R229" i="7"/>
  <c r="R230" i="7"/>
  <c r="R231" i="7"/>
  <c r="R232" i="7"/>
  <c r="R233" i="7"/>
  <c r="R234" i="7"/>
  <c r="R235" i="7"/>
  <c r="R236" i="7"/>
  <c r="R237" i="7"/>
  <c r="R238" i="7"/>
  <c r="R239" i="7"/>
  <c r="R240" i="7"/>
  <c r="R241" i="7"/>
  <c r="R242" i="7"/>
  <c r="R243" i="7"/>
  <c r="R244" i="7"/>
  <c r="R245" i="7"/>
  <c r="R246" i="7"/>
  <c r="R247" i="7"/>
  <c r="R248" i="7"/>
  <c r="R249" i="7"/>
  <c r="R250" i="7"/>
  <c r="R251" i="7"/>
  <c r="R252" i="7"/>
  <c r="R253" i="7"/>
  <c r="R254" i="7"/>
  <c r="R255" i="7"/>
  <c r="R256" i="7"/>
  <c r="R257" i="7"/>
  <c r="R258" i="7"/>
  <c r="R259" i="7"/>
  <c r="R260" i="7"/>
  <c r="R261" i="7"/>
  <c r="R262" i="7"/>
  <c r="R263" i="7"/>
  <c r="R264" i="7"/>
  <c r="R265" i="7"/>
  <c r="R266" i="7"/>
  <c r="R267" i="7"/>
  <c r="R268" i="7"/>
  <c r="R269" i="7"/>
  <c r="R270" i="7"/>
  <c r="R271" i="7"/>
  <c r="R272" i="7"/>
  <c r="R273" i="7"/>
  <c r="R274" i="7"/>
  <c r="R275" i="7"/>
  <c r="R276" i="7"/>
  <c r="R277" i="7"/>
  <c r="R278" i="7"/>
  <c r="R279" i="7"/>
  <c r="R280" i="7"/>
  <c r="R281" i="7"/>
  <c r="R282" i="7"/>
  <c r="R283" i="7"/>
  <c r="R284" i="7"/>
  <c r="R285" i="7"/>
  <c r="R286" i="7"/>
  <c r="R287" i="7"/>
  <c r="R288" i="7"/>
  <c r="R289" i="7"/>
  <c r="R290" i="7"/>
  <c r="R291" i="7"/>
  <c r="R292" i="7"/>
  <c r="R293" i="7"/>
  <c r="R294" i="7"/>
  <c r="R295" i="7"/>
  <c r="R296" i="7"/>
  <c r="R297" i="7"/>
  <c r="R298" i="7"/>
  <c r="R299" i="7"/>
  <c r="R300" i="7"/>
  <c r="R301" i="7"/>
  <c r="R302" i="7"/>
  <c r="R303" i="7"/>
  <c r="R304" i="7"/>
  <c r="R305" i="7"/>
  <c r="R306" i="7"/>
  <c r="R307" i="7"/>
  <c r="R308" i="7"/>
  <c r="R309" i="7"/>
  <c r="R310" i="7"/>
  <c r="R311" i="7"/>
  <c r="R312" i="7"/>
  <c r="R313" i="7"/>
  <c r="R314" i="7"/>
  <c r="R315" i="7"/>
  <c r="R316" i="7"/>
  <c r="R317" i="7"/>
  <c r="R318" i="7"/>
  <c r="R319" i="7"/>
  <c r="R320" i="7"/>
  <c r="R321" i="7"/>
  <c r="R322" i="7"/>
  <c r="R323" i="7"/>
  <c r="R324" i="7"/>
  <c r="R325" i="7"/>
  <c r="R326" i="7"/>
  <c r="R327" i="7"/>
  <c r="R328" i="7"/>
  <c r="R329" i="7"/>
  <c r="R330" i="7"/>
  <c r="R331" i="7"/>
  <c r="R332" i="7"/>
  <c r="R333" i="7"/>
  <c r="R334" i="7"/>
  <c r="R335" i="7"/>
  <c r="R336" i="7"/>
  <c r="R337" i="7"/>
  <c r="R338" i="7"/>
  <c r="R339" i="7"/>
  <c r="R340" i="7"/>
  <c r="R341" i="7"/>
  <c r="R342" i="7"/>
  <c r="R343" i="7"/>
  <c r="R344" i="7"/>
  <c r="R345" i="7"/>
  <c r="R346" i="7"/>
  <c r="R347" i="7"/>
  <c r="R348" i="7"/>
  <c r="R349" i="7"/>
  <c r="R350" i="7"/>
  <c r="R351" i="7"/>
  <c r="R352" i="7"/>
  <c r="R353" i="7"/>
  <c r="R354" i="7"/>
  <c r="R355" i="7"/>
  <c r="R356" i="7"/>
  <c r="R357" i="7"/>
  <c r="R358" i="7"/>
  <c r="R359" i="7"/>
  <c r="R360" i="7"/>
  <c r="R361" i="7"/>
  <c r="R362" i="7"/>
  <c r="R363" i="7"/>
  <c r="R364" i="7"/>
  <c r="R365" i="7"/>
  <c r="R366" i="7"/>
  <c r="R367" i="7"/>
  <c r="R368" i="7"/>
  <c r="R369" i="7"/>
  <c r="R370" i="7"/>
  <c r="R371" i="7"/>
  <c r="R372" i="7"/>
  <c r="R373" i="7"/>
  <c r="R374" i="7"/>
  <c r="R375" i="7"/>
  <c r="R376" i="7"/>
  <c r="R377" i="7"/>
  <c r="R378" i="7"/>
  <c r="R379" i="7"/>
  <c r="R380" i="7"/>
  <c r="R381" i="7"/>
  <c r="R382" i="7"/>
  <c r="R383" i="7"/>
  <c r="R384" i="7"/>
  <c r="R385" i="7"/>
  <c r="R386" i="7"/>
  <c r="R387" i="7"/>
  <c r="R388" i="7"/>
  <c r="R389" i="7"/>
  <c r="R390" i="7"/>
  <c r="R391" i="7"/>
  <c r="R392" i="7"/>
  <c r="R393" i="7"/>
  <c r="R394" i="7"/>
  <c r="R395" i="7"/>
  <c r="R396" i="7"/>
  <c r="R397" i="7"/>
  <c r="R398" i="7"/>
  <c r="R399" i="7"/>
  <c r="R400" i="7"/>
  <c r="R401" i="7"/>
  <c r="R402" i="7"/>
  <c r="R403" i="7"/>
  <c r="R404" i="7"/>
  <c r="R405" i="7"/>
  <c r="R406" i="7"/>
  <c r="R407" i="7"/>
  <c r="R408" i="7"/>
  <c r="R409" i="7"/>
  <c r="R410" i="7"/>
  <c r="R411" i="7"/>
  <c r="R412" i="7"/>
  <c r="R413" i="7"/>
  <c r="R414" i="7"/>
  <c r="R415" i="7"/>
  <c r="R416" i="7"/>
  <c r="R417" i="7"/>
  <c r="R418" i="7"/>
  <c r="R419" i="7"/>
  <c r="R420" i="7"/>
  <c r="R421" i="7"/>
  <c r="R422" i="7"/>
  <c r="R423" i="7"/>
  <c r="R424" i="7"/>
  <c r="R425" i="7"/>
  <c r="R426" i="7"/>
  <c r="R427" i="7"/>
  <c r="R428" i="7"/>
  <c r="R429" i="7"/>
  <c r="R430" i="7"/>
  <c r="R431" i="7"/>
  <c r="R432" i="7"/>
  <c r="R433" i="7"/>
  <c r="R434" i="7"/>
  <c r="R435" i="7"/>
  <c r="R436" i="7"/>
  <c r="R437" i="7"/>
  <c r="R438" i="7"/>
  <c r="R439" i="7"/>
  <c r="R440" i="7"/>
  <c r="R441" i="7"/>
  <c r="R442" i="7"/>
  <c r="R443" i="7"/>
  <c r="R444" i="7"/>
  <c r="R445" i="7"/>
  <c r="R446" i="7"/>
  <c r="R447" i="7"/>
  <c r="R448" i="7"/>
  <c r="R449" i="7"/>
  <c r="R450" i="7"/>
  <c r="R451" i="7"/>
  <c r="R452" i="7"/>
  <c r="R453" i="7"/>
  <c r="R454" i="7"/>
  <c r="R455" i="7"/>
  <c r="R456" i="7"/>
  <c r="R457" i="7"/>
  <c r="R458" i="7"/>
  <c r="R459" i="7"/>
  <c r="R460" i="7"/>
  <c r="R461" i="7"/>
  <c r="R462" i="7"/>
  <c r="R463" i="7"/>
  <c r="R464" i="7"/>
  <c r="R465" i="7"/>
  <c r="R466" i="7"/>
  <c r="R467" i="7"/>
  <c r="R468" i="7"/>
  <c r="R469" i="7"/>
  <c r="R470" i="7"/>
  <c r="R471" i="7"/>
  <c r="R472" i="7"/>
  <c r="R473" i="7"/>
  <c r="R474" i="7"/>
  <c r="R475" i="7"/>
  <c r="R476" i="7"/>
  <c r="R477" i="7"/>
  <c r="R478" i="7"/>
  <c r="R479" i="7"/>
  <c r="R480" i="7"/>
  <c r="R481" i="7"/>
  <c r="R482" i="7"/>
  <c r="R483" i="7"/>
  <c r="R484" i="7"/>
  <c r="R485" i="7"/>
  <c r="R486" i="7"/>
  <c r="R487" i="7"/>
  <c r="R488" i="7"/>
  <c r="R489" i="7"/>
  <c r="R490" i="7"/>
  <c r="R491" i="7"/>
  <c r="R492" i="7"/>
  <c r="R493" i="7"/>
  <c r="R494" i="7"/>
  <c r="R495" i="7"/>
  <c r="R496" i="7"/>
  <c r="R497" i="7"/>
  <c r="R498" i="7"/>
  <c r="R499" i="7"/>
  <c r="R500" i="7"/>
  <c r="R501" i="7"/>
  <c r="R502" i="7"/>
  <c r="R503" i="7"/>
  <c r="R504" i="7"/>
  <c r="R505" i="7"/>
  <c r="R506" i="7"/>
  <c r="R507" i="7"/>
  <c r="R508" i="7"/>
  <c r="R509" i="7"/>
  <c r="R510" i="7"/>
  <c r="R511" i="7"/>
  <c r="R512" i="7"/>
  <c r="R513" i="7"/>
  <c r="R514" i="7"/>
  <c r="R515" i="7"/>
  <c r="R516" i="7"/>
  <c r="R517" i="7"/>
  <c r="R518" i="7"/>
  <c r="R519" i="7"/>
  <c r="R520" i="7"/>
  <c r="R521" i="7"/>
  <c r="R522" i="7"/>
  <c r="R523" i="7"/>
  <c r="R524" i="7"/>
  <c r="R525" i="7"/>
  <c r="R526" i="7"/>
  <c r="R527" i="7"/>
  <c r="R528" i="7"/>
  <c r="R529" i="7"/>
  <c r="R530" i="7"/>
  <c r="R531" i="7"/>
  <c r="R532" i="7"/>
  <c r="R533" i="7"/>
  <c r="R534" i="7"/>
  <c r="R535" i="7"/>
  <c r="R536" i="7"/>
  <c r="R537" i="7"/>
  <c r="R538" i="7"/>
  <c r="R539" i="7"/>
  <c r="R540" i="7"/>
  <c r="R541" i="7"/>
  <c r="R542" i="7"/>
  <c r="R543" i="7"/>
  <c r="R544" i="7"/>
  <c r="R545" i="7"/>
  <c r="R546" i="7"/>
  <c r="R547" i="7"/>
  <c r="R548" i="7"/>
  <c r="R549" i="7"/>
  <c r="R550" i="7"/>
  <c r="R551" i="7"/>
  <c r="R552" i="7"/>
  <c r="R553" i="7"/>
  <c r="R554" i="7"/>
  <c r="R555" i="7"/>
  <c r="R556" i="7"/>
  <c r="R557" i="7"/>
  <c r="R558" i="7"/>
  <c r="R559" i="7"/>
  <c r="R560" i="7"/>
  <c r="R561" i="7"/>
  <c r="R562" i="7"/>
  <c r="R563" i="7"/>
  <c r="R564" i="7"/>
  <c r="R565" i="7"/>
  <c r="R566" i="7"/>
  <c r="R567" i="7"/>
  <c r="R568" i="7"/>
  <c r="R569" i="7"/>
  <c r="R570" i="7"/>
  <c r="R571" i="7"/>
  <c r="R572" i="7"/>
  <c r="R573" i="7"/>
  <c r="R574" i="7"/>
  <c r="R575" i="7"/>
  <c r="R576" i="7"/>
  <c r="R577" i="7"/>
  <c r="R578" i="7"/>
  <c r="R579" i="7"/>
  <c r="R580" i="7"/>
  <c r="R581" i="7"/>
  <c r="R582" i="7"/>
  <c r="R583" i="7"/>
  <c r="R584" i="7"/>
  <c r="R585" i="7"/>
  <c r="R586" i="7"/>
  <c r="R587" i="7"/>
  <c r="R588" i="7"/>
  <c r="R589" i="7"/>
  <c r="R590" i="7"/>
  <c r="R591" i="7"/>
  <c r="R592" i="7"/>
  <c r="R593" i="7"/>
  <c r="R594" i="7"/>
  <c r="R595" i="7"/>
  <c r="R596" i="7"/>
  <c r="R597" i="7"/>
  <c r="R598" i="7"/>
  <c r="R599" i="7"/>
  <c r="R600" i="7"/>
  <c r="R601" i="7"/>
  <c r="R602" i="7"/>
  <c r="R603" i="7"/>
  <c r="R604" i="7"/>
  <c r="R605" i="7"/>
  <c r="R606" i="7"/>
  <c r="R607" i="7"/>
  <c r="R608" i="7"/>
  <c r="R609" i="7"/>
  <c r="R610" i="7"/>
  <c r="R611" i="7"/>
  <c r="R612" i="7"/>
  <c r="R613" i="7"/>
  <c r="R614" i="7"/>
  <c r="R615" i="7"/>
  <c r="R616" i="7"/>
  <c r="R617" i="7"/>
  <c r="R618" i="7"/>
  <c r="R619" i="7"/>
  <c r="R620" i="7"/>
  <c r="R621" i="7"/>
  <c r="R622" i="7"/>
  <c r="R623" i="7"/>
  <c r="R624" i="7"/>
  <c r="R625" i="7"/>
  <c r="R626" i="7"/>
  <c r="R627" i="7"/>
  <c r="R628" i="7"/>
  <c r="R4" i="7"/>
  <c r="AA192" i="13"/>
  <c r="AA193" i="13"/>
  <c r="AA194" i="13"/>
  <c r="AA195" i="13"/>
  <c r="AA196" i="13"/>
  <c r="AA197" i="13"/>
  <c r="AA198" i="13"/>
  <c r="AA199" i="13"/>
  <c r="AA200" i="13"/>
  <c r="AA201" i="13"/>
  <c r="AA202" i="13"/>
  <c r="AA203" i="13"/>
  <c r="AA204" i="13"/>
  <c r="AA205" i="13"/>
  <c r="AA206" i="13"/>
  <c r="AA191" i="13"/>
  <c r="AA72" i="13"/>
  <c r="AA73" i="13"/>
  <c r="AA74" i="13"/>
  <c r="AA75" i="13"/>
  <c r="AA76" i="13"/>
  <c r="AA77" i="13"/>
  <c r="AA78" i="13"/>
  <c r="AA79" i="13"/>
  <c r="AA80" i="13"/>
  <c r="AA81" i="13"/>
  <c r="AA82" i="13"/>
  <c r="AA83" i="13"/>
  <c r="AA84" i="13"/>
  <c r="AA85" i="13"/>
  <c r="AA86" i="13"/>
  <c r="AA87" i="13"/>
  <c r="AA88" i="13"/>
  <c r="AA89" i="13"/>
  <c r="AA90" i="13"/>
  <c r="AA91" i="13"/>
  <c r="AA92" i="13"/>
  <c r="AA93" i="13"/>
  <c r="AA94" i="13"/>
  <c r="AA95" i="13"/>
  <c r="AA96" i="13"/>
  <c r="AA97" i="13"/>
  <c r="AA98" i="13"/>
  <c r="AA99" i="13"/>
  <c r="AA100" i="13"/>
  <c r="AA101" i="13"/>
  <c r="AA102" i="13"/>
  <c r="AA103" i="13"/>
  <c r="AA104" i="13"/>
  <c r="AA105" i="13"/>
  <c r="AA106" i="13"/>
  <c r="AA107" i="13"/>
  <c r="AA108" i="13"/>
  <c r="AA109" i="13"/>
  <c r="AA110" i="13"/>
  <c r="AA111" i="13"/>
  <c r="AA112" i="13"/>
  <c r="AA113" i="13"/>
  <c r="AA114" i="13"/>
  <c r="AA115" i="13"/>
  <c r="AA116" i="13"/>
  <c r="AA117" i="13"/>
  <c r="AA118" i="13"/>
  <c r="AA119" i="13"/>
  <c r="AA120" i="13"/>
  <c r="AA121" i="13"/>
  <c r="AA122" i="13"/>
  <c r="AA123" i="13"/>
  <c r="AA124" i="13"/>
  <c r="AA125" i="13"/>
  <c r="AA126" i="13"/>
  <c r="AA127" i="13"/>
  <c r="AA128" i="13"/>
  <c r="AA129" i="13"/>
  <c r="AA130" i="13"/>
  <c r="AA131" i="13"/>
  <c r="AA132" i="13"/>
  <c r="AA133" i="13"/>
  <c r="AA134" i="13"/>
  <c r="AA135" i="13"/>
  <c r="AA136" i="13"/>
  <c r="AA137" i="13"/>
  <c r="AA138" i="13"/>
  <c r="AA139" i="13"/>
  <c r="AA140" i="13"/>
  <c r="AA141" i="13"/>
  <c r="AA142" i="13"/>
  <c r="AA143" i="13"/>
  <c r="AA144" i="13"/>
  <c r="AA145" i="13"/>
  <c r="AA146" i="13"/>
  <c r="AA147" i="13"/>
  <c r="AA148" i="13"/>
  <c r="AA149" i="13"/>
  <c r="AA150" i="13"/>
  <c r="AA151" i="13"/>
  <c r="AA152" i="13"/>
  <c r="AA153" i="13"/>
  <c r="AA154" i="13"/>
  <c r="AA155" i="13"/>
  <c r="AA156" i="13"/>
  <c r="AA157" i="13"/>
  <c r="AA158" i="13"/>
  <c r="AA159" i="13"/>
  <c r="AA160" i="13"/>
  <c r="AA161" i="13"/>
  <c r="AA162" i="13"/>
  <c r="AA163" i="13"/>
  <c r="AA164" i="13"/>
  <c r="AA165" i="13"/>
  <c r="AA166" i="13"/>
  <c r="AA167" i="13"/>
  <c r="AA168" i="13"/>
  <c r="AA169" i="13"/>
  <c r="AA170" i="13"/>
  <c r="AA171" i="13"/>
  <c r="AA172" i="13"/>
  <c r="AA173" i="13"/>
  <c r="AA174" i="13"/>
  <c r="AA175" i="13"/>
  <c r="AA176" i="13"/>
  <c r="AA177" i="13"/>
  <c r="AA178" i="13"/>
  <c r="AA179" i="13"/>
  <c r="AA180" i="13"/>
  <c r="AA181" i="13"/>
  <c r="AA182" i="13"/>
  <c r="AA183" i="13"/>
  <c r="AA184" i="13"/>
  <c r="AA185" i="13"/>
  <c r="AA186" i="13"/>
  <c r="AA187" i="13"/>
  <c r="AA188" i="13"/>
  <c r="AA189" i="13"/>
  <c r="AA190" i="13"/>
  <c r="AA71" i="13"/>
  <c r="AA52" i="13"/>
  <c r="AA53" i="13"/>
  <c r="AA54" i="13"/>
  <c r="AA55" i="13"/>
  <c r="AA56" i="13"/>
  <c r="AA57" i="13"/>
  <c r="AA58" i="13"/>
  <c r="AA59" i="13"/>
  <c r="AA60" i="13"/>
  <c r="AA61" i="13"/>
  <c r="AA62" i="13"/>
  <c r="AA63" i="13"/>
  <c r="AA64" i="13"/>
  <c r="AA65" i="13"/>
  <c r="AA66" i="13"/>
  <c r="AA67" i="13"/>
  <c r="AA68" i="13"/>
  <c r="AA69" i="13"/>
  <c r="AA70" i="13"/>
  <c r="AA51" i="13"/>
  <c r="AA3" i="13"/>
  <c r="AA4" i="13"/>
  <c r="AA5" i="13"/>
  <c r="AA6" i="13"/>
  <c r="AA7" i="13"/>
  <c r="AA8" i="13"/>
  <c r="AA9" i="13"/>
  <c r="AA10" i="13"/>
  <c r="AA11" i="13"/>
  <c r="AA12" i="13"/>
  <c r="AA13" i="13"/>
  <c r="AA14" i="13"/>
  <c r="AA15" i="13"/>
  <c r="AA16" i="13"/>
  <c r="AA17" i="13"/>
  <c r="AA18" i="13"/>
  <c r="AA19" i="13"/>
  <c r="AA20" i="13"/>
  <c r="AA21" i="13"/>
  <c r="AA22" i="13"/>
  <c r="AA23" i="13"/>
  <c r="AA24" i="13"/>
  <c r="AA25" i="13"/>
  <c r="AA26" i="13"/>
  <c r="AA27" i="13"/>
  <c r="AA28" i="13"/>
  <c r="AA29" i="13"/>
  <c r="AA30" i="13"/>
  <c r="AA31" i="13"/>
  <c r="AA32" i="13"/>
  <c r="AA33" i="13"/>
  <c r="AA34" i="13"/>
  <c r="AA35" i="13"/>
  <c r="AA36" i="13"/>
  <c r="AA37" i="13"/>
  <c r="AA38" i="13"/>
  <c r="AA39" i="13"/>
  <c r="AA40" i="13"/>
  <c r="AA41" i="13"/>
  <c r="AA42" i="13"/>
  <c r="AA43" i="13"/>
  <c r="AA44" i="13"/>
  <c r="AA45" i="13"/>
  <c r="AA46" i="13"/>
  <c r="AA47" i="13"/>
  <c r="AA48" i="13"/>
  <c r="AA49" i="13"/>
  <c r="AA50" i="13"/>
  <c r="AA2" i="13"/>
  <c r="AL3" i="13"/>
  <c r="AM3" i="13" s="1"/>
  <c r="AL4" i="13"/>
  <c r="AM4" i="13" s="1"/>
  <c r="AL5" i="13"/>
  <c r="AM5" i="13" s="1"/>
  <c r="AL6" i="13"/>
  <c r="AM6" i="13" s="1"/>
  <c r="AL7" i="13"/>
  <c r="AM7" i="13" s="1"/>
  <c r="AL8" i="13"/>
  <c r="AM8" i="13" s="1"/>
  <c r="AL9" i="13"/>
  <c r="AM9" i="13" s="1"/>
  <c r="AL10" i="13"/>
  <c r="AM10" i="13" s="1"/>
  <c r="AL11" i="13"/>
  <c r="AM11" i="13" s="1"/>
  <c r="AL12" i="13"/>
  <c r="AM12" i="13" s="1"/>
  <c r="AL13" i="13"/>
  <c r="AM13" i="13" s="1"/>
  <c r="AL14" i="13"/>
  <c r="AM14" i="13" s="1"/>
  <c r="AL15" i="13"/>
  <c r="AM15" i="13" s="1"/>
  <c r="AL16" i="13"/>
  <c r="AM16" i="13" s="1"/>
  <c r="AL17" i="13"/>
  <c r="AM17" i="13" s="1"/>
  <c r="AL18" i="13"/>
  <c r="AM18" i="13" s="1"/>
  <c r="AL19" i="13"/>
  <c r="AM19" i="13" s="1"/>
  <c r="AL20" i="13"/>
  <c r="AM20" i="13" s="1"/>
  <c r="AL21" i="13"/>
  <c r="AM21" i="13" s="1"/>
  <c r="AL22" i="13"/>
  <c r="AM22" i="13" s="1"/>
  <c r="AL23" i="13"/>
  <c r="AM23" i="13" s="1"/>
  <c r="AL24" i="13"/>
  <c r="AM24" i="13" s="1"/>
  <c r="AL25" i="13"/>
  <c r="AM25" i="13" s="1"/>
  <c r="AL26" i="13"/>
  <c r="AM26" i="13" s="1"/>
  <c r="AL27" i="13"/>
  <c r="AM27" i="13" s="1"/>
  <c r="AL28" i="13"/>
  <c r="AM28" i="13" s="1"/>
  <c r="AL29" i="13"/>
  <c r="AM29" i="13" s="1"/>
  <c r="AL30" i="13"/>
  <c r="AM30" i="13" s="1"/>
  <c r="AL31" i="13"/>
  <c r="AM31" i="13" s="1"/>
  <c r="AL32" i="13"/>
  <c r="AM32" i="13" s="1"/>
  <c r="AL33" i="13"/>
  <c r="AM33" i="13" s="1"/>
  <c r="AL34" i="13"/>
  <c r="AM34" i="13" s="1"/>
  <c r="AL35" i="13"/>
  <c r="AM35" i="13" s="1"/>
  <c r="AL36" i="13"/>
  <c r="AM36" i="13" s="1"/>
  <c r="AL37" i="13"/>
  <c r="AM37" i="13" s="1"/>
  <c r="AL38" i="13"/>
  <c r="AM38" i="13" s="1"/>
  <c r="AL39" i="13"/>
  <c r="AM39" i="13" s="1"/>
  <c r="AL40" i="13"/>
  <c r="AM40" i="13" s="1"/>
  <c r="AL41" i="13"/>
  <c r="AM41" i="13" s="1"/>
  <c r="AL42" i="13"/>
  <c r="AM42" i="13" s="1"/>
  <c r="AL43" i="13"/>
  <c r="AM43" i="13" s="1"/>
  <c r="AL44" i="13"/>
  <c r="AM44" i="13" s="1"/>
  <c r="AL45" i="13"/>
  <c r="AM45" i="13" s="1"/>
  <c r="AL46" i="13"/>
  <c r="AM46" i="13" s="1"/>
  <c r="AL47" i="13"/>
  <c r="AM47" i="13" s="1"/>
  <c r="AL48" i="13"/>
  <c r="AM48" i="13" s="1"/>
  <c r="AL49" i="13"/>
  <c r="AM49" i="13" s="1"/>
  <c r="AL50" i="13"/>
  <c r="AM50" i="13" s="1"/>
  <c r="AL51" i="13"/>
  <c r="AM51" i="13" s="1"/>
  <c r="AL52" i="13"/>
  <c r="AM52" i="13" s="1"/>
  <c r="AL53" i="13"/>
  <c r="AM53" i="13" s="1"/>
  <c r="AL54" i="13"/>
  <c r="AM54" i="13" s="1"/>
  <c r="AL55" i="13"/>
  <c r="AM55" i="13" s="1"/>
  <c r="AL56" i="13"/>
  <c r="AM56" i="13" s="1"/>
  <c r="AL57" i="13"/>
  <c r="AM57" i="13" s="1"/>
  <c r="AL58" i="13"/>
  <c r="AM58" i="13" s="1"/>
  <c r="AL59" i="13"/>
  <c r="AM59" i="13" s="1"/>
  <c r="AL60" i="13"/>
  <c r="AM60" i="13" s="1"/>
  <c r="AL61" i="13"/>
  <c r="AM61" i="13" s="1"/>
  <c r="AL62" i="13"/>
  <c r="AM62" i="13" s="1"/>
  <c r="AL63" i="13"/>
  <c r="AM63" i="13" s="1"/>
  <c r="AL64" i="13"/>
  <c r="AM64" i="13" s="1"/>
  <c r="AL65" i="13"/>
  <c r="AM65" i="13" s="1"/>
  <c r="AL66" i="13"/>
  <c r="AM66" i="13" s="1"/>
  <c r="AL67" i="13"/>
  <c r="AM67" i="13" s="1"/>
  <c r="AL68" i="13"/>
  <c r="AM68" i="13" s="1"/>
  <c r="AL69" i="13"/>
  <c r="AM69" i="13" s="1"/>
  <c r="AL70" i="13"/>
  <c r="AM70" i="13" s="1"/>
  <c r="AL71" i="13"/>
  <c r="AM71" i="13" s="1"/>
  <c r="AL72" i="13"/>
  <c r="AM72" i="13" s="1"/>
  <c r="AL73" i="13"/>
  <c r="AM73" i="13" s="1"/>
  <c r="AL74" i="13"/>
  <c r="AM74" i="13" s="1"/>
  <c r="AL75" i="13"/>
  <c r="AM75" i="13" s="1"/>
  <c r="AL76" i="13"/>
  <c r="AM76" i="13" s="1"/>
  <c r="AL77" i="13"/>
  <c r="AM77" i="13" s="1"/>
  <c r="AL78" i="13"/>
  <c r="AM78" i="13" s="1"/>
  <c r="AL79" i="13"/>
  <c r="AM79" i="13" s="1"/>
  <c r="AL80" i="13"/>
  <c r="AM80" i="13" s="1"/>
  <c r="AL81" i="13"/>
  <c r="AM81" i="13" s="1"/>
  <c r="AL82" i="13"/>
  <c r="AM82" i="13" s="1"/>
  <c r="AL83" i="13"/>
  <c r="AM83" i="13" s="1"/>
  <c r="AL84" i="13"/>
  <c r="AM84" i="13" s="1"/>
  <c r="AL85" i="13"/>
  <c r="AM85" i="13" s="1"/>
  <c r="AL86" i="13"/>
  <c r="AM86" i="13" s="1"/>
  <c r="AL87" i="13"/>
  <c r="AM87" i="13" s="1"/>
  <c r="AL88" i="13"/>
  <c r="AL89" i="13"/>
  <c r="AL90" i="13"/>
  <c r="AM90" i="13" s="1"/>
  <c r="AL91" i="13"/>
  <c r="AM91" i="13" s="1"/>
  <c r="AL92" i="13"/>
  <c r="AM92" i="13" s="1"/>
  <c r="AL93" i="13"/>
  <c r="AM93" i="13" s="1"/>
  <c r="AL94" i="13"/>
  <c r="AM94" i="13" s="1"/>
  <c r="AL95" i="13"/>
  <c r="AM95" i="13" s="1"/>
  <c r="AL96" i="13"/>
  <c r="AM96" i="13" s="1"/>
  <c r="AL97" i="13"/>
  <c r="AM97" i="13" s="1"/>
  <c r="AL98" i="13"/>
  <c r="AM98" i="13" s="1"/>
  <c r="AL99" i="13"/>
  <c r="AM99" i="13" s="1"/>
  <c r="AL100" i="13"/>
  <c r="AM100" i="13" s="1"/>
  <c r="AL101" i="13"/>
  <c r="AM101" i="13" s="1"/>
  <c r="AL102" i="13"/>
  <c r="AM102" i="13" s="1"/>
  <c r="AL103" i="13"/>
  <c r="AM103" i="13" s="1"/>
  <c r="AL104" i="13"/>
  <c r="AM104" i="13" s="1"/>
  <c r="AL105" i="13"/>
  <c r="AM105" i="13" s="1"/>
  <c r="AL106" i="13"/>
  <c r="AM106" i="13" s="1"/>
  <c r="AL107" i="13"/>
  <c r="AM107" i="13" s="1"/>
  <c r="AL108" i="13"/>
  <c r="AM108" i="13" s="1"/>
  <c r="AL109" i="13"/>
  <c r="AM109" i="13" s="1"/>
  <c r="AL110" i="13"/>
  <c r="AM110" i="13" s="1"/>
  <c r="AL111" i="13"/>
  <c r="AM111" i="13" s="1"/>
  <c r="AL112" i="13"/>
  <c r="AM112" i="13" s="1"/>
  <c r="AL113" i="13"/>
  <c r="AM113" i="13" s="1"/>
  <c r="AL114" i="13"/>
  <c r="AM114" i="13" s="1"/>
  <c r="AL115" i="13"/>
  <c r="AM115" i="13" s="1"/>
  <c r="AL116" i="13"/>
  <c r="AM116" i="13" s="1"/>
  <c r="AL117" i="13"/>
  <c r="AM117" i="13" s="1"/>
  <c r="AL118" i="13"/>
  <c r="AM118" i="13" s="1"/>
  <c r="AL119" i="13"/>
  <c r="AM119" i="13" s="1"/>
  <c r="AL120" i="13"/>
  <c r="AM120" i="13" s="1"/>
  <c r="AL121" i="13"/>
  <c r="AM121" i="13" s="1"/>
  <c r="AL122" i="13"/>
  <c r="AM122" i="13" s="1"/>
  <c r="AL123" i="13"/>
  <c r="AM123" i="13" s="1"/>
  <c r="AL124" i="13"/>
  <c r="AM124" i="13" s="1"/>
  <c r="AL125" i="13"/>
  <c r="AM125" i="13" s="1"/>
  <c r="AL126" i="13"/>
  <c r="AM126" i="13" s="1"/>
  <c r="AL127" i="13"/>
  <c r="AM127" i="13" s="1"/>
  <c r="AL128" i="13"/>
  <c r="AM128" i="13" s="1"/>
  <c r="AL129" i="13"/>
  <c r="AM129" i="13" s="1"/>
  <c r="AL130" i="13"/>
  <c r="AM130" i="13" s="1"/>
  <c r="AL131" i="13"/>
  <c r="AM131" i="13" s="1"/>
  <c r="AL132" i="13"/>
  <c r="AM132" i="13" s="1"/>
  <c r="AL133" i="13"/>
  <c r="AM133" i="13" s="1"/>
  <c r="AL134" i="13"/>
  <c r="AM134" i="13" s="1"/>
  <c r="AL135" i="13"/>
  <c r="AM135" i="13" s="1"/>
  <c r="AL136" i="13"/>
  <c r="AM136" i="13" s="1"/>
  <c r="AL137" i="13"/>
  <c r="AM137" i="13" s="1"/>
  <c r="AL138" i="13"/>
  <c r="AM138" i="13" s="1"/>
  <c r="AL139" i="13"/>
  <c r="AM139" i="13" s="1"/>
  <c r="AL140" i="13"/>
  <c r="AM140" i="13" s="1"/>
  <c r="AL141" i="13"/>
  <c r="AM141" i="13" s="1"/>
  <c r="AL142" i="13"/>
  <c r="AM142" i="13" s="1"/>
  <c r="AL143" i="13"/>
  <c r="AM143" i="13" s="1"/>
  <c r="AL144" i="13"/>
  <c r="AM144" i="13" s="1"/>
  <c r="AL145" i="13"/>
  <c r="AM145" i="13" s="1"/>
  <c r="AL146" i="13"/>
  <c r="AM146" i="13" s="1"/>
  <c r="AL147" i="13"/>
  <c r="AM147" i="13" s="1"/>
  <c r="AL148" i="13"/>
  <c r="AM148" i="13" s="1"/>
  <c r="AL149" i="13"/>
  <c r="AM149" i="13" s="1"/>
  <c r="AL150" i="13"/>
  <c r="AM150" i="13" s="1"/>
  <c r="AL151" i="13"/>
  <c r="AM151" i="13" s="1"/>
  <c r="AL152" i="13"/>
  <c r="AM152" i="13" s="1"/>
  <c r="AL153" i="13"/>
  <c r="AM153" i="13" s="1"/>
  <c r="AL154" i="13"/>
  <c r="AM154" i="13" s="1"/>
  <c r="AL155" i="13"/>
  <c r="AM155" i="13" s="1"/>
  <c r="AL156" i="13"/>
  <c r="AM156" i="13" s="1"/>
  <c r="AL157" i="13"/>
  <c r="AM157" i="13" s="1"/>
  <c r="AL158" i="13"/>
  <c r="AM158" i="13" s="1"/>
  <c r="AL159" i="13"/>
  <c r="AM159" i="13" s="1"/>
  <c r="AL160" i="13"/>
  <c r="AM160" i="13" s="1"/>
  <c r="AL161" i="13"/>
  <c r="AM161" i="13" s="1"/>
  <c r="AL162" i="13"/>
  <c r="AM162" i="13" s="1"/>
  <c r="AL163" i="13"/>
  <c r="AM163" i="13" s="1"/>
  <c r="AL164" i="13"/>
  <c r="AM164" i="13" s="1"/>
  <c r="AL165" i="13"/>
  <c r="AM165" i="13" s="1"/>
  <c r="AL166" i="13"/>
  <c r="AM166" i="13" s="1"/>
  <c r="AL167" i="13"/>
  <c r="AM167" i="13" s="1"/>
  <c r="AL168" i="13"/>
  <c r="AM168" i="13" s="1"/>
  <c r="AL169" i="13"/>
  <c r="AM169" i="13" s="1"/>
  <c r="AL170" i="13"/>
  <c r="AM170" i="13" s="1"/>
  <c r="AL171" i="13"/>
  <c r="AM171" i="13" s="1"/>
  <c r="AL172" i="13"/>
  <c r="AL173" i="13"/>
  <c r="AL174" i="13"/>
  <c r="AL175" i="13"/>
  <c r="AM175" i="13" s="1"/>
  <c r="AL176" i="13"/>
  <c r="AM176" i="13" s="1"/>
  <c r="AL177" i="13"/>
  <c r="AM177" i="13" s="1"/>
  <c r="AL178" i="13"/>
  <c r="AM178" i="13" s="1"/>
  <c r="AL179" i="13"/>
  <c r="AM179" i="13" s="1"/>
  <c r="AL180" i="13"/>
  <c r="AM180" i="13" s="1"/>
  <c r="AL181" i="13"/>
  <c r="AM181" i="13" s="1"/>
  <c r="AL182" i="13"/>
  <c r="AM182" i="13" s="1"/>
  <c r="AL183" i="13"/>
  <c r="AM183" i="13" s="1"/>
  <c r="AL184" i="13"/>
  <c r="AM184" i="13" s="1"/>
  <c r="AL185" i="13"/>
  <c r="AM185" i="13" s="1"/>
  <c r="AL186" i="13"/>
  <c r="AM186" i="13" s="1"/>
  <c r="AL187" i="13"/>
  <c r="AM187" i="13" s="1"/>
  <c r="AL188" i="13"/>
  <c r="AM188" i="13" s="1"/>
  <c r="AL189" i="13"/>
  <c r="AM189" i="13" s="1"/>
  <c r="AL190" i="13"/>
  <c r="AM190" i="13" s="1"/>
  <c r="AL191" i="13"/>
  <c r="AM191" i="13" s="1"/>
  <c r="AL192" i="13"/>
  <c r="AM192" i="13" s="1"/>
  <c r="AL193" i="13"/>
  <c r="AM193" i="13" s="1"/>
  <c r="AL194" i="13"/>
  <c r="AM194" i="13" s="1"/>
  <c r="AL195" i="13"/>
  <c r="AM195" i="13" s="1"/>
  <c r="AL196" i="13"/>
  <c r="AM196" i="13" s="1"/>
  <c r="AL197" i="13"/>
  <c r="AM197" i="13" s="1"/>
  <c r="AL198" i="13"/>
  <c r="AM198" i="13" s="1"/>
  <c r="AL199" i="13"/>
  <c r="AM199" i="13" s="1"/>
  <c r="AL200" i="13"/>
  <c r="AM200" i="13" s="1"/>
  <c r="AL201" i="13"/>
  <c r="AM201" i="13" s="1"/>
  <c r="AL202" i="13"/>
  <c r="AM202" i="13" s="1"/>
  <c r="AL203" i="13"/>
  <c r="AM203" i="13" s="1"/>
  <c r="AL204" i="13"/>
  <c r="AM204" i="13" s="1"/>
  <c r="AL205" i="13"/>
  <c r="AM205" i="13" s="1"/>
  <c r="AL206" i="13"/>
  <c r="AM206" i="13" s="1"/>
  <c r="AL207" i="13"/>
  <c r="AM207" i="13" s="1"/>
  <c r="AL208" i="13"/>
  <c r="AM208" i="13" s="1"/>
  <c r="AL209" i="13"/>
  <c r="AM209" i="13" s="1"/>
  <c r="AL210" i="13"/>
  <c r="AM210" i="13" s="1"/>
  <c r="AL211" i="13"/>
  <c r="AM211" i="13" s="1"/>
  <c r="AL212" i="13"/>
  <c r="AM212" i="13" s="1"/>
  <c r="AL213" i="13"/>
  <c r="AM213" i="13" s="1"/>
  <c r="AL214" i="13"/>
  <c r="AM214" i="13" s="1"/>
  <c r="AL215" i="13"/>
  <c r="AM215" i="13" s="1"/>
  <c r="AL216" i="13"/>
  <c r="AM216" i="13" s="1"/>
  <c r="AL217" i="13"/>
  <c r="AM217" i="13" s="1"/>
  <c r="AL218" i="13"/>
  <c r="AM218" i="13" s="1"/>
  <c r="AL219" i="13"/>
  <c r="AM219" i="13" s="1"/>
  <c r="AL220" i="13"/>
  <c r="AM220" i="13" s="1"/>
  <c r="AL221" i="13"/>
  <c r="AM221" i="13" s="1"/>
  <c r="AL222" i="13"/>
  <c r="AM222" i="13" s="1"/>
  <c r="AL223" i="13"/>
  <c r="AM223" i="13" s="1"/>
  <c r="AL224" i="13"/>
  <c r="AM224" i="13" s="1"/>
  <c r="AL225" i="13"/>
  <c r="AM225" i="13" s="1"/>
  <c r="AL226" i="13"/>
  <c r="AM226" i="13" s="1"/>
  <c r="AL227" i="13"/>
  <c r="AM227" i="13" s="1"/>
  <c r="AL228" i="13"/>
  <c r="AM228" i="13" s="1"/>
  <c r="AL229" i="13"/>
  <c r="AM229" i="13" s="1"/>
  <c r="AL230" i="13"/>
  <c r="AM230" i="13" s="1"/>
  <c r="AL231" i="13"/>
  <c r="AM231" i="13" s="1"/>
  <c r="AL232" i="13"/>
  <c r="AM232" i="13" s="1"/>
  <c r="AL233" i="13"/>
  <c r="AM233" i="13" s="1"/>
  <c r="AL234" i="13"/>
  <c r="AM234" i="13" s="1"/>
  <c r="AL235" i="13"/>
  <c r="AM235" i="13" s="1"/>
  <c r="AL236" i="13"/>
  <c r="AM236" i="13" s="1"/>
  <c r="AL237" i="13"/>
  <c r="AM237" i="13" s="1"/>
  <c r="AL238" i="13"/>
  <c r="AM238" i="13" s="1"/>
  <c r="AL239" i="13"/>
  <c r="AM239" i="13" s="1"/>
  <c r="AL240" i="13"/>
  <c r="AM240" i="13" s="1"/>
  <c r="AL241" i="13"/>
  <c r="AM241" i="13" s="1"/>
  <c r="AL242" i="13"/>
  <c r="AM242" i="13" s="1"/>
  <c r="AL243" i="13"/>
  <c r="AM243" i="13" s="1"/>
  <c r="AL244" i="13"/>
  <c r="AM244" i="13" s="1"/>
  <c r="AL245" i="13"/>
  <c r="AM245" i="13" s="1"/>
  <c r="AL246" i="13"/>
  <c r="AM246" i="13" s="1"/>
  <c r="AL247" i="13"/>
  <c r="AM247" i="13" s="1"/>
  <c r="AL248" i="13"/>
  <c r="AM248" i="13" s="1"/>
  <c r="AL249" i="13"/>
  <c r="AM249" i="13" s="1"/>
  <c r="AL250" i="13"/>
  <c r="AM250" i="13" s="1"/>
  <c r="AL251" i="13"/>
  <c r="AM251" i="13" s="1"/>
  <c r="AL252" i="13"/>
  <c r="AM252" i="13" s="1"/>
  <c r="AL253" i="13"/>
  <c r="AM253" i="13" s="1"/>
  <c r="AL254" i="13"/>
  <c r="AM254" i="13" s="1"/>
  <c r="AL255" i="13"/>
  <c r="AM255" i="13" s="1"/>
  <c r="AL256" i="13"/>
  <c r="AM256" i="13" s="1"/>
  <c r="AL257" i="13"/>
  <c r="AM257" i="13" s="1"/>
  <c r="AL258" i="13"/>
  <c r="AM258" i="13" s="1"/>
  <c r="AL259" i="13"/>
  <c r="AM259" i="13" s="1"/>
  <c r="AL260" i="13"/>
  <c r="AM260" i="13" s="1"/>
  <c r="AL261" i="13"/>
  <c r="AM261" i="13" s="1"/>
  <c r="AL262" i="13"/>
  <c r="AM262" i="13" s="1"/>
  <c r="AL263" i="13"/>
  <c r="AM263" i="13" s="1"/>
  <c r="AL264" i="13"/>
  <c r="AM264" i="13" s="1"/>
  <c r="AL265" i="13"/>
  <c r="AM265" i="13" s="1"/>
  <c r="AL266" i="13"/>
  <c r="AM266" i="13" s="1"/>
  <c r="AL267" i="13"/>
  <c r="AM267" i="13" s="1"/>
  <c r="AL268" i="13"/>
  <c r="AM268" i="13" s="1"/>
  <c r="AL269" i="13"/>
  <c r="AM269" i="13" s="1"/>
  <c r="AL270" i="13"/>
  <c r="AM270" i="13" s="1"/>
  <c r="AL271" i="13"/>
  <c r="AM271" i="13" s="1"/>
  <c r="AL272" i="13"/>
  <c r="AM272" i="13" s="1"/>
  <c r="AL273" i="13"/>
  <c r="AM273" i="13" s="1"/>
  <c r="AL274" i="13"/>
  <c r="AM274" i="13" s="1"/>
  <c r="AL275" i="13"/>
  <c r="AM275" i="13" s="1"/>
  <c r="AL276" i="13"/>
  <c r="AM276" i="13" s="1"/>
  <c r="AL277" i="13"/>
  <c r="AM277" i="13" s="1"/>
  <c r="AL278" i="13"/>
  <c r="AM278" i="13" s="1"/>
  <c r="AL279" i="13"/>
  <c r="AM279" i="13" s="1"/>
  <c r="AL280" i="13"/>
  <c r="AM280" i="13" s="1"/>
  <c r="AL281" i="13"/>
  <c r="AM281" i="13" s="1"/>
  <c r="AL282" i="13"/>
  <c r="AM282" i="13" s="1"/>
  <c r="AL283" i="13"/>
  <c r="AL284" i="13"/>
  <c r="AL285" i="13"/>
  <c r="AL286" i="13"/>
  <c r="AM286" i="13" s="1"/>
  <c r="AL287" i="13"/>
  <c r="AM287" i="13" s="1"/>
  <c r="AL288" i="13"/>
  <c r="AM288" i="13" s="1"/>
  <c r="AL289" i="13"/>
  <c r="AM289" i="13" s="1"/>
  <c r="AL290" i="13"/>
  <c r="AM290" i="13" s="1"/>
  <c r="AL291" i="13"/>
  <c r="AM291" i="13" s="1"/>
  <c r="AL292" i="13"/>
  <c r="AM292" i="13" s="1"/>
  <c r="AL293" i="13"/>
  <c r="AM293" i="13" s="1"/>
  <c r="AL294" i="13"/>
  <c r="AM294" i="13" s="1"/>
  <c r="AL295" i="13"/>
  <c r="AM295" i="13" s="1"/>
  <c r="AL296" i="13"/>
  <c r="AM296" i="13" s="1"/>
  <c r="AL297" i="13"/>
  <c r="AM297" i="13" s="1"/>
  <c r="AL298" i="13"/>
  <c r="AM298" i="13" s="1"/>
  <c r="AL299" i="13"/>
  <c r="AM299" i="13" s="1"/>
  <c r="AL300" i="13"/>
  <c r="AM300" i="13" s="1"/>
  <c r="AL301" i="13"/>
  <c r="AM301" i="13" s="1"/>
  <c r="AL302" i="13"/>
  <c r="AM302" i="13" s="1"/>
  <c r="AL303" i="13"/>
  <c r="AM303" i="13" s="1"/>
  <c r="AL304" i="13"/>
  <c r="AM304" i="13" s="1"/>
  <c r="AL305" i="13"/>
  <c r="AM305" i="13" s="1"/>
  <c r="AL306" i="13"/>
  <c r="AM306" i="13" s="1"/>
  <c r="AL307" i="13"/>
  <c r="AM307" i="13" s="1"/>
  <c r="AL308" i="13"/>
  <c r="AM308" i="13" s="1"/>
  <c r="AL309" i="13"/>
  <c r="AM309" i="13" s="1"/>
  <c r="AL310" i="13"/>
  <c r="AM310" i="13" s="1"/>
  <c r="AL311" i="13"/>
  <c r="AM311" i="13" s="1"/>
  <c r="AL312" i="13"/>
  <c r="AM312" i="13" s="1"/>
  <c r="AL313" i="13"/>
  <c r="AM313" i="13" s="1"/>
  <c r="AL314" i="13"/>
  <c r="AM314" i="13" s="1"/>
  <c r="AL315" i="13"/>
  <c r="AM315" i="13" s="1"/>
  <c r="AL316" i="13"/>
  <c r="AM316" i="13" s="1"/>
  <c r="AL317" i="13"/>
  <c r="AM317" i="13" s="1"/>
  <c r="AL318" i="13"/>
  <c r="AM318" i="13" s="1"/>
  <c r="AL319" i="13"/>
  <c r="AM319" i="13" s="1"/>
  <c r="AL320" i="13"/>
  <c r="AM320" i="13" s="1"/>
  <c r="AL321" i="13"/>
  <c r="AM321" i="13" s="1"/>
  <c r="AL322" i="13"/>
  <c r="AM322" i="13" s="1"/>
  <c r="AL323" i="13"/>
  <c r="AM323" i="13" s="1"/>
  <c r="AL324" i="13"/>
  <c r="AM324" i="13" s="1"/>
  <c r="AL325" i="13"/>
  <c r="AM325" i="13" s="1"/>
  <c r="AL326" i="13"/>
  <c r="AM326" i="13" s="1"/>
  <c r="AL327" i="13"/>
  <c r="AM327" i="13" s="1"/>
  <c r="AL328" i="13"/>
  <c r="AM328" i="13" s="1"/>
  <c r="AL329" i="13"/>
  <c r="AM329" i="13" s="1"/>
  <c r="AL330" i="13"/>
  <c r="AM330" i="13" s="1"/>
  <c r="AL331" i="13"/>
  <c r="AM331" i="13" s="1"/>
  <c r="AL332" i="13"/>
  <c r="AM332" i="13" s="1"/>
  <c r="AL333" i="13"/>
  <c r="AM333" i="13" s="1"/>
  <c r="AL334" i="13"/>
  <c r="AM334" i="13" s="1"/>
  <c r="AL335" i="13"/>
  <c r="AM335" i="13" s="1"/>
  <c r="AL336" i="13"/>
  <c r="AM336" i="13" s="1"/>
  <c r="AL337" i="13"/>
  <c r="AM337" i="13" s="1"/>
  <c r="AL338" i="13"/>
  <c r="AM338" i="13" s="1"/>
  <c r="AL339" i="13"/>
  <c r="AM339" i="13" s="1"/>
  <c r="AL340" i="13"/>
  <c r="AM340" i="13" s="1"/>
  <c r="AL341" i="13"/>
  <c r="AM341" i="13" s="1"/>
  <c r="AL342" i="13"/>
  <c r="AM342" i="13" s="1"/>
  <c r="AL343" i="13"/>
  <c r="AM343" i="13" s="1"/>
  <c r="AL344" i="13"/>
  <c r="AM344" i="13" s="1"/>
  <c r="AL345" i="13"/>
  <c r="AM345" i="13" s="1"/>
  <c r="AL346" i="13"/>
  <c r="AM346" i="13" s="1"/>
  <c r="AL347" i="13"/>
  <c r="AM347" i="13" s="1"/>
  <c r="AL348" i="13"/>
  <c r="AM348" i="13" s="1"/>
  <c r="AL349" i="13"/>
  <c r="AM349" i="13" s="1"/>
  <c r="AL350" i="13"/>
  <c r="AM350" i="13" s="1"/>
  <c r="AL351" i="13"/>
  <c r="AM351" i="13" s="1"/>
  <c r="AL352" i="13"/>
  <c r="AM352" i="13" s="1"/>
  <c r="AL353" i="13"/>
  <c r="AM353" i="13" s="1"/>
  <c r="AL354" i="13"/>
  <c r="AM354" i="13" s="1"/>
  <c r="AL355" i="13"/>
  <c r="AM355" i="13" s="1"/>
  <c r="AL356" i="13"/>
  <c r="AM356" i="13" s="1"/>
  <c r="AL357" i="13"/>
  <c r="AM357" i="13" s="1"/>
  <c r="AL358" i="13"/>
  <c r="AM358" i="13" s="1"/>
  <c r="AL359" i="13"/>
  <c r="AM359" i="13" s="1"/>
  <c r="AL360" i="13"/>
  <c r="AM360" i="13" s="1"/>
  <c r="AL361" i="13"/>
  <c r="AM361" i="13" s="1"/>
  <c r="AL362" i="13"/>
  <c r="AM362" i="13" s="1"/>
  <c r="AL363" i="13"/>
  <c r="AM363" i="13" s="1"/>
  <c r="AL364" i="13"/>
  <c r="AM364" i="13" s="1"/>
  <c r="AL365" i="13"/>
  <c r="AM365" i="13" s="1"/>
  <c r="AL366" i="13"/>
  <c r="AM366" i="13" s="1"/>
  <c r="AL367" i="13"/>
  <c r="AM367" i="13" s="1"/>
  <c r="AL368" i="13"/>
  <c r="AM368" i="13" s="1"/>
  <c r="AL369" i="13"/>
  <c r="AM369" i="13" s="1"/>
  <c r="AL370" i="13"/>
  <c r="AM370" i="13" s="1"/>
  <c r="AL371" i="13"/>
  <c r="AM371" i="13" s="1"/>
  <c r="AL372" i="13"/>
  <c r="AM372" i="13" s="1"/>
  <c r="AL373" i="13"/>
  <c r="AM373" i="13" s="1"/>
  <c r="AL374" i="13"/>
  <c r="AM374" i="13" s="1"/>
  <c r="AL375" i="13"/>
  <c r="AM375" i="13" s="1"/>
  <c r="AL376" i="13"/>
  <c r="AM376" i="13" s="1"/>
  <c r="AL377" i="13"/>
  <c r="AM377" i="13" s="1"/>
  <c r="AL378" i="13"/>
  <c r="AM378" i="13" s="1"/>
  <c r="AL379" i="13"/>
  <c r="AM379" i="13" s="1"/>
  <c r="AL380" i="13"/>
  <c r="AM380" i="13" s="1"/>
  <c r="AL381" i="13"/>
  <c r="AM381" i="13" s="1"/>
  <c r="AL382" i="13"/>
  <c r="AM382" i="13" s="1"/>
  <c r="AL383" i="13"/>
  <c r="AM383" i="13" s="1"/>
  <c r="AL384" i="13"/>
  <c r="AM384" i="13" s="1"/>
  <c r="AL385" i="13"/>
  <c r="AM385" i="13" s="1"/>
  <c r="AL386" i="13"/>
  <c r="AM386" i="13" s="1"/>
  <c r="AL387" i="13"/>
  <c r="AM387" i="13" s="1"/>
  <c r="AL388" i="13"/>
  <c r="AM388" i="13" s="1"/>
  <c r="AL389" i="13"/>
  <c r="AM389" i="13" s="1"/>
  <c r="AL390" i="13"/>
  <c r="AM390" i="13" s="1"/>
  <c r="AL391" i="13"/>
  <c r="AM391" i="13" s="1"/>
  <c r="AL392" i="13"/>
  <c r="AM392" i="13" s="1"/>
  <c r="AL393" i="13"/>
  <c r="AM393" i="13" s="1"/>
  <c r="AL394" i="13"/>
  <c r="AM394" i="13" s="1"/>
  <c r="AL395" i="13"/>
  <c r="AM395" i="13" s="1"/>
  <c r="AL396" i="13"/>
  <c r="AM396" i="13" s="1"/>
  <c r="AL397" i="13"/>
  <c r="AM397" i="13" s="1"/>
  <c r="AL398" i="13"/>
  <c r="AM398" i="13" s="1"/>
  <c r="AL399" i="13"/>
  <c r="AM399" i="13" s="1"/>
  <c r="AL400" i="13"/>
  <c r="AM400" i="13" s="1"/>
  <c r="AL401" i="13"/>
  <c r="AM401" i="13" s="1"/>
  <c r="AL402" i="13"/>
  <c r="AM402" i="13" s="1"/>
  <c r="AL403" i="13"/>
  <c r="AM403" i="13" s="1"/>
  <c r="AL404" i="13"/>
  <c r="AM404" i="13" s="1"/>
  <c r="AL405" i="13"/>
  <c r="AM405" i="13" s="1"/>
  <c r="AL406" i="13"/>
  <c r="AM406" i="13" s="1"/>
  <c r="AL407" i="13"/>
  <c r="AM407" i="13" s="1"/>
  <c r="AL408" i="13"/>
  <c r="AM408" i="13" s="1"/>
  <c r="AL409" i="13"/>
  <c r="AM409" i="13" s="1"/>
  <c r="AL410" i="13"/>
  <c r="AM410" i="13" s="1"/>
  <c r="AL411" i="13"/>
  <c r="AM411" i="13" s="1"/>
  <c r="AL412" i="13"/>
  <c r="AM412" i="13" s="1"/>
  <c r="AL413" i="13"/>
  <c r="AM413" i="13" s="1"/>
  <c r="AL414" i="13"/>
  <c r="AM414" i="13" s="1"/>
  <c r="AL415" i="13"/>
  <c r="AM415" i="13" s="1"/>
  <c r="AL416" i="13"/>
  <c r="AM416" i="13" s="1"/>
  <c r="AL417" i="13"/>
  <c r="AM417" i="13" s="1"/>
  <c r="AL418" i="13"/>
  <c r="AM418" i="13" s="1"/>
  <c r="AL419" i="13"/>
  <c r="AM419" i="13" s="1"/>
  <c r="AL420" i="13"/>
  <c r="AM420" i="13" s="1"/>
  <c r="AL421" i="13"/>
  <c r="AM421" i="13" s="1"/>
  <c r="AL422" i="13"/>
  <c r="AM422" i="13" s="1"/>
  <c r="AL423" i="13"/>
  <c r="AM423" i="13" s="1"/>
  <c r="AL424" i="13"/>
  <c r="AM424" i="13" s="1"/>
  <c r="AL425" i="13"/>
  <c r="AM425" i="13" s="1"/>
  <c r="AL426" i="13"/>
  <c r="AM426" i="13" s="1"/>
  <c r="AL427" i="13"/>
  <c r="AM427" i="13" s="1"/>
  <c r="AL428" i="13"/>
  <c r="AM428" i="13" s="1"/>
  <c r="AL429" i="13"/>
  <c r="AM429" i="13" s="1"/>
  <c r="AL430" i="13"/>
  <c r="AM430" i="13" s="1"/>
  <c r="AL431" i="13"/>
  <c r="AM431" i="13" s="1"/>
  <c r="AL432" i="13"/>
  <c r="AM432" i="13" s="1"/>
  <c r="AL433" i="13"/>
  <c r="AM433" i="13" s="1"/>
  <c r="AL434" i="13"/>
  <c r="AM434" i="13" s="1"/>
  <c r="AL435" i="13"/>
  <c r="AM435" i="13" s="1"/>
  <c r="AL436" i="13"/>
  <c r="AM436" i="13" s="1"/>
  <c r="AL437" i="13"/>
  <c r="AM437" i="13" s="1"/>
  <c r="AL438" i="13"/>
  <c r="AM438" i="13" s="1"/>
  <c r="AL439" i="13"/>
  <c r="AM439" i="13" s="1"/>
  <c r="AL440" i="13"/>
  <c r="AM440" i="13" s="1"/>
  <c r="AL441" i="13"/>
  <c r="AM441" i="13" s="1"/>
  <c r="AL442" i="13"/>
  <c r="AM442" i="13" s="1"/>
  <c r="AL443" i="13"/>
  <c r="AM443" i="13" s="1"/>
  <c r="AL444" i="13"/>
  <c r="AM444" i="13" s="1"/>
  <c r="AL445" i="13"/>
  <c r="AM445" i="13" s="1"/>
  <c r="AL446" i="13"/>
  <c r="AM446" i="13" s="1"/>
  <c r="AL447" i="13"/>
  <c r="AM447" i="13" s="1"/>
  <c r="AL448" i="13"/>
  <c r="AM448" i="13" s="1"/>
  <c r="AL449" i="13"/>
  <c r="AM449" i="13" s="1"/>
  <c r="AL450" i="13"/>
  <c r="AM450" i="13" s="1"/>
  <c r="AL451" i="13"/>
  <c r="AM451" i="13" s="1"/>
  <c r="AL452" i="13"/>
  <c r="AM452" i="13" s="1"/>
  <c r="AL453" i="13"/>
  <c r="AM453" i="13" s="1"/>
  <c r="AL454" i="13"/>
  <c r="AM454" i="13" s="1"/>
  <c r="AL455" i="13"/>
  <c r="AM455" i="13" s="1"/>
  <c r="AL456" i="13"/>
  <c r="AM456" i="13" s="1"/>
  <c r="AL457" i="13"/>
  <c r="AM457" i="13" s="1"/>
  <c r="AL458" i="13"/>
  <c r="AM458" i="13" s="1"/>
  <c r="AL459" i="13"/>
  <c r="AM459" i="13" s="1"/>
  <c r="AL460" i="13"/>
  <c r="AM460" i="13" s="1"/>
  <c r="AL461" i="13"/>
  <c r="AM461" i="13" s="1"/>
  <c r="AL462" i="13"/>
  <c r="AM462" i="13" s="1"/>
  <c r="AL463" i="13"/>
  <c r="AM463" i="13" s="1"/>
  <c r="AL464" i="13"/>
  <c r="AM464" i="13" s="1"/>
  <c r="AL465" i="13"/>
  <c r="AM465" i="13" s="1"/>
  <c r="AL466" i="13"/>
  <c r="AM466" i="13" s="1"/>
  <c r="AL467" i="13"/>
  <c r="AM467" i="13" s="1"/>
  <c r="AL468" i="13"/>
  <c r="AM468" i="13" s="1"/>
  <c r="AL469" i="13"/>
  <c r="AM469" i="13" s="1"/>
  <c r="AL470" i="13"/>
  <c r="AM470" i="13" s="1"/>
  <c r="AL471" i="13"/>
  <c r="AM471" i="13" s="1"/>
  <c r="AL472" i="13"/>
  <c r="AM472" i="13" s="1"/>
  <c r="AL473" i="13"/>
  <c r="AM473" i="13" s="1"/>
  <c r="AL474" i="13"/>
  <c r="AM474" i="13" s="1"/>
  <c r="AL475" i="13"/>
  <c r="AM475" i="13" s="1"/>
  <c r="AL476" i="13"/>
  <c r="AM476" i="13" s="1"/>
  <c r="AL477" i="13"/>
  <c r="AM477" i="13" s="1"/>
  <c r="AL478" i="13"/>
  <c r="AM478" i="13" s="1"/>
  <c r="AL479" i="13"/>
  <c r="AM479" i="13" s="1"/>
  <c r="AL480" i="13"/>
  <c r="AM480" i="13" s="1"/>
  <c r="AL481" i="13"/>
  <c r="AM481" i="13" s="1"/>
  <c r="AL482" i="13"/>
  <c r="AM482" i="13" s="1"/>
  <c r="AL483" i="13"/>
  <c r="AM483" i="13" s="1"/>
  <c r="AL484" i="13"/>
  <c r="AM484" i="13" s="1"/>
  <c r="AL485" i="13"/>
  <c r="AM485" i="13" s="1"/>
  <c r="AL486" i="13"/>
  <c r="AM486" i="13" s="1"/>
  <c r="AL487" i="13"/>
  <c r="AM487" i="13" s="1"/>
  <c r="AL488" i="13"/>
  <c r="AM488" i="13" s="1"/>
  <c r="AL489" i="13"/>
  <c r="AM489" i="13" s="1"/>
  <c r="AL490" i="13"/>
  <c r="AM490" i="13" s="1"/>
  <c r="AL491" i="13"/>
  <c r="AM491" i="13" s="1"/>
  <c r="AL492" i="13"/>
  <c r="AM492" i="13" s="1"/>
  <c r="AL493" i="13"/>
  <c r="AM493" i="13" s="1"/>
  <c r="AL494" i="13"/>
  <c r="AM494" i="13" s="1"/>
  <c r="AL495" i="13"/>
  <c r="AM495" i="13" s="1"/>
  <c r="AL496" i="13"/>
  <c r="AM496" i="13" s="1"/>
  <c r="AL497" i="13"/>
  <c r="AM497" i="13" s="1"/>
  <c r="AL498" i="13"/>
  <c r="AM498" i="13" s="1"/>
  <c r="AL499" i="13"/>
  <c r="AM499" i="13" s="1"/>
  <c r="AL500" i="13"/>
  <c r="AM500" i="13" s="1"/>
  <c r="AL501" i="13"/>
  <c r="AM501" i="13" s="1"/>
  <c r="AL502" i="13"/>
  <c r="AM502" i="13" s="1"/>
  <c r="AL503" i="13"/>
  <c r="AM503" i="13" s="1"/>
  <c r="AL504" i="13"/>
  <c r="AM504" i="13" s="1"/>
  <c r="AL505" i="13"/>
  <c r="AM505" i="13" s="1"/>
  <c r="AL506" i="13"/>
  <c r="AM506" i="13" s="1"/>
  <c r="AL507" i="13"/>
  <c r="AM507" i="13" s="1"/>
  <c r="AL508" i="13"/>
  <c r="AM508" i="13" s="1"/>
  <c r="AL509" i="13"/>
  <c r="AM509" i="13" s="1"/>
  <c r="AL510" i="13"/>
  <c r="AM510" i="13" s="1"/>
  <c r="AL511" i="13"/>
  <c r="AM511" i="13" s="1"/>
  <c r="AL512" i="13"/>
  <c r="AM512" i="13" s="1"/>
  <c r="AL513" i="13"/>
  <c r="AM513" i="13" s="1"/>
  <c r="AL514" i="13"/>
  <c r="AM514" i="13" s="1"/>
  <c r="AL515" i="13"/>
  <c r="AM515" i="13" s="1"/>
  <c r="AL516" i="13"/>
  <c r="AM516" i="13" s="1"/>
  <c r="AL517" i="13"/>
  <c r="AM517" i="13" s="1"/>
  <c r="AL518" i="13"/>
  <c r="AM518" i="13" s="1"/>
  <c r="AL519" i="13"/>
  <c r="AM519" i="13" s="1"/>
  <c r="AL520" i="13"/>
  <c r="AM520" i="13" s="1"/>
  <c r="AL521" i="13"/>
  <c r="AM521" i="13" s="1"/>
  <c r="AL522" i="13"/>
  <c r="AM522" i="13" s="1"/>
  <c r="AL523" i="13"/>
  <c r="AM523" i="13" s="1"/>
  <c r="AL524" i="13"/>
  <c r="AM524" i="13" s="1"/>
  <c r="AL525" i="13"/>
  <c r="AM525" i="13" s="1"/>
  <c r="AL526" i="13"/>
  <c r="AM526" i="13" s="1"/>
  <c r="AL527" i="13"/>
  <c r="AM527" i="13" s="1"/>
  <c r="AL528" i="13"/>
  <c r="AM528" i="13" s="1"/>
  <c r="AL529" i="13"/>
  <c r="AM529" i="13" s="1"/>
  <c r="AL530" i="13"/>
  <c r="AM530" i="13" s="1"/>
  <c r="AL531" i="13"/>
  <c r="AM531" i="13" s="1"/>
  <c r="AL532" i="13"/>
  <c r="AM532" i="13" s="1"/>
  <c r="AL533" i="13"/>
  <c r="AM533" i="13" s="1"/>
  <c r="AL534" i="13"/>
  <c r="AM534" i="13" s="1"/>
  <c r="AL535" i="13"/>
  <c r="AM535" i="13" s="1"/>
  <c r="AL536" i="13"/>
  <c r="AM536" i="13" s="1"/>
  <c r="AL537" i="13"/>
  <c r="AM537" i="13" s="1"/>
  <c r="AL538" i="13"/>
  <c r="AM538" i="13" s="1"/>
  <c r="AL539" i="13"/>
  <c r="AM539" i="13" s="1"/>
  <c r="AL540" i="13"/>
  <c r="AM540" i="13" s="1"/>
  <c r="AL541" i="13"/>
  <c r="AM541" i="13" s="1"/>
  <c r="AL542" i="13"/>
  <c r="AM542" i="13" s="1"/>
  <c r="AL543" i="13"/>
  <c r="AM543" i="13" s="1"/>
  <c r="AL544" i="13"/>
  <c r="AM544" i="13" s="1"/>
  <c r="AL545" i="13"/>
  <c r="AM545" i="13" s="1"/>
  <c r="AL546" i="13"/>
  <c r="AM546" i="13" s="1"/>
  <c r="AL547" i="13"/>
  <c r="AM547" i="13" s="1"/>
  <c r="AL548" i="13"/>
  <c r="AM548" i="13" s="1"/>
  <c r="AL549" i="13"/>
  <c r="AM549" i="13" s="1"/>
  <c r="AL550" i="13"/>
  <c r="AM550" i="13" s="1"/>
  <c r="AL551" i="13"/>
  <c r="AM551" i="13" s="1"/>
  <c r="AL552" i="13"/>
  <c r="AM552" i="13" s="1"/>
  <c r="AL553" i="13"/>
  <c r="AM553" i="13" s="1"/>
  <c r="AL554" i="13"/>
  <c r="AM554" i="13" s="1"/>
  <c r="AL555" i="13"/>
  <c r="AM555" i="13" s="1"/>
  <c r="AL556" i="13"/>
  <c r="AM556" i="13" s="1"/>
  <c r="AL557" i="13"/>
  <c r="AM557" i="13" s="1"/>
  <c r="AL558" i="13"/>
  <c r="AM558" i="13" s="1"/>
  <c r="AL559" i="13"/>
  <c r="AM559" i="13" s="1"/>
  <c r="AL560" i="13"/>
  <c r="AM560" i="13" s="1"/>
  <c r="AL561" i="13"/>
  <c r="AM561" i="13" s="1"/>
  <c r="AL562" i="13"/>
  <c r="AM562" i="13" s="1"/>
  <c r="AL563" i="13"/>
  <c r="AM563" i="13" s="1"/>
  <c r="AL564" i="13"/>
  <c r="AM564" i="13" s="1"/>
  <c r="AL565" i="13"/>
  <c r="AM565" i="13" s="1"/>
  <c r="AL566" i="13"/>
  <c r="AM566" i="13" s="1"/>
  <c r="AL567" i="13"/>
  <c r="AM567" i="13" s="1"/>
  <c r="AL568" i="13"/>
  <c r="AM568" i="13" s="1"/>
  <c r="AL569" i="13"/>
  <c r="AM569" i="13" s="1"/>
  <c r="AL570" i="13"/>
  <c r="AM570" i="13" s="1"/>
  <c r="AL571" i="13"/>
  <c r="AM571" i="13" s="1"/>
  <c r="AL572" i="13"/>
  <c r="AM572" i="13" s="1"/>
  <c r="AL573" i="13"/>
  <c r="AM573" i="13" s="1"/>
  <c r="AL574" i="13"/>
  <c r="AM574" i="13" s="1"/>
  <c r="AL575" i="13"/>
  <c r="AM575" i="13" s="1"/>
  <c r="AL576" i="13"/>
  <c r="AM576" i="13" s="1"/>
  <c r="AL577" i="13"/>
  <c r="AM577" i="13" s="1"/>
  <c r="AL578" i="13"/>
  <c r="AM578" i="13" s="1"/>
  <c r="AL579" i="13"/>
  <c r="AM579" i="13" s="1"/>
  <c r="AL580" i="13"/>
  <c r="AM580" i="13" s="1"/>
  <c r="AL581" i="13"/>
  <c r="AM581" i="13" s="1"/>
  <c r="AL582" i="13"/>
  <c r="AM582" i="13" s="1"/>
  <c r="AL583" i="13"/>
  <c r="AM583" i="13" s="1"/>
  <c r="AL584" i="13"/>
  <c r="AM584" i="13" s="1"/>
  <c r="AL585" i="13"/>
  <c r="AM585" i="13" s="1"/>
  <c r="AL586" i="13"/>
  <c r="AM586" i="13" s="1"/>
  <c r="AL587" i="13"/>
  <c r="AM587" i="13" s="1"/>
  <c r="AL588" i="13"/>
  <c r="AM588" i="13" s="1"/>
  <c r="AL589" i="13"/>
  <c r="AM589" i="13" s="1"/>
  <c r="AL590" i="13"/>
  <c r="AM590" i="13" s="1"/>
  <c r="AL591" i="13"/>
  <c r="AM591" i="13" s="1"/>
  <c r="AL592" i="13"/>
  <c r="AM592" i="13" s="1"/>
  <c r="AL593" i="13"/>
  <c r="AM593" i="13" s="1"/>
  <c r="AL594" i="13"/>
  <c r="AM594" i="13" s="1"/>
  <c r="AL595" i="13"/>
  <c r="AM595" i="13" s="1"/>
  <c r="AL596" i="13"/>
  <c r="AM596" i="13" s="1"/>
  <c r="AL597" i="13"/>
  <c r="AM597" i="13" s="1"/>
  <c r="AL598" i="13"/>
  <c r="AM598" i="13" s="1"/>
  <c r="AL599" i="13"/>
  <c r="AM599" i="13" s="1"/>
  <c r="AL600" i="13"/>
  <c r="AM600" i="13" s="1"/>
  <c r="AL601" i="13"/>
  <c r="AM601" i="13" s="1"/>
  <c r="AL602" i="13"/>
  <c r="AM602" i="13" s="1"/>
  <c r="AL603" i="13"/>
  <c r="AM603" i="13" s="1"/>
  <c r="AL604" i="13"/>
  <c r="AM604" i="13" s="1"/>
  <c r="AL605" i="13"/>
  <c r="AM605" i="13" s="1"/>
  <c r="AL606" i="13"/>
  <c r="AM606" i="13" s="1"/>
  <c r="AL607" i="13"/>
  <c r="AM607" i="13" s="1"/>
  <c r="AL608" i="13"/>
  <c r="AM608" i="13" s="1"/>
  <c r="AL609" i="13"/>
  <c r="AM609" i="13" s="1"/>
  <c r="AL610" i="13"/>
  <c r="AM610" i="13" s="1"/>
  <c r="AL611" i="13"/>
  <c r="AM611" i="13" s="1"/>
  <c r="AL612" i="13"/>
  <c r="AM612" i="13" s="1"/>
  <c r="AL613" i="13"/>
  <c r="AM613" i="13" s="1"/>
  <c r="AL614" i="13"/>
  <c r="AM614" i="13" s="1"/>
  <c r="AL615" i="13"/>
  <c r="AM615" i="13" s="1"/>
  <c r="AL616" i="13"/>
  <c r="AM616" i="13" s="1"/>
  <c r="AL617" i="13"/>
  <c r="AM617" i="13" s="1"/>
  <c r="AL618" i="13"/>
  <c r="AM618" i="13" s="1"/>
  <c r="AL619" i="13"/>
  <c r="AM619" i="13" s="1"/>
  <c r="AL620" i="13"/>
  <c r="AM620" i="13" s="1"/>
  <c r="AL621" i="13"/>
  <c r="AM621" i="13" s="1"/>
  <c r="AL622" i="13"/>
  <c r="AM622" i="13" s="1"/>
  <c r="AL623" i="13"/>
  <c r="AM623" i="13" s="1"/>
  <c r="AL624" i="13"/>
  <c r="AM624" i="13" s="1"/>
  <c r="AL625" i="13"/>
  <c r="AM625" i="13" s="1"/>
  <c r="AL626" i="13"/>
  <c r="AM626" i="13" s="1"/>
  <c r="AL2" i="13"/>
  <c r="AM2" i="13" s="1"/>
  <c r="AN3" i="13"/>
  <c r="AN4" i="13"/>
  <c r="AN5" i="13"/>
  <c r="AN6" i="13"/>
  <c r="AN2" i="13"/>
  <c r="AK2" i="13"/>
  <c r="AK3" i="13"/>
  <c r="AK4" i="13"/>
  <c r="AK5" i="13"/>
  <c r="AK6" i="13"/>
  <c r="AK7" i="13"/>
  <c r="AK8" i="13"/>
  <c r="AK9" i="13"/>
  <c r="AK10" i="13"/>
  <c r="AK11" i="13"/>
  <c r="AK12" i="13"/>
  <c r="AK13" i="13"/>
  <c r="AK14" i="13"/>
  <c r="AK15" i="13"/>
  <c r="AK16" i="13"/>
  <c r="AK17" i="13"/>
  <c r="AK18" i="13"/>
  <c r="AK19" i="13"/>
  <c r="AK20" i="13"/>
  <c r="AK21" i="13"/>
  <c r="AK22" i="13"/>
  <c r="AK23" i="13"/>
  <c r="AK24" i="13"/>
  <c r="AK25" i="13"/>
  <c r="AK26" i="13"/>
  <c r="AK27" i="13"/>
  <c r="AK28" i="13"/>
  <c r="AK29" i="13"/>
  <c r="AK30" i="13"/>
  <c r="AK31" i="13"/>
  <c r="AK32" i="13"/>
  <c r="AK33" i="13"/>
  <c r="AK34" i="13"/>
  <c r="AK35" i="13"/>
  <c r="AK36" i="13"/>
  <c r="AK37" i="13"/>
  <c r="AK38" i="13"/>
  <c r="AK39" i="13"/>
  <c r="AK40" i="13"/>
  <c r="AK41" i="13"/>
  <c r="AK42" i="13"/>
  <c r="AK43" i="13"/>
  <c r="AK44" i="13"/>
  <c r="AK45" i="13"/>
  <c r="AK46" i="13"/>
  <c r="AK47" i="13"/>
  <c r="AK48" i="13"/>
  <c r="AK49" i="13"/>
  <c r="AK50" i="13"/>
  <c r="AK51" i="13"/>
  <c r="AK52" i="13"/>
  <c r="AK53" i="13"/>
  <c r="AK54" i="13"/>
  <c r="AK55" i="13"/>
  <c r="AK56" i="13"/>
  <c r="AK57" i="13"/>
  <c r="AK58" i="13"/>
  <c r="AK59" i="13"/>
  <c r="AK60" i="13"/>
  <c r="AK61" i="13"/>
  <c r="AK62" i="13"/>
  <c r="AK63" i="13"/>
  <c r="AK64" i="13"/>
  <c r="AK65" i="13"/>
  <c r="AK66" i="13"/>
  <c r="AK67" i="13"/>
  <c r="AK68" i="13"/>
  <c r="AK69" i="13"/>
  <c r="AK70" i="13"/>
  <c r="AK71" i="13"/>
  <c r="AK72" i="13"/>
  <c r="AK73" i="13"/>
  <c r="AK74" i="13"/>
  <c r="AK75" i="13"/>
  <c r="AK76" i="13"/>
  <c r="AK77" i="13"/>
  <c r="AK78" i="13"/>
  <c r="AK79" i="13"/>
  <c r="AK80" i="13"/>
  <c r="AK81" i="13"/>
  <c r="AK82" i="13"/>
  <c r="AK83" i="13"/>
  <c r="AK84" i="13"/>
  <c r="AK85" i="13"/>
  <c r="AK86" i="13"/>
  <c r="AK87" i="13"/>
  <c r="AK88" i="13"/>
  <c r="AK89" i="13"/>
  <c r="AK90" i="13"/>
  <c r="AK91" i="13"/>
  <c r="AK92" i="13"/>
  <c r="AK93" i="13"/>
  <c r="AK94" i="13"/>
  <c r="AK95" i="13"/>
  <c r="AK96" i="13"/>
  <c r="AK97" i="13"/>
  <c r="AK98" i="13"/>
  <c r="AK99" i="13"/>
  <c r="AK100" i="13"/>
  <c r="AK101" i="13"/>
  <c r="AK102" i="13"/>
  <c r="AK103" i="13"/>
  <c r="AK104" i="13"/>
  <c r="AK105" i="13"/>
  <c r="AK106" i="13"/>
  <c r="AK107" i="13"/>
  <c r="AK108" i="13"/>
  <c r="AK109" i="13"/>
  <c r="AK110" i="13"/>
  <c r="AK111" i="13"/>
  <c r="AK112" i="13"/>
  <c r="AK113" i="13"/>
  <c r="AK114" i="13"/>
  <c r="AK115" i="13"/>
  <c r="AK116" i="13"/>
  <c r="AK117" i="13"/>
  <c r="AK118" i="13"/>
  <c r="AK119" i="13"/>
  <c r="AK120" i="13"/>
  <c r="AK121" i="13"/>
  <c r="AK122" i="13"/>
  <c r="AK123" i="13"/>
  <c r="AK124" i="13"/>
  <c r="AK125" i="13"/>
  <c r="AK126" i="13"/>
  <c r="AK127" i="13"/>
  <c r="AK128" i="13"/>
  <c r="AK129" i="13"/>
  <c r="AK130" i="13"/>
  <c r="AK131" i="13"/>
  <c r="AK132" i="13"/>
  <c r="AK133" i="13"/>
  <c r="AK134" i="13"/>
  <c r="AK135" i="13"/>
  <c r="AK136" i="13"/>
  <c r="AK137" i="13"/>
  <c r="AK138" i="13"/>
  <c r="AK139" i="13"/>
  <c r="AK140" i="13"/>
  <c r="AK141" i="13"/>
  <c r="AK142" i="13"/>
  <c r="AK143" i="13"/>
  <c r="AK144" i="13"/>
  <c r="AK145" i="13"/>
  <c r="AK146" i="13"/>
  <c r="AK147" i="13"/>
  <c r="AK148" i="13"/>
  <c r="AK149" i="13"/>
  <c r="AK150" i="13"/>
  <c r="AK151" i="13"/>
  <c r="AK152" i="13"/>
  <c r="AK153" i="13"/>
  <c r="AK154" i="13"/>
  <c r="AK155" i="13"/>
  <c r="AK156" i="13"/>
  <c r="AK157" i="13"/>
  <c r="AK158" i="13"/>
  <c r="AK159" i="13"/>
  <c r="AK160" i="13"/>
  <c r="AK161" i="13"/>
  <c r="AK162" i="13"/>
  <c r="AK163" i="13"/>
  <c r="AK164" i="13"/>
  <c r="AK165" i="13"/>
  <c r="AK166" i="13"/>
  <c r="AK167" i="13"/>
  <c r="AK168" i="13"/>
  <c r="AK169" i="13"/>
  <c r="AK170" i="13"/>
  <c r="AK171" i="13"/>
  <c r="AK172" i="13"/>
  <c r="AK173" i="13"/>
  <c r="AK174" i="13"/>
  <c r="AK175" i="13"/>
  <c r="AK176" i="13"/>
  <c r="AK177" i="13"/>
  <c r="AK178" i="13"/>
  <c r="AK179" i="13"/>
  <c r="AK180" i="13"/>
  <c r="AK181" i="13"/>
  <c r="AK182" i="13"/>
  <c r="AK183" i="13"/>
  <c r="AK184" i="13"/>
  <c r="AK185" i="13"/>
  <c r="AK186" i="13"/>
  <c r="AK187" i="13"/>
  <c r="AK188" i="13"/>
  <c r="AK189" i="13"/>
  <c r="AK190" i="13"/>
  <c r="AK191" i="13"/>
  <c r="AK192" i="13"/>
  <c r="AK193" i="13"/>
  <c r="AK194" i="13"/>
  <c r="AK195" i="13"/>
  <c r="AK196" i="13"/>
  <c r="AK197" i="13"/>
  <c r="AK198" i="13"/>
  <c r="AK199" i="13"/>
  <c r="AK200" i="13"/>
  <c r="AK201" i="13"/>
  <c r="AK202" i="13"/>
  <c r="AK203" i="13"/>
  <c r="AK204" i="13"/>
  <c r="AK205" i="13"/>
  <c r="AK206" i="13"/>
  <c r="AK207" i="13"/>
  <c r="AK208" i="13"/>
  <c r="AK209" i="13"/>
  <c r="AK210" i="13"/>
  <c r="AK211" i="13"/>
  <c r="AK212" i="13"/>
  <c r="AK213" i="13"/>
  <c r="AK214" i="13"/>
  <c r="AK215" i="13"/>
  <c r="AK216" i="13"/>
  <c r="AK217" i="13"/>
  <c r="AK218" i="13"/>
  <c r="AK219" i="13"/>
  <c r="AK220" i="13"/>
  <c r="AK221" i="13"/>
  <c r="AK222" i="13"/>
  <c r="AK223" i="13"/>
  <c r="AK224" i="13"/>
  <c r="AK225" i="13"/>
  <c r="AK226" i="13"/>
  <c r="AK227" i="13"/>
  <c r="AK228" i="13"/>
  <c r="AK229" i="13"/>
  <c r="AK230" i="13"/>
  <c r="AK231" i="13"/>
  <c r="AK232" i="13"/>
  <c r="AK233" i="13"/>
  <c r="AK234" i="13"/>
  <c r="AK235" i="13"/>
  <c r="AK236" i="13"/>
  <c r="AK237" i="13"/>
  <c r="AK238" i="13"/>
  <c r="AK239" i="13"/>
  <c r="AK240" i="13"/>
  <c r="AK241" i="13"/>
  <c r="AK242" i="13"/>
  <c r="AK243" i="13"/>
  <c r="AK244" i="13"/>
  <c r="AK245" i="13"/>
  <c r="AK246" i="13"/>
  <c r="AK247" i="13"/>
  <c r="AK248" i="13"/>
  <c r="AK249" i="13"/>
  <c r="AK250" i="13"/>
  <c r="AK251" i="13"/>
  <c r="AK252" i="13"/>
  <c r="AK253" i="13"/>
  <c r="AK254" i="13"/>
  <c r="AK255" i="13"/>
  <c r="AK256" i="13"/>
  <c r="AK257" i="13"/>
  <c r="AK258" i="13"/>
  <c r="AK259" i="13"/>
  <c r="AK260" i="13"/>
  <c r="AK261" i="13"/>
  <c r="AK262" i="13"/>
  <c r="AK263" i="13"/>
  <c r="AK264" i="13"/>
  <c r="AK265" i="13"/>
  <c r="AK266" i="13"/>
  <c r="AK267" i="13"/>
  <c r="AK268" i="13"/>
  <c r="AK269" i="13"/>
  <c r="AK270" i="13"/>
  <c r="AK271" i="13"/>
  <c r="AK272" i="13"/>
  <c r="AK273" i="13"/>
  <c r="AK274" i="13"/>
  <c r="AK275" i="13"/>
  <c r="AK276" i="13"/>
  <c r="AK277" i="13"/>
  <c r="AK278" i="13"/>
  <c r="AK279" i="13"/>
  <c r="AK280" i="13"/>
  <c r="AK281" i="13"/>
  <c r="AK282" i="13"/>
  <c r="AK283" i="13"/>
  <c r="AK284" i="13"/>
  <c r="AK285" i="13"/>
  <c r="AK286" i="13"/>
  <c r="AK287" i="13"/>
  <c r="AK288" i="13"/>
  <c r="AK289" i="13"/>
  <c r="AK290" i="13"/>
  <c r="AK291" i="13"/>
  <c r="AK292" i="13"/>
  <c r="AK293" i="13"/>
  <c r="AK294" i="13"/>
  <c r="AK295" i="13"/>
  <c r="AK296" i="13"/>
  <c r="AK297" i="13"/>
  <c r="AK298" i="13"/>
  <c r="AK299" i="13"/>
  <c r="AK300" i="13"/>
  <c r="AK301" i="13"/>
  <c r="AK302" i="13"/>
  <c r="AK303" i="13"/>
  <c r="AK304" i="13"/>
  <c r="AK305" i="13"/>
  <c r="AK306" i="13"/>
  <c r="AK307" i="13"/>
  <c r="AK308" i="13"/>
  <c r="AK309" i="13"/>
  <c r="AK310" i="13"/>
  <c r="AK311" i="13"/>
  <c r="AK312" i="13"/>
  <c r="AK313" i="13"/>
  <c r="AK314" i="13"/>
  <c r="AK315" i="13"/>
  <c r="AK316" i="13"/>
  <c r="AK317" i="13"/>
  <c r="AK318" i="13"/>
  <c r="AK319" i="13"/>
  <c r="AK320" i="13"/>
  <c r="AK321" i="13"/>
  <c r="AK322" i="13"/>
  <c r="AK323" i="13"/>
  <c r="AK324" i="13"/>
  <c r="AK325" i="13"/>
  <c r="AK326" i="13"/>
  <c r="AK327" i="13"/>
  <c r="AK328" i="13"/>
  <c r="AK329" i="13"/>
  <c r="AK330" i="13"/>
  <c r="AK331" i="13"/>
  <c r="AK332" i="13"/>
  <c r="AK333" i="13"/>
  <c r="AK334" i="13"/>
  <c r="AK335" i="13"/>
  <c r="AK336" i="13"/>
  <c r="AK337" i="13"/>
  <c r="AK338" i="13"/>
  <c r="AK339" i="13"/>
  <c r="AK340" i="13"/>
  <c r="AK341" i="13"/>
  <c r="AK342" i="13"/>
  <c r="AK343" i="13"/>
  <c r="AK344" i="13"/>
  <c r="AK345" i="13"/>
  <c r="AK346" i="13"/>
  <c r="AK347" i="13"/>
  <c r="AK348" i="13"/>
  <c r="AK349" i="13"/>
  <c r="AK350" i="13"/>
  <c r="AK351" i="13"/>
  <c r="AK352" i="13"/>
  <c r="AK353" i="13"/>
  <c r="AK354" i="13"/>
  <c r="AK355" i="13"/>
  <c r="AK356" i="13"/>
  <c r="AK357" i="13"/>
  <c r="AK358" i="13"/>
  <c r="AK359" i="13"/>
  <c r="AK360" i="13"/>
  <c r="AK361" i="13"/>
  <c r="AK362" i="13"/>
  <c r="AK363" i="13"/>
  <c r="AK364" i="13"/>
  <c r="AK365" i="13"/>
  <c r="AK366" i="13"/>
  <c r="AK367" i="13"/>
  <c r="AK368" i="13"/>
  <c r="AK369" i="13"/>
  <c r="AK370" i="13"/>
  <c r="AK371" i="13"/>
  <c r="AK372" i="13"/>
  <c r="AK373" i="13"/>
  <c r="AK374" i="13"/>
  <c r="AK375" i="13"/>
  <c r="AK376" i="13"/>
  <c r="AK377" i="13"/>
  <c r="AK378" i="13"/>
  <c r="AK379" i="13"/>
  <c r="AK380" i="13"/>
  <c r="AK381" i="13"/>
  <c r="AK382" i="13"/>
  <c r="AK383" i="13"/>
  <c r="AK384" i="13"/>
  <c r="AK385" i="13"/>
  <c r="AK386" i="13"/>
  <c r="AK387" i="13"/>
  <c r="AK388" i="13"/>
  <c r="AK389" i="13"/>
  <c r="AK390" i="13"/>
  <c r="AK391" i="13"/>
  <c r="AK392" i="13"/>
  <c r="AK393" i="13"/>
  <c r="AK394" i="13"/>
  <c r="AK395" i="13"/>
  <c r="AK396" i="13"/>
  <c r="AK397" i="13"/>
  <c r="AK398" i="13"/>
  <c r="AK399" i="13"/>
  <c r="AK400" i="13"/>
  <c r="AK401" i="13"/>
  <c r="AK402" i="13"/>
  <c r="AK403" i="13"/>
  <c r="AK404" i="13"/>
  <c r="AK405" i="13"/>
  <c r="AK406" i="13"/>
  <c r="AK407" i="13"/>
  <c r="AK408" i="13"/>
  <c r="AK409" i="13"/>
  <c r="AK410" i="13"/>
  <c r="AK411" i="13"/>
  <c r="AK412" i="13"/>
  <c r="AK413" i="13"/>
  <c r="AK414" i="13"/>
  <c r="AK415" i="13"/>
  <c r="AK416" i="13"/>
  <c r="AK417" i="13"/>
  <c r="AK418" i="13"/>
  <c r="AK419" i="13"/>
  <c r="AK420" i="13"/>
  <c r="AK421" i="13"/>
  <c r="AK422" i="13"/>
  <c r="AK423" i="13"/>
  <c r="AK424" i="13"/>
  <c r="AK425" i="13"/>
  <c r="AK426" i="13"/>
  <c r="AK427" i="13"/>
  <c r="AK428" i="13"/>
  <c r="AK429" i="13"/>
  <c r="AK430" i="13"/>
  <c r="AK431" i="13"/>
  <c r="AK432" i="13"/>
  <c r="AK433" i="13"/>
  <c r="AK434" i="13"/>
  <c r="AK435" i="13"/>
  <c r="AK436" i="13"/>
  <c r="AK437" i="13"/>
  <c r="AK438" i="13"/>
  <c r="AK439" i="13"/>
  <c r="AK440" i="13"/>
  <c r="AK441" i="13"/>
  <c r="AK442" i="13"/>
  <c r="AK443" i="13"/>
  <c r="AK444" i="13"/>
  <c r="AK445" i="13"/>
  <c r="AK446" i="13"/>
  <c r="AK447" i="13"/>
  <c r="AK448" i="13"/>
  <c r="AK449" i="13"/>
  <c r="AK450" i="13"/>
  <c r="AK451" i="13"/>
  <c r="AK452" i="13"/>
  <c r="AK453" i="13"/>
  <c r="AK454" i="13"/>
  <c r="AK455" i="13"/>
  <c r="AK456" i="13"/>
  <c r="AK457" i="13"/>
  <c r="AK458" i="13"/>
  <c r="AK459" i="13"/>
  <c r="AK460" i="13"/>
  <c r="AK461" i="13"/>
  <c r="AK462" i="13"/>
  <c r="AK463" i="13"/>
  <c r="AK464" i="13"/>
  <c r="AK465" i="13"/>
  <c r="AK466" i="13"/>
  <c r="AK467" i="13"/>
  <c r="AK468" i="13"/>
  <c r="AK469" i="13"/>
  <c r="AK470" i="13"/>
  <c r="AK471" i="13"/>
  <c r="AK472" i="13"/>
  <c r="AK473" i="13"/>
  <c r="AK474" i="13"/>
  <c r="AK475" i="13"/>
  <c r="AK476" i="13"/>
  <c r="AK477" i="13"/>
  <c r="AK478" i="13"/>
  <c r="AK479" i="13"/>
  <c r="AK480" i="13"/>
  <c r="AK481" i="13"/>
  <c r="AK482" i="13"/>
  <c r="AK483" i="13"/>
  <c r="AK484" i="13"/>
  <c r="AK485" i="13"/>
  <c r="AK486" i="13"/>
  <c r="AK487" i="13"/>
  <c r="AK488" i="13"/>
  <c r="AK489" i="13"/>
  <c r="AK490" i="13"/>
  <c r="AK491" i="13"/>
  <c r="AK492" i="13"/>
  <c r="AK493" i="13"/>
  <c r="AK494" i="13"/>
  <c r="AK495" i="13"/>
  <c r="AK496" i="13"/>
  <c r="AK497" i="13"/>
  <c r="AK498" i="13"/>
  <c r="AK499" i="13"/>
  <c r="AK500" i="13"/>
  <c r="AK501" i="13"/>
  <c r="AK502" i="13"/>
  <c r="AK503" i="13"/>
  <c r="AK504" i="13"/>
  <c r="AK505" i="13"/>
  <c r="AK506" i="13"/>
  <c r="AK507" i="13"/>
  <c r="AK508" i="13"/>
  <c r="AK509" i="13"/>
  <c r="AK510" i="13"/>
  <c r="AK511" i="13"/>
  <c r="AK512" i="13"/>
  <c r="AK513" i="13"/>
  <c r="AK514" i="13"/>
  <c r="AK515" i="13"/>
  <c r="AK516" i="13"/>
  <c r="AK517" i="13"/>
  <c r="AK518" i="13"/>
  <c r="AK519" i="13"/>
  <c r="AK520" i="13"/>
  <c r="AK521" i="13"/>
  <c r="AK522" i="13"/>
  <c r="AK523" i="13"/>
  <c r="AK524" i="13"/>
  <c r="AK525" i="13"/>
  <c r="AK526" i="13"/>
  <c r="AK527" i="13"/>
  <c r="AK528" i="13"/>
  <c r="AK529" i="13"/>
  <c r="AK530" i="13"/>
  <c r="AK531" i="13"/>
  <c r="AK532" i="13"/>
  <c r="AK533" i="13"/>
  <c r="AK534" i="13"/>
  <c r="AK535" i="13"/>
  <c r="AK536" i="13"/>
  <c r="AK537" i="13"/>
  <c r="AK538" i="13"/>
  <c r="AK539" i="13"/>
  <c r="AK540" i="13"/>
  <c r="AK541" i="13"/>
  <c r="AK542" i="13"/>
  <c r="AK543" i="13"/>
  <c r="AK544" i="13"/>
  <c r="AK545" i="13"/>
  <c r="AK546" i="13"/>
  <c r="AK547" i="13"/>
  <c r="AK548" i="13"/>
  <c r="AK549" i="13"/>
  <c r="AK550" i="13"/>
  <c r="AK551" i="13"/>
  <c r="AK552" i="13"/>
  <c r="AK553" i="13"/>
  <c r="AK554" i="13"/>
  <c r="AK555" i="13"/>
  <c r="AK556" i="13"/>
  <c r="AK557" i="13"/>
  <c r="AK558" i="13"/>
  <c r="AK559" i="13"/>
  <c r="AK560" i="13"/>
  <c r="AK561" i="13"/>
  <c r="AK562" i="13"/>
  <c r="AK563" i="13"/>
  <c r="AK564" i="13"/>
  <c r="AK565" i="13"/>
  <c r="AK566" i="13"/>
  <c r="AK567" i="13"/>
  <c r="AK568" i="13"/>
  <c r="AK569" i="13"/>
  <c r="AK570" i="13"/>
  <c r="AK571" i="13"/>
  <c r="AK572" i="13"/>
  <c r="AK573" i="13"/>
  <c r="AK574" i="13"/>
  <c r="AK575" i="13"/>
  <c r="AK576" i="13"/>
  <c r="AK577" i="13"/>
  <c r="AK578" i="13"/>
  <c r="AK579" i="13"/>
  <c r="AK580" i="13"/>
  <c r="AK581" i="13"/>
  <c r="AK582" i="13"/>
  <c r="AK583" i="13"/>
  <c r="AK584" i="13"/>
  <c r="AK585" i="13"/>
  <c r="AK586" i="13"/>
  <c r="AK587" i="13"/>
  <c r="AK588" i="13"/>
  <c r="AK589" i="13"/>
  <c r="AK590" i="13"/>
  <c r="AK591" i="13"/>
  <c r="AK592" i="13"/>
  <c r="AK593" i="13"/>
  <c r="AK594" i="13"/>
  <c r="AK595" i="13"/>
  <c r="AK596" i="13"/>
  <c r="AK597" i="13"/>
  <c r="AK598" i="13"/>
  <c r="AK599" i="13"/>
  <c r="AK600" i="13"/>
  <c r="AK601" i="13"/>
  <c r="AK602" i="13"/>
  <c r="AK603" i="13"/>
  <c r="AK604" i="13"/>
  <c r="AK605" i="13"/>
  <c r="AK606" i="13"/>
  <c r="AK607" i="13"/>
  <c r="AK608" i="13"/>
  <c r="AK609" i="13"/>
  <c r="AK610" i="13"/>
  <c r="AK611" i="13"/>
  <c r="AK612" i="13"/>
  <c r="AK613" i="13"/>
  <c r="AK614" i="13"/>
  <c r="AK615" i="13"/>
  <c r="AK616" i="13"/>
  <c r="AK617" i="13"/>
  <c r="AK618" i="13"/>
  <c r="AK619" i="13"/>
  <c r="AK620" i="13"/>
  <c r="AK621" i="13"/>
  <c r="AK622" i="13"/>
  <c r="AK623" i="13"/>
  <c r="AK624" i="13"/>
  <c r="AK625" i="13"/>
  <c r="AK626" i="13"/>
  <c r="AY184" i="7" l="1"/>
  <c r="AY180" i="7"/>
  <c r="AY176" i="7"/>
  <c r="AY172" i="7"/>
  <c r="AY168" i="7"/>
  <c r="AY164" i="7"/>
  <c r="AY160" i="7"/>
  <c r="AY156" i="7"/>
  <c r="AY152" i="7"/>
  <c r="AY148" i="7"/>
  <c r="AY144" i="7"/>
  <c r="AY140" i="7"/>
  <c r="AY136" i="7"/>
  <c r="AY132" i="7"/>
  <c r="AY128" i="7"/>
  <c r="AY124" i="7"/>
  <c r="AY120" i="7"/>
  <c r="AY116" i="7"/>
  <c r="AY112" i="7"/>
  <c r="AY108" i="7"/>
  <c r="AY104" i="7"/>
  <c r="AY100" i="7"/>
  <c r="AY96" i="7"/>
  <c r="AY92" i="7"/>
  <c r="AY88" i="7"/>
  <c r="AY84" i="7"/>
  <c r="AY80" i="7"/>
  <c r="AY76" i="7"/>
  <c r="AY72" i="7"/>
  <c r="AY68" i="7"/>
  <c r="AY64" i="7"/>
  <c r="AY60" i="7"/>
  <c r="AY56" i="7"/>
  <c r="AY52" i="7"/>
  <c r="AY48" i="7"/>
  <c r="AY44" i="7"/>
  <c r="AY40" i="7"/>
  <c r="AY36" i="7"/>
  <c r="AY32" i="7"/>
  <c r="AY28" i="7"/>
  <c r="AY24" i="7"/>
  <c r="AY20" i="7"/>
  <c r="AY16" i="7"/>
  <c r="AY12" i="7"/>
  <c r="AY8" i="7"/>
  <c r="AY628" i="7"/>
  <c r="AY624" i="7"/>
  <c r="AY620" i="7"/>
  <c r="AY616" i="7"/>
  <c r="AY612" i="7"/>
  <c r="AY608" i="7"/>
  <c r="AY604" i="7"/>
  <c r="AY600" i="7"/>
  <c r="AY596" i="7"/>
  <c r="AY592" i="7"/>
  <c r="AY588" i="7"/>
  <c r="AY584" i="7"/>
  <c r="AY580" i="7"/>
  <c r="AY576" i="7"/>
  <c r="AY572" i="7"/>
  <c r="AY568" i="7"/>
  <c r="AY564" i="7"/>
  <c r="AY560" i="7"/>
  <c r="AY556" i="7"/>
  <c r="AY552" i="7"/>
  <c r="AY548" i="7"/>
  <c r="AY544" i="7"/>
  <c r="AY540" i="7"/>
  <c r="AY536" i="7"/>
  <c r="AY532" i="7"/>
  <c r="AY528" i="7"/>
  <c r="AY524" i="7"/>
  <c r="AY520" i="7"/>
  <c r="AY516" i="7"/>
  <c r="AY512" i="7"/>
  <c r="AY508" i="7"/>
  <c r="AY504" i="7"/>
  <c r="AY500" i="7"/>
  <c r="AY496" i="7"/>
  <c r="AY492" i="7"/>
  <c r="AY488" i="7"/>
  <c r="AY484" i="7"/>
  <c r="AY480" i="7"/>
  <c r="AY476" i="7"/>
  <c r="AY472" i="7"/>
  <c r="AY468" i="7"/>
  <c r="AY464" i="7"/>
  <c r="AY460" i="7"/>
  <c r="AY456" i="7"/>
  <c r="AY452" i="7"/>
  <c r="AY448" i="7"/>
  <c r="AY444" i="7"/>
  <c r="AY440" i="7"/>
  <c r="AY436" i="7"/>
  <c r="AY432" i="7"/>
  <c r="AY428" i="7"/>
  <c r="AY424" i="7"/>
  <c r="AY416" i="7"/>
  <c r="AY412" i="7"/>
  <c r="AY408" i="7"/>
  <c r="AY404" i="7"/>
  <c r="AY400" i="7"/>
  <c r="AY396" i="7"/>
  <c r="AY392" i="7"/>
  <c r="AY388" i="7"/>
  <c r="AY384" i="7"/>
  <c r="AY380" i="7"/>
  <c r="AY376" i="7"/>
  <c r="AY372" i="7"/>
  <c r="AY368" i="7"/>
  <c r="AY364" i="7"/>
  <c r="AY360" i="7"/>
  <c r="AY356" i="7"/>
  <c r="AY352" i="7"/>
  <c r="AY348" i="7"/>
  <c r="AY344" i="7"/>
  <c r="AY340" i="7"/>
  <c r="AY336" i="7"/>
  <c r="AY332" i="7"/>
  <c r="AY328" i="7"/>
  <c r="AY324" i="7"/>
  <c r="AY320" i="7"/>
  <c r="AY316" i="7"/>
  <c r="AY312" i="7"/>
  <c r="AY308" i="7"/>
  <c r="AY304" i="7"/>
  <c r="AY300" i="7"/>
  <c r="AY296" i="7"/>
  <c r="AY292" i="7"/>
  <c r="AY288" i="7"/>
  <c r="AY284" i="7"/>
  <c r="AY280" i="7"/>
  <c r="AY276" i="7"/>
  <c r="AY272" i="7"/>
  <c r="AY268" i="7"/>
  <c r="AY264" i="7"/>
  <c r="AY260" i="7"/>
  <c r="AY256" i="7"/>
  <c r="AY252" i="7"/>
  <c r="AY248" i="7"/>
  <c r="AY244" i="7"/>
  <c r="AY240" i="7"/>
  <c r="AY236" i="7"/>
  <c r="AY232" i="7"/>
  <c r="AY228" i="7"/>
  <c r="AY224" i="7"/>
  <c r="AY220" i="7"/>
  <c r="AY216" i="7"/>
  <c r="AY212" i="7"/>
  <c r="AY208" i="7"/>
  <c r="AY204" i="7"/>
  <c r="AY200" i="7"/>
  <c r="AY196" i="7"/>
  <c r="AY192" i="7"/>
  <c r="AY188" i="7"/>
  <c r="AY420" i="7"/>
  <c r="AY627" i="7"/>
  <c r="AY623" i="7"/>
  <c r="AY619" i="7"/>
  <c r="AY615" i="7"/>
  <c r="AY611" i="7"/>
  <c r="AY607" i="7"/>
  <c r="AY603" i="7"/>
  <c r="AY599" i="7"/>
  <c r="AY595" i="7"/>
  <c r="AY591" i="7"/>
  <c r="AY587" i="7"/>
  <c r="AY583" i="7"/>
  <c r="AY579" i="7"/>
  <c r="AY575" i="7"/>
  <c r="AY571" i="7"/>
  <c r="AY567" i="7"/>
  <c r="AY563" i="7"/>
  <c r="AY559" i="7"/>
  <c r="AY555" i="7"/>
  <c r="AY551" i="7"/>
  <c r="AY547" i="7"/>
  <c r="AY543" i="7"/>
  <c r="AY539" i="7"/>
  <c r="AY535" i="7"/>
  <c r="AY531" i="7"/>
  <c r="AY527" i="7"/>
  <c r="AY523" i="7"/>
  <c r="AY519" i="7"/>
  <c r="AY515" i="7"/>
  <c r="AY511" i="7"/>
  <c r="AY507" i="7"/>
  <c r="AY503" i="7"/>
  <c r="AY499" i="7"/>
  <c r="AY495" i="7"/>
  <c r="AY491" i="7"/>
  <c r="AY487" i="7"/>
  <c r="AY483" i="7"/>
  <c r="AY479" i="7"/>
  <c r="AY475" i="7"/>
  <c r="AY471" i="7"/>
  <c r="AY467" i="7"/>
  <c r="AY463" i="7"/>
  <c r="AY459" i="7"/>
  <c r="AY455" i="7"/>
  <c r="AY451" i="7"/>
  <c r="AY447" i="7"/>
  <c r="AY443" i="7"/>
  <c r="AY439" i="7"/>
  <c r="AY435" i="7"/>
  <c r="AY431" i="7"/>
  <c r="AY427" i="7"/>
  <c r="AY423" i="7"/>
  <c r="AY419" i="7"/>
  <c r="AY415" i="7"/>
  <c r="AY411" i="7"/>
  <c r="AY407" i="7"/>
  <c r="AY4" i="7"/>
  <c r="AY625" i="7"/>
  <c r="AY621" i="7"/>
  <c r="AY617" i="7"/>
  <c r="AY613" i="7"/>
  <c r="AY609" i="7"/>
  <c r="AY605" i="7"/>
  <c r="AY601" i="7"/>
  <c r="AY597" i="7"/>
  <c r="AY593" i="7"/>
  <c r="AY589" i="7"/>
  <c r="AY585" i="7"/>
  <c r="AY581" i="7"/>
  <c r="AY577" i="7"/>
  <c r="AY573" i="7"/>
  <c r="AY569" i="7"/>
  <c r="AY565" i="7"/>
  <c r="AY561" i="7"/>
  <c r="AY557" i="7"/>
  <c r="AY553" i="7"/>
  <c r="AY549" i="7"/>
  <c r="AY545" i="7"/>
  <c r="AY541" i="7"/>
  <c r="AY537" i="7"/>
  <c r="AY533" i="7"/>
  <c r="AY529" i="7"/>
  <c r="AY525" i="7"/>
  <c r="AY521" i="7"/>
  <c r="AY517" i="7"/>
  <c r="AY513" i="7"/>
  <c r="AY509" i="7"/>
  <c r="AY505" i="7"/>
  <c r="AY501" i="7"/>
  <c r="AY497" i="7"/>
  <c r="AY493" i="7"/>
  <c r="AY489" i="7"/>
  <c r="AY485" i="7"/>
  <c r="AY481" i="7"/>
  <c r="AY477" i="7"/>
  <c r="AY473" i="7"/>
  <c r="AY469" i="7"/>
  <c r="AY465" i="7"/>
  <c r="AY461" i="7"/>
  <c r="AY457" i="7"/>
  <c r="AY453" i="7"/>
  <c r="AY449" i="7"/>
  <c r="AY445" i="7"/>
  <c r="AY441" i="7"/>
  <c r="AY437" i="7"/>
  <c r="AY433" i="7"/>
  <c r="AY429" i="7"/>
  <c r="AY425" i="7"/>
  <c r="AY421" i="7"/>
  <c r="AY417" i="7"/>
  <c r="AY413" i="7"/>
  <c r="AY409" i="7"/>
  <c r="AY405" i="7"/>
  <c r="AY401" i="7"/>
  <c r="AY397" i="7"/>
  <c r="AY393" i="7"/>
  <c r="AY389" i="7"/>
  <c r="AY385" i="7"/>
  <c r="AY381" i="7"/>
  <c r="AY377" i="7"/>
  <c r="AY373" i="7"/>
  <c r="AY369" i="7"/>
  <c r="AY365" i="7"/>
  <c r="AY361" i="7"/>
  <c r="AY357" i="7"/>
  <c r="AY353" i="7"/>
  <c r="AY349" i="7"/>
  <c r="AY345" i="7"/>
  <c r="AY341" i="7"/>
  <c r="AY337" i="7"/>
  <c r="AY333" i="7"/>
  <c r="AY329" i="7"/>
  <c r="AY325" i="7"/>
  <c r="AY321" i="7"/>
  <c r="AY317" i="7"/>
  <c r="AY313" i="7"/>
  <c r="AY309" i="7"/>
  <c r="AY305" i="7"/>
  <c r="AY301" i="7"/>
  <c r="AY297" i="7"/>
  <c r="AY293" i="7"/>
  <c r="AY289" i="7"/>
  <c r="AY285" i="7"/>
  <c r="AY281" i="7"/>
  <c r="AY277" i="7"/>
  <c r="AY273" i="7"/>
  <c r="AY269" i="7"/>
  <c r="AY265" i="7"/>
  <c r="AY261" i="7"/>
  <c r="AY257" i="7"/>
  <c r="AY253" i="7"/>
  <c r="AY249" i="7"/>
  <c r="AY245" i="7"/>
  <c r="AY241" i="7"/>
  <c r="AY237" i="7"/>
  <c r="AY233" i="7"/>
  <c r="AY229" i="7"/>
  <c r="AY225" i="7"/>
  <c r="AY221" i="7"/>
  <c r="AY217" i="7"/>
  <c r="AY213" i="7"/>
  <c r="AY209" i="7"/>
  <c r="AY205" i="7"/>
  <c r="AY201" i="7"/>
  <c r="AY197" i="7"/>
  <c r="AY193" i="7"/>
  <c r="AY189" i="7"/>
  <c r="AY185" i="7"/>
  <c r="AY181" i="7"/>
  <c r="AY177" i="7"/>
  <c r="AY173" i="7"/>
  <c r="AY169" i="7"/>
  <c r="AY165" i="7"/>
  <c r="AY161" i="7"/>
  <c r="AY157" i="7"/>
  <c r="AY153" i="7"/>
  <c r="AY149" i="7"/>
  <c r="AY145" i="7"/>
  <c r="AY141" i="7"/>
  <c r="AY137" i="7"/>
  <c r="AY133" i="7"/>
  <c r="AY129" i="7"/>
  <c r="AY125" i="7"/>
  <c r="AY121" i="7"/>
  <c r="AY117" i="7"/>
  <c r="AY113" i="7"/>
  <c r="AY109" i="7"/>
  <c r="AY105" i="7"/>
  <c r="AY101" i="7"/>
  <c r="AY97" i="7"/>
  <c r="AY93" i="7"/>
  <c r="AY89" i="7"/>
  <c r="AY85" i="7"/>
  <c r="AY81" i="7"/>
  <c r="AY77" i="7"/>
  <c r="AY73" i="7"/>
  <c r="AY69" i="7"/>
  <c r="AY65" i="7"/>
  <c r="AY61" i="7"/>
  <c r="AY57" i="7"/>
  <c r="AY53" i="7"/>
  <c r="AY49" i="7"/>
  <c r="AY45" i="7"/>
  <c r="AY41" i="7"/>
  <c r="AY37" i="7"/>
  <c r="AY33" i="7"/>
  <c r="AY29" i="7"/>
  <c r="AY25" i="7"/>
  <c r="AY21" i="7"/>
  <c r="AY17" i="7"/>
  <c r="AY13" i="7"/>
  <c r="AY9" i="7"/>
  <c r="AY5" i="7"/>
  <c r="AY403" i="7"/>
  <c r="AY399" i="7"/>
  <c r="AY395" i="7"/>
  <c r="AY391" i="7"/>
  <c r="AY387" i="7"/>
  <c r="AY383" i="7"/>
  <c r="AY379" i="7"/>
  <c r="AY375" i="7"/>
  <c r="AY371" i="7"/>
  <c r="AY367" i="7"/>
  <c r="AY363" i="7"/>
  <c r="AY359" i="7"/>
  <c r="AY355" i="7"/>
  <c r="AY351" i="7"/>
  <c r="AY347" i="7"/>
  <c r="AY626" i="7"/>
  <c r="AY622" i="7"/>
  <c r="AY618" i="7"/>
  <c r="AY614" i="7"/>
  <c r="AY610" i="7"/>
  <c r="AY606" i="7"/>
  <c r="AY602" i="7"/>
  <c r="AY598" i="7"/>
  <c r="AY594" i="7"/>
  <c r="AY590" i="7"/>
  <c r="AY586" i="7"/>
  <c r="AY582" i="7"/>
  <c r="AY578" i="7"/>
  <c r="AY574" i="7"/>
  <c r="AY570" i="7"/>
  <c r="AY566" i="7"/>
  <c r="AY562" i="7"/>
  <c r="AY558" i="7"/>
  <c r="AY554" i="7"/>
  <c r="AY550" i="7"/>
  <c r="AY546" i="7"/>
  <c r="AY542" i="7"/>
  <c r="AY538" i="7"/>
  <c r="AY534" i="7"/>
  <c r="AY530" i="7"/>
  <c r="AY526" i="7"/>
  <c r="AY522" i="7"/>
  <c r="AY518" i="7"/>
  <c r="AY514" i="7"/>
  <c r="AY510" i="7"/>
  <c r="AY506" i="7"/>
  <c r="AY502" i="7"/>
  <c r="AY498" i="7"/>
  <c r="AY494" i="7"/>
  <c r="AY490" i="7"/>
  <c r="AY486" i="7"/>
  <c r="AY482" i="7"/>
  <c r="AY478" i="7"/>
  <c r="AY474" i="7"/>
  <c r="AY470" i="7"/>
  <c r="AY466" i="7"/>
  <c r="AY462" i="7"/>
  <c r="AY458" i="7"/>
  <c r="AY454" i="7"/>
  <c r="AY450" i="7"/>
  <c r="AY446" i="7"/>
  <c r="AY442" i="7"/>
  <c r="AY438" i="7"/>
  <c r="AY434" i="7"/>
  <c r="AY430" i="7"/>
  <c r="AY426" i="7"/>
  <c r="AY422" i="7"/>
  <c r="AY418" i="7"/>
  <c r="AY414" i="7"/>
  <c r="AY410" i="7"/>
  <c r="AY406" i="7"/>
  <c r="AY402" i="7"/>
  <c r="AY398" i="7"/>
  <c r="AY394" i="7"/>
  <c r="AY390" i="7"/>
  <c r="AY386" i="7"/>
  <c r="AY382" i="7"/>
  <c r="AY378" i="7"/>
  <c r="AY374" i="7"/>
  <c r="AY370" i="7"/>
  <c r="AY366" i="7"/>
  <c r="AY362" i="7"/>
  <c r="AY358" i="7"/>
  <c r="AY354" i="7"/>
  <c r="AY350" i="7"/>
  <c r="AY346" i="7"/>
  <c r="AY343" i="7"/>
  <c r="AY339" i="7"/>
  <c r="AY335" i="7"/>
  <c r="AY331" i="7"/>
  <c r="AY327" i="7"/>
  <c r="AY323" i="7"/>
  <c r="AY319" i="7"/>
  <c r="AY315" i="7"/>
  <c r="AY311" i="7"/>
  <c r="AY307" i="7"/>
  <c r="AY303" i="7"/>
  <c r="AY299" i="7"/>
  <c r="AY295" i="7"/>
  <c r="AY291" i="7"/>
  <c r="AY287" i="7"/>
  <c r="AY283" i="7"/>
  <c r="AY279" i="7"/>
  <c r="AY275" i="7"/>
  <c r="AY271" i="7"/>
  <c r="AY267" i="7"/>
  <c r="AY263" i="7"/>
  <c r="AY259" i="7"/>
  <c r="AY255" i="7"/>
  <c r="AY251" i="7"/>
  <c r="AY247" i="7"/>
  <c r="AY243" i="7"/>
  <c r="AY239" i="7"/>
  <c r="AY235" i="7"/>
  <c r="AY231" i="7"/>
  <c r="AY227" i="7"/>
  <c r="AY223" i="7"/>
  <c r="AY219" i="7"/>
  <c r="AY215" i="7"/>
  <c r="AY211" i="7"/>
  <c r="AY207" i="7"/>
  <c r="AY203" i="7"/>
  <c r="AY199" i="7"/>
  <c r="AY195" i="7"/>
  <c r="AY191" i="7"/>
  <c r="AY187" i="7"/>
  <c r="AY183" i="7"/>
  <c r="AY179" i="7"/>
  <c r="AY175" i="7"/>
  <c r="AY171" i="7"/>
  <c r="AY167" i="7"/>
  <c r="AY163" i="7"/>
  <c r="AY159" i="7"/>
  <c r="AY155" i="7"/>
  <c r="AY151" i="7"/>
  <c r="AY147" i="7"/>
  <c r="AY143" i="7"/>
  <c r="AY139" i="7"/>
  <c r="AY135" i="7"/>
  <c r="AY131" i="7"/>
  <c r="AY127" i="7"/>
  <c r="AY123" i="7"/>
  <c r="AY119" i="7"/>
  <c r="AY115" i="7"/>
  <c r="AY111" i="7"/>
  <c r="AY107" i="7"/>
  <c r="AY103" i="7"/>
  <c r="AY99" i="7"/>
  <c r="AY95" i="7"/>
  <c r="AY91" i="7"/>
  <c r="AY87" i="7"/>
  <c r="AY83" i="7"/>
  <c r="AY79" i="7"/>
  <c r="AY75" i="7"/>
  <c r="AY71" i="7"/>
  <c r="AY67" i="7"/>
  <c r="AY63" i="7"/>
  <c r="AY59" i="7"/>
  <c r="AY55" i="7"/>
  <c r="AY51" i="7"/>
  <c r="AY47" i="7"/>
  <c r="AY43" i="7"/>
  <c r="AY39" i="7"/>
  <c r="AY35" i="7"/>
  <c r="AY31" i="7"/>
  <c r="AY27" i="7"/>
  <c r="AY23" i="7"/>
  <c r="AY19" i="7"/>
  <c r="AY15" i="7"/>
  <c r="AY11" i="7"/>
  <c r="AY7" i="7"/>
  <c r="AY342" i="7"/>
  <c r="AY338" i="7"/>
  <c r="AY334" i="7"/>
  <c r="AY330" i="7"/>
  <c r="AY326" i="7"/>
  <c r="AY322" i="7"/>
  <c r="AY318" i="7"/>
  <c r="AY314" i="7"/>
  <c r="AY310" i="7"/>
  <c r="AY306" i="7"/>
  <c r="AY302" i="7"/>
  <c r="AY298" i="7"/>
  <c r="AY294" i="7"/>
  <c r="AY290" i="7"/>
  <c r="AY286" i="7"/>
  <c r="AY282" i="7"/>
  <c r="AY278" i="7"/>
  <c r="AY274" i="7"/>
  <c r="AY270" i="7"/>
  <c r="AY266" i="7"/>
  <c r="AY262" i="7"/>
  <c r="AY258" i="7"/>
  <c r="AY254" i="7"/>
  <c r="AY250" i="7"/>
  <c r="AY246" i="7"/>
  <c r="AY242" i="7"/>
  <c r="AY238" i="7"/>
  <c r="AY234" i="7"/>
  <c r="AY230" i="7"/>
  <c r="AY226" i="7"/>
  <c r="AY222" i="7"/>
  <c r="AY218" i="7"/>
  <c r="AY214" i="7"/>
  <c r="AY210" i="7"/>
  <c r="AY206" i="7"/>
  <c r="AY202" i="7"/>
  <c r="AY198" i="7"/>
  <c r="AY194" i="7"/>
  <c r="AY190" i="7"/>
  <c r="AY186" i="7"/>
  <c r="AY182" i="7"/>
  <c r="AY178" i="7"/>
  <c r="AY174" i="7"/>
  <c r="AY170" i="7"/>
  <c r="AY166" i="7"/>
  <c r="AY162" i="7"/>
  <c r="AY158" i="7"/>
  <c r="AY154" i="7"/>
  <c r="AY150" i="7"/>
  <c r="AY146" i="7"/>
  <c r="AY142" i="7"/>
  <c r="AY138" i="7"/>
  <c r="AY134" i="7"/>
  <c r="AY130" i="7"/>
  <c r="AY126" i="7"/>
  <c r="AY122" i="7"/>
  <c r="AY118" i="7"/>
  <c r="AY114" i="7"/>
  <c r="AY110" i="7"/>
  <c r="AY106" i="7"/>
  <c r="AY102" i="7"/>
  <c r="AY98" i="7"/>
  <c r="AY94" i="7"/>
  <c r="AY90" i="7"/>
  <c r="AY86" i="7"/>
  <c r="AY82" i="7"/>
  <c r="AY78" i="7"/>
  <c r="AY74" i="7"/>
  <c r="AY70" i="7"/>
  <c r="AY66" i="7"/>
  <c r="AY62" i="7"/>
  <c r="AY58" i="7"/>
  <c r="AY54" i="7"/>
  <c r="AY50" i="7"/>
  <c r="AY46" i="7"/>
  <c r="AY42" i="7"/>
  <c r="AY38" i="7"/>
  <c r="AY34" i="7"/>
  <c r="AY30" i="7"/>
  <c r="AY26" i="7"/>
  <c r="AY22" i="7"/>
  <c r="AY18" i="7"/>
  <c r="AY14" i="7"/>
  <c r="AY10" i="7"/>
  <c r="AY6" i="7"/>
  <c r="BH320" i="7"/>
  <c r="BG320" i="7"/>
  <c r="BG196" i="7"/>
  <c r="BG474" i="7"/>
  <c r="BG68" i="7"/>
  <c r="BG384" i="7"/>
  <c r="BH501" i="7"/>
  <c r="BG432" i="7"/>
  <c r="BG368" i="7"/>
  <c r="BG292" i="7"/>
  <c r="BG164" i="7"/>
  <c r="BG36" i="7"/>
  <c r="BH437" i="7"/>
  <c r="BG416" i="7"/>
  <c r="BG352" i="7"/>
  <c r="BG260" i="7"/>
  <c r="BG132" i="7"/>
  <c r="BH4" i="7"/>
  <c r="BH303" i="7"/>
  <c r="BG400" i="7"/>
  <c r="BG336" i="7"/>
  <c r="BG228" i="7"/>
  <c r="BG100" i="7"/>
  <c r="BH565" i="7"/>
  <c r="BH175" i="7"/>
  <c r="BG602" i="7"/>
  <c r="BH610" i="7"/>
  <c r="BG610" i="7"/>
  <c r="BH578" i="7"/>
  <c r="BG578" i="7"/>
  <c r="BH570" i="7"/>
  <c r="BG570" i="7"/>
  <c r="BH546" i="7"/>
  <c r="BG546" i="7"/>
  <c r="BH514" i="7"/>
  <c r="BG514" i="7"/>
  <c r="BH506" i="7"/>
  <c r="BG506" i="7"/>
  <c r="BH482" i="7"/>
  <c r="BG482" i="7"/>
  <c r="BH450" i="7"/>
  <c r="BG450" i="7"/>
  <c r="BG410" i="7"/>
  <c r="BH410" i="7"/>
  <c r="BG378" i="7"/>
  <c r="BH378" i="7"/>
  <c r="BG262" i="7"/>
  <c r="BH262" i="7"/>
  <c r="BG134" i="7"/>
  <c r="BH134" i="7"/>
  <c r="BG90" i="7"/>
  <c r="BH90" i="7"/>
  <c r="BG70" i="7"/>
  <c r="BH70" i="7"/>
  <c r="BG26" i="7"/>
  <c r="BH26" i="7"/>
  <c r="BG538" i="7"/>
  <c r="BG431" i="7"/>
  <c r="BG415" i="7"/>
  <c r="BG399" i="7"/>
  <c r="BG383" i="7"/>
  <c r="BG367" i="7"/>
  <c r="BG351" i="7"/>
  <c r="BG335" i="7"/>
  <c r="BG319" i="7"/>
  <c r="BG291" i="7"/>
  <c r="BG259" i="7"/>
  <c r="BG227" i="7"/>
  <c r="BG195" i="7"/>
  <c r="BG163" i="7"/>
  <c r="BG131" i="7"/>
  <c r="BG99" i="7"/>
  <c r="BG67" i="7"/>
  <c r="BG35" i="7"/>
  <c r="BH613" i="7"/>
  <c r="BH549" i="7"/>
  <c r="BH485" i="7"/>
  <c r="BH48" i="7"/>
  <c r="BG440" i="7"/>
  <c r="BG424" i="7"/>
  <c r="BG408" i="7"/>
  <c r="BG392" i="7"/>
  <c r="BG376" i="7"/>
  <c r="BG360" i="7"/>
  <c r="BG344" i="7"/>
  <c r="BG328" i="7"/>
  <c r="BG308" i="7"/>
  <c r="BG276" i="7"/>
  <c r="BG244" i="7"/>
  <c r="BG212" i="7"/>
  <c r="BG180" i="7"/>
  <c r="BG148" i="7"/>
  <c r="BG116" i="7"/>
  <c r="BG84" i="7"/>
  <c r="BG52" i="7"/>
  <c r="BG20" i="7"/>
  <c r="BH597" i="7"/>
  <c r="BH533" i="7"/>
  <c r="BH469" i="7"/>
  <c r="BH219" i="7"/>
  <c r="BH91" i="7"/>
  <c r="BH47" i="7"/>
  <c r="BG439" i="7"/>
  <c r="BG423" i="7"/>
  <c r="BG407" i="7"/>
  <c r="BG391" i="7"/>
  <c r="BG375" i="7"/>
  <c r="BG359" i="7"/>
  <c r="BG343" i="7"/>
  <c r="BG327" i="7"/>
  <c r="BG307" i="7"/>
  <c r="BG275" i="7"/>
  <c r="BG243" i="7"/>
  <c r="BG211" i="7"/>
  <c r="BG179" i="7"/>
  <c r="BG147" i="7"/>
  <c r="BG115" i="7"/>
  <c r="BG83" i="7"/>
  <c r="BG51" i="7"/>
  <c r="BG19" i="7"/>
  <c r="BH581" i="7"/>
  <c r="BH517" i="7"/>
  <c r="BH453" i="7"/>
  <c r="BH304" i="7"/>
  <c r="BH176" i="7"/>
  <c r="BG626" i="7"/>
  <c r="BG594" i="7"/>
  <c r="BG562" i="7"/>
  <c r="BG530" i="7"/>
  <c r="BG498" i="7"/>
  <c r="BG466" i="7"/>
  <c r="BH346" i="7"/>
  <c r="BH622" i="7"/>
  <c r="BG622" i="7"/>
  <c r="BH614" i="7"/>
  <c r="BG614" i="7"/>
  <c r="BH606" i="7"/>
  <c r="BG606" i="7"/>
  <c r="BH598" i="7"/>
  <c r="BG598" i="7"/>
  <c r="BH590" i="7"/>
  <c r="BG590" i="7"/>
  <c r="BH582" i="7"/>
  <c r="BG582" i="7"/>
  <c r="BH574" i="7"/>
  <c r="BG574" i="7"/>
  <c r="BH566" i="7"/>
  <c r="BG566" i="7"/>
  <c r="BH558" i="7"/>
  <c r="BG558" i="7"/>
  <c r="BH550" i="7"/>
  <c r="BG550" i="7"/>
  <c r="BH542" i="7"/>
  <c r="BG542" i="7"/>
  <c r="BH534" i="7"/>
  <c r="BG534" i="7"/>
  <c r="BH526" i="7"/>
  <c r="BG526" i="7"/>
  <c r="BH518" i="7"/>
  <c r="BG518" i="7"/>
  <c r="BH510" i="7"/>
  <c r="BG510" i="7"/>
  <c r="BH502" i="7"/>
  <c r="BG502" i="7"/>
  <c r="BH494" i="7"/>
  <c r="BG494" i="7"/>
  <c r="BH486" i="7"/>
  <c r="BG486" i="7"/>
  <c r="BH478" i="7"/>
  <c r="BG478" i="7"/>
  <c r="BH470" i="7"/>
  <c r="BG470" i="7"/>
  <c r="BH462" i="7"/>
  <c r="BG462" i="7"/>
  <c r="BH454" i="7"/>
  <c r="BG454" i="7"/>
  <c r="BH446" i="7"/>
  <c r="BG446" i="7"/>
  <c r="BH442" i="7"/>
  <c r="BG442" i="7"/>
  <c r="BH438" i="7"/>
  <c r="BG438" i="7"/>
  <c r="BH434" i="7"/>
  <c r="BG434" i="7"/>
  <c r="BH430" i="7"/>
  <c r="BG430" i="7"/>
  <c r="BG426" i="7"/>
  <c r="BH426" i="7"/>
  <c r="BH422" i="7"/>
  <c r="BG422" i="7"/>
  <c r="BH418" i="7"/>
  <c r="BG418" i="7"/>
  <c r="BH414" i="7"/>
  <c r="BG414" i="7"/>
  <c r="BH406" i="7"/>
  <c r="BG406" i="7"/>
  <c r="BH402" i="7"/>
  <c r="BG402" i="7"/>
  <c r="BH398" i="7"/>
  <c r="BG398" i="7"/>
  <c r="BG394" i="7"/>
  <c r="BH394" i="7"/>
  <c r="BH390" i="7"/>
  <c r="BG390" i="7"/>
  <c r="BH386" i="7"/>
  <c r="BG386" i="7"/>
  <c r="BH382" i="7"/>
  <c r="BG382" i="7"/>
  <c r="BH374" i="7"/>
  <c r="BG374" i="7"/>
  <c r="BH370" i="7"/>
  <c r="BG370" i="7"/>
  <c r="BH366" i="7"/>
  <c r="BG366" i="7"/>
  <c r="BG362" i="7"/>
  <c r="BH362" i="7"/>
  <c r="BH358" i="7"/>
  <c r="BG358" i="7"/>
  <c r="BH354" i="7"/>
  <c r="BG354" i="7"/>
  <c r="BH350" i="7"/>
  <c r="BG350" i="7"/>
  <c r="BH342" i="7"/>
  <c r="BG342" i="7"/>
  <c r="BH338" i="7"/>
  <c r="BG338" i="7"/>
  <c r="BH334" i="7"/>
  <c r="BG334" i="7"/>
  <c r="BH330" i="7"/>
  <c r="BG330" i="7"/>
  <c r="BG326" i="7"/>
  <c r="BH326" i="7"/>
  <c r="BH322" i="7"/>
  <c r="BG322" i="7"/>
  <c r="BH318" i="7"/>
  <c r="BG318" i="7"/>
  <c r="BG314" i="7"/>
  <c r="BH314" i="7"/>
  <c r="BH310" i="7"/>
  <c r="BG310" i="7"/>
  <c r="BH306" i="7"/>
  <c r="BG306" i="7"/>
  <c r="BH302" i="7"/>
  <c r="BG302" i="7"/>
  <c r="BH298" i="7"/>
  <c r="BG298" i="7"/>
  <c r="BG294" i="7"/>
  <c r="BH294" i="7"/>
  <c r="BH290" i="7"/>
  <c r="BG290" i="7"/>
  <c r="BH286" i="7"/>
  <c r="BG286" i="7"/>
  <c r="BG282" i="7"/>
  <c r="BH282" i="7"/>
  <c r="BH278" i="7"/>
  <c r="BG278" i="7"/>
  <c r="BH274" i="7"/>
  <c r="BG274" i="7"/>
  <c r="BH270" i="7"/>
  <c r="BG270" i="7"/>
  <c r="BH266" i="7"/>
  <c r="BG266" i="7"/>
  <c r="BH258" i="7"/>
  <c r="BG258" i="7"/>
  <c r="BH254" i="7"/>
  <c r="BG254" i="7"/>
  <c r="BG250" i="7"/>
  <c r="BH250" i="7"/>
  <c r="BH246" i="7"/>
  <c r="BG246" i="7"/>
  <c r="BH242" i="7"/>
  <c r="BG242" i="7"/>
  <c r="BH238" i="7"/>
  <c r="BG238" i="7"/>
  <c r="BH234" i="7"/>
  <c r="BG234" i="7"/>
  <c r="BG230" i="7"/>
  <c r="BH230" i="7"/>
  <c r="BH226" i="7"/>
  <c r="BG226" i="7"/>
  <c r="BH222" i="7"/>
  <c r="BG222" i="7"/>
  <c r="BG218" i="7"/>
  <c r="BH218" i="7"/>
  <c r="BH214" i="7"/>
  <c r="BG214" i="7"/>
  <c r="BH210" i="7"/>
  <c r="BG210" i="7"/>
  <c r="BH206" i="7"/>
  <c r="BG206" i="7"/>
  <c r="BH202" i="7"/>
  <c r="BG202" i="7"/>
  <c r="BG198" i="7"/>
  <c r="BH198" i="7"/>
  <c r="BH194" i="7"/>
  <c r="BG194" i="7"/>
  <c r="BH190" i="7"/>
  <c r="BG190" i="7"/>
  <c r="BG186" i="7"/>
  <c r="BH186" i="7"/>
  <c r="BH182" i="7"/>
  <c r="BG182" i="7"/>
  <c r="BH178" i="7"/>
  <c r="BG178" i="7"/>
  <c r="BH174" i="7"/>
  <c r="BG174" i="7"/>
  <c r="BH170" i="7"/>
  <c r="BG170" i="7"/>
  <c r="BG166" i="7"/>
  <c r="BH166" i="7"/>
  <c r="BH162" i="7"/>
  <c r="BG162" i="7"/>
  <c r="BH158" i="7"/>
  <c r="BG158" i="7"/>
  <c r="BG154" i="7"/>
  <c r="BH154" i="7"/>
  <c r="BH150" i="7"/>
  <c r="BG150" i="7"/>
  <c r="BH146" i="7"/>
  <c r="BG146" i="7"/>
  <c r="BH142" i="7"/>
  <c r="BG142" i="7"/>
  <c r="BH138" i="7"/>
  <c r="BG138" i="7"/>
  <c r="BH130" i="7"/>
  <c r="BG130" i="7"/>
  <c r="BH126" i="7"/>
  <c r="BG126" i="7"/>
  <c r="BG122" i="7"/>
  <c r="BH122" i="7"/>
  <c r="BH118" i="7"/>
  <c r="BG118" i="7"/>
  <c r="BH114" i="7"/>
  <c r="BG114" i="7"/>
  <c r="BG618" i="7"/>
  <c r="BG586" i="7"/>
  <c r="BG554" i="7"/>
  <c r="BG522" i="7"/>
  <c r="BG490" i="7"/>
  <c r="BG458" i="7"/>
  <c r="BG433" i="7"/>
  <c r="BH433" i="7"/>
  <c r="BH429" i="7"/>
  <c r="BG429" i="7"/>
  <c r="BH421" i="7"/>
  <c r="BG421" i="7"/>
  <c r="BH417" i="7"/>
  <c r="BG417" i="7"/>
  <c r="BH413" i="7"/>
  <c r="BG413" i="7"/>
  <c r="BH405" i="7"/>
  <c r="BG405" i="7"/>
  <c r="BH401" i="7"/>
  <c r="BG401" i="7"/>
  <c r="BH397" i="7"/>
  <c r="BG397" i="7"/>
  <c r="BH389" i="7"/>
  <c r="BG389" i="7"/>
  <c r="BH385" i="7"/>
  <c r="BG385" i="7"/>
  <c r="BH381" i="7"/>
  <c r="BG381" i="7"/>
  <c r="BH373" i="7"/>
  <c r="BG373" i="7"/>
  <c r="BH369" i="7"/>
  <c r="BG369" i="7"/>
  <c r="BH365" i="7"/>
  <c r="BG365" i="7"/>
  <c r="BH357" i="7"/>
  <c r="BG357" i="7"/>
  <c r="BH353" i="7"/>
  <c r="BG353" i="7"/>
  <c r="BH349" i="7"/>
  <c r="BG349" i="7"/>
  <c r="BH341" i="7"/>
  <c r="BG341" i="7"/>
  <c r="BH337" i="7"/>
  <c r="BG337" i="7"/>
  <c r="BH333" i="7"/>
  <c r="BG333" i="7"/>
  <c r="BH329" i="7"/>
  <c r="BG329" i="7"/>
  <c r="BH325" i="7"/>
  <c r="BG325" i="7"/>
  <c r="BH317" i="7"/>
  <c r="BG317" i="7"/>
  <c r="BH313" i="7"/>
  <c r="BG313" i="7"/>
  <c r="BH309" i="7"/>
  <c r="BG309" i="7"/>
  <c r="BH305" i="7"/>
  <c r="BG305" i="7"/>
  <c r="BH301" i="7"/>
  <c r="BG301" i="7"/>
  <c r="BH297" i="7"/>
  <c r="BG297" i="7"/>
  <c r="BH293" i="7"/>
  <c r="BG293" i="7"/>
  <c r="BH289" i="7"/>
  <c r="BG289" i="7"/>
  <c r="BH285" i="7"/>
  <c r="BG285" i="7"/>
  <c r="BH281" i="7"/>
  <c r="BG281" i="7"/>
  <c r="BH277" i="7"/>
  <c r="BG277" i="7"/>
  <c r="BH273" i="7"/>
  <c r="BG273" i="7"/>
  <c r="BH269" i="7"/>
  <c r="BG269" i="7"/>
  <c r="BH265" i="7"/>
  <c r="BG265" i="7"/>
  <c r="BH261" i="7"/>
  <c r="BG261" i="7"/>
  <c r="BH257" i="7"/>
  <c r="BG257" i="7"/>
  <c r="BH253" i="7"/>
  <c r="BG253" i="7"/>
  <c r="BH249" i="7"/>
  <c r="BG249" i="7"/>
  <c r="BH245" i="7"/>
  <c r="BG245" i="7"/>
  <c r="BH241" i="7"/>
  <c r="BG241" i="7"/>
  <c r="BH237" i="7"/>
  <c r="BG237" i="7"/>
  <c r="BH233" i="7"/>
  <c r="BG233" i="7"/>
  <c r="BH229" i="7"/>
  <c r="BG229" i="7"/>
  <c r="BH225" i="7"/>
  <c r="BG225" i="7"/>
  <c r="BH221" i="7"/>
  <c r="BG221" i="7"/>
  <c r="BH217" i="7"/>
  <c r="BG217" i="7"/>
  <c r="BH213" i="7"/>
  <c r="BG213" i="7"/>
  <c r="BH209" i="7"/>
  <c r="BG209" i="7"/>
  <c r="BH205" i="7"/>
  <c r="BG205" i="7"/>
  <c r="BH201" i="7"/>
  <c r="BG201" i="7"/>
  <c r="BH197" i="7"/>
  <c r="BG197" i="7"/>
  <c r="BH193" i="7"/>
  <c r="BG193" i="7"/>
  <c r="BH189" i="7"/>
  <c r="BG189" i="7"/>
  <c r="BH185" i="7"/>
  <c r="BG185" i="7"/>
  <c r="BH181" i="7"/>
  <c r="BG181" i="7"/>
  <c r="BH177" i="7"/>
  <c r="BG177" i="7"/>
  <c r="BH173" i="7"/>
  <c r="BG173" i="7"/>
  <c r="BH169" i="7"/>
  <c r="BG169" i="7"/>
  <c r="BH165" i="7"/>
  <c r="BG165" i="7"/>
  <c r="BH161" i="7"/>
  <c r="BG161" i="7"/>
  <c r="BH157" i="7"/>
  <c r="BG157" i="7"/>
  <c r="BH153" i="7"/>
  <c r="BG153" i="7"/>
  <c r="BH149" i="7"/>
  <c r="BG149" i="7"/>
  <c r="BH145" i="7"/>
  <c r="BG145" i="7"/>
  <c r="BH141" i="7"/>
  <c r="BG141" i="7"/>
  <c r="BH137" i="7"/>
  <c r="BG137" i="7"/>
  <c r="BH133" i="7"/>
  <c r="BG133" i="7"/>
  <c r="BH129" i="7"/>
  <c r="BG129" i="7"/>
  <c r="BH125" i="7"/>
  <c r="BG125" i="7"/>
  <c r="BH121" i="7"/>
  <c r="BG121" i="7"/>
  <c r="BH117" i="7"/>
  <c r="BG117" i="7"/>
  <c r="BH113" i="7"/>
  <c r="BG113" i="7"/>
  <c r="BH109" i="7"/>
  <c r="BG109" i="7"/>
  <c r="BH105" i="7"/>
  <c r="BG105" i="7"/>
  <c r="BH101" i="7"/>
  <c r="BG101" i="7"/>
  <c r="BH97" i="7"/>
  <c r="BG97" i="7"/>
  <c r="BH93" i="7"/>
  <c r="BG93" i="7"/>
  <c r="BH89" i="7"/>
  <c r="BG89" i="7"/>
  <c r="BH85" i="7"/>
  <c r="BG85" i="7"/>
  <c r="BH81" i="7"/>
  <c r="BG81" i="7"/>
  <c r="BH77" i="7"/>
  <c r="BG77" i="7"/>
  <c r="BH73" i="7"/>
  <c r="BG73" i="7"/>
  <c r="BH69" i="7"/>
  <c r="BG69" i="7"/>
  <c r="BH65" i="7"/>
  <c r="BG65" i="7"/>
  <c r="BH61" i="7"/>
  <c r="BG61" i="7"/>
  <c r="BH57" i="7"/>
  <c r="BG57" i="7"/>
  <c r="BG625" i="7"/>
  <c r="BG617" i="7"/>
  <c r="BG609" i="7"/>
  <c r="BG601" i="7"/>
  <c r="BG593" i="7"/>
  <c r="BG585" i="7"/>
  <c r="BG577" i="7"/>
  <c r="BG569" i="7"/>
  <c r="BG561" i="7"/>
  <c r="BG553" i="7"/>
  <c r="BG545" i="7"/>
  <c r="BG537" i="7"/>
  <c r="BG529" i="7"/>
  <c r="BG521" i="7"/>
  <c r="BG513" i="7"/>
  <c r="BG505" i="7"/>
  <c r="BG497" i="7"/>
  <c r="BG489" i="7"/>
  <c r="BG481" i="7"/>
  <c r="BG473" i="7"/>
  <c r="BG465" i="7"/>
  <c r="BG457" i="7"/>
  <c r="BG449" i="7"/>
  <c r="BH628" i="7"/>
  <c r="BH612" i="7"/>
  <c r="BH596" i="7"/>
  <c r="BH580" i="7"/>
  <c r="BH564" i="7"/>
  <c r="BH548" i="7"/>
  <c r="BH532" i="7"/>
  <c r="BH516" i="7"/>
  <c r="BH500" i="7"/>
  <c r="BH484" i="7"/>
  <c r="BH468" i="7"/>
  <c r="BH452" i="7"/>
  <c r="BH436" i="7"/>
  <c r="BH409" i="7"/>
  <c r="BH377" i="7"/>
  <c r="BH345" i="7"/>
  <c r="BH624" i="7"/>
  <c r="BG624" i="7"/>
  <c r="BH616" i="7"/>
  <c r="BG616" i="7"/>
  <c r="BH608" i="7"/>
  <c r="BG608" i="7"/>
  <c r="BH600" i="7"/>
  <c r="BG600" i="7"/>
  <c r="BH592" i="7"/>
  <c r="BG592" i="7"/>
  <c r="BH584" i="7"/>
  <c r="BG584" i="7"/>
  <c r="BH576" i="7"/>
  <c r="BG576" i="7"/>
  <c r="BH568" i="7"/>
  <c r="BG568" i="7"/>
  <c r="BH560" i="7"/>
  <c r="BG560" i="7"/>
  <c r="BH552" i="7"/>
  <c r="BG552" i="7"/>
  <c r="BH544" i="7"/>
  <c r="BG544" i="7"/>
  <c r="BH536" i="7"/>
  <c r="BG536" i="7"/>
  <c r="BH528" i="7"/>
  <c r="BG528" i="7"/>
  <c r="BH520" i="7"/>
  <c r="BG520" i="7"/>
  <c r="BH512" i="7"/>
  <c r="BG512" i="7"/>
  <c r="BH504" i="7"/>
  <c r="BG504" i="7"/>
  <c r="BH496" i="7"/>
  <c r="BG496" i="7"/>
  <c r="BH488" i="7"/>
  <c r="BG488" i="7"/>
  <c r="BH480" i="7"/>
  <c r="BG480" i="7"/>
  <c r="BH472" i="7"/>
  <c r="BG472" i="7"/>
  <c r="BH464" i="7"/>
  <c r="BG464" i="7"/>
  <c r="BH456" i="7"/>
  <c r="BG456" i="7"/>
  <c r="BH448" i="7"/>
  <c r="BG448" i="7"/>
  <c r="BH312" i="7"/>
  <c r="BG312" i="7"/>
  <c r="BH296" i="7"/>
  <c r="BG296" i="7"/>
  <c r="BH288" i="7"/>
  <c r="BG288" i="7"/>
  <c r="BH280" i="7"/>
  <c r="BG280" i="7"/>
  <c r="BH272" i="7"/>
  <c r="BG272" i="7"/>
  <c r="BH264" i="7"/>
  <c r="BG264" i="7"/>
  <c r="BH256" i="7"/>
  <c r="BG256" i="7"/>
  <c r="BH248" i="7"/>
  <c r="BG248" i="7"/>
  <c r="BH232" i="7"/>
  <c r="BG232" i="7"/>
  <c r="BH224" i="7"/>
  <c r="BG224" i="7"/>
  <c r="BH216" i="7"/>
  <c r="BG216" i="7"/>
  <c r="BH208" i="7"/>
  <c r="BG208" i="7"/>
  <c r="BH200" i="7"/>
  <c r="BG200" i="7"/>
  <c r="BH192" i="7"/>
  <c r="BG192" i="7"/>
  <c r="BH184" i="7"/>
  <c r="BG184" i="7"/>
  <c r="BH168" i="7"/>
  <c r="BG168" i="7"/>
  <c r="BH160" i="7"/>
  <c r="BG160" i="7"/>
  <c r="BH152" i="7"/>
  <c r="BG152" i="7"/>
  <c r="BH144" i="7"/>
  <c r="BG144" i="7"/>
  <c r="BH136" i="7"/>
  <c r="BG136" i="7"/>
  <c r="BH128" i="7"/>
  <c r="BG128" i="7"/>
  <c r="BH120" i="7"/>
  <c r="BG120" i="7"/>
  <c r="BH104" i="7"/>
  <c r="BG104" i="7"/>
  <c r="BH96" i="7"/>
  <c r="BG96" i="7"/>
  <c r="BH88" i="7"/>
  <c r="BG88" i="7"/>
  <c r="BH80" i="7"/>
  <c r="BG80" i="7"/>
  <c r="BH72" i="7"/>
  <c r="BG72" i="7"/>
  <c r="BH64" i="7"/>
  <c r="BG64" i="7"/>
  <c r="BH56" i="7"/>
  <c r="BG56" i="7"/>
  <c r="BH40" i="7"/>
  <c r="BG40" i="7"/>
  <c r="BH32" i="7"/>
  <c r="BG32" i="7"/>
  <c r="BH24" i="7"/>
  <c r="BG24" i="7"/>
  <c r="BH16" i="7"/>
  <c r="BG16" i="7"/>
  <c r="BH8" i="7"/>
  <c r="BG8" i="7"/>
  <c r="BG428" i="7"/>
  <c r="BG420" i="7"/>
  <c r="BG412" i="7"/>
  <c r="BG404" i="7"/>
  <c r="BG396" i="7"/>
  <c r="BG388" i="7"/>
  <c r="BG380" i="7"/>
  <c r="BG372" i="7"/>
  <c r="BG364" i="7"/>
  <c r="BG356" i="7"/>
  <c r="BG348" i="7"/>
  <c r="BG340" i="7"/>
  <c r="BG332" i="7"/>
  <c r="BG324" i="7"/>
  <c r="BG316" i="7"/>
  <c r="BG300" i="7"/>
  <c r="BG284" i="7"/>
  <c r="BG268" i="7"/>
  <c r="BG252" i="7"/>
  <c r="BG236" i="7"/>
  <c r="BG220" i="7"/>
  <c r="BG204" i="7"/>
  <c r="BG188" i="7"/>
  <c r="BG172" i="7"/>
  <c r="BG156" i="7"/>
  <c r="BG140" i="7"/>
  <c r="BG124" i="7"/>
  <c r="BG108" i="7"/>
  <c r="BG92" i="7"/>
  <c r="BG76" i="7"/>
  <c r="BG60" i="7"/>
  <c r="BG44" i="7"/>
  <c r="BG28" i="7"/>
  <c r="BG12" i="7"/>
  <c r="BH621" i="7"/>
  <c r="BH605" i="7"/>
  <c r="BH589" i="7"/>
  <c r="BH573" i="7"/>
  <c r="BH557" i="7"/>
  <c r="BH541" i="7"/>
  <c r="BH525" i="7"/>
  <c r="BH509" i="7"/>
  <c r="BH493" i="7"/>
  <c r="BH477" i="7"/>
  <c r="BH461" i="7"/>
  <c r="BH445" i="7"/>
  <c r="BH283" i="7"/>
  <c r="BH240" i="7"/>
  <c r="BH155" i="7"/>
  <c r="BH112" i="7"/>
  <c r="BH27" i="7"/>
  <c r="BH627" i="7"/>
  <c r="BG627" i="7"/>
  <c r="BH623" i="7"/>
  <c r="BG623" i="7"/>
  <c r="BH619" i="7"/>
  <c r="BG619" i="7"/>
  <c r="BH615" i="7"/>
  <c r="BG615" i="7"/>
  <c r="BH611" i="7"/>
  <c r="BG611" i="7"/>
  <c r="BH607" i="7"/>
  <c r="BG607" i="7"/>
  <c r="BH603" i="7"/>
  <c r="BG603" i="7"/>
  <c r="BH599" i="7"/>
  <c r="BG599" i="7"/>
  <c r="BH595" i="7"/>
  <c r="BG595" i="7"/>
  <c r="BH591" i="7"/>
  <c r="BG591" i="7"/>
  <c r="BH587" i="7"/>
  <c r="BG587" i="7"/>
  <c r="BH583" i="7"/>
  <c r="BG583" i="7"/>
  <c r="BH579" i="7"/>
  <c r="BG579" i="7"/>
  <c r="BH575" i="7"/>
  <c r="BG575" i="7"/>
  <c r="BH571" i="7"/>
  <c r="BG571" i="7"/>
  <c r="BH567" i="7"/>
  <c r="BG567" i="7"/>
  <c r="BH563" i="7"/>
  <c r="BG563" i="7"/>
  <c r="BH559" i="7"/>
  <c r="BG559" i="7"/>
  <c r="BH555" i="7"/>
  <c r="BG555" i="7"/>
  <c r="BH551" i="7"/>
  <c r="BG551" i="7"/>
  <c r="BH547" i="7"/>
  <c r="BG547" i="7"/>
  <c r="BH543" i="7"/>
  <c r="BG543" i="7"/>
  <c r="BH539" i="7"/>
  <c r="BG539" i="7"/>
  <c r="BH535" i="7"/>
  <c r="BG535" i="7"/>
  <c r="BH531" i="7"/>
  <c r="BG531" i="7"/>
  <c r="BH527" i="7"/>
  <c r="BG527" i="7"/>
  <c r="BH523" i="7"/>
  <c r="BG523" i="7"/>
  <c r="BH519" i="7"/>
  <c r="BG519" i="7"/>
  <c r="BH515" i="7"/>
  <c r="BG515" i="7"/>
  <c r="BH511" i="7"/>
  <c r="BG511" i="7"/>
  <c r="BH507" i="7"/>
  <c r="BG507" i="7"/>
  <c r="BH503" i="7"/>
  <c r="BG503" i="7"/>
  <c r="BH499" i="7"/>
  <c r="BG499" i="7"/>
  <c r="BH495" i="7"/>
  <c r="BG495" i="7"/>
  <c r="BH491" i="7"/>
  <c r="BG491" i="7"/>
  <c r="BH487" i="7"/>
  <c r="BG487" i="7"/>
  <c r="BH483" i="7"/>
  <c r="BG483" i="7"/>
  <c r="BH479" i="7"/>
  <c r="BG479" i="7"/>
  <c r="BH475" i="7"/>
  <c r="BG475" i="7"/>
  <c r="BH471" i="7"/>
  <c r="BG471" i="7"/>
  <c r="BH467" i="7"/>
  <c r="BG467" i="7"/>
  <c r="BH463" i="7"/>
  <c r="BG463" i="7"/>
  <c r="BH459" i="7"/>
  <c r="BG459" i="7"/>
  <c r="BH455" i="7"/>
  <c r="BG455" i="7"/>
  <c r="BH451" i="7"/>
  <c r="BG451" i="7"/>
  <c r="BH447" i="7"/>
  <c r="BG447" i="7"/>
  <c r="BH443" i="7"/>
  <c r="BG443" i="7"/>
  <c r="BH311" i="7"/>
  <c r="BG311" i="7"/>
  <c r="BH295" i="7"/>
  <c r="BG295" i="7"/>
  <c r="BH287" i="7"/>
  <c r="BG287" i="7"/>
  <c r="BH279" i="7"/>
  <c r="BG279" i="7"/>
  <c r="BH271" i="7"/>
  <c r="BG271" i="7"/>
  <c r="BH263" i="7"/>
  <c r="BG263" i="7"/>
  <c r="BH255" i="7"/>
  <c r="BG255" i="7"/>
  <c r="BH247" i="7"/>
  <c r="BG247" i="7"/>
  <c r="BH231" i="7"/>
  <c r="BG231" i="7"/>
  <c r="BH223" i="7"/>
  <c r="BG223" i="7"/>
  <c r="BH215" i="7"/>
  <c r="BG215" i="7"/>
  <c r="BH207" i="7"/>
  <c r="BG207" i="7"/>
  <c r="BH199" i="7"/>
  <c r="BG199" i="7"/>
  <c r="BH191" i="7"/>
  <c r="BG191" i="7"/>
  <c r="BH183" i="7"/>
  <c r="BG183" i="7"/>
  <c r="BH167" i="7"/>
  <c r="BG167" i="7"/>
  <c r="BH151" i="7"/>
  <c r="BG151" i="7"/>
  <c r="BH143" i="7"/>
  <c r="BG143" i="7"/>
  <c r="BH135" i="7"/>
  <c r="BG135" i="7"/>
  <c r="BH127" i="7"/>
  <c r="BG127" i="7"/>
  <c r="BH119" i="7"/>
  <c r="BG119" i="7"/>
  <c r="BH103" i="7"/>
  <c r="BG103" i="7"/>
  <c r="BH95" i="7"/>
  <c r="BG95" i="7"/>
  <c r="BH87" i="7"/>
  <c r="BG87" i="7"/>
  <c r="BH79" i="7"/>
  <c r="BG79" i="7"/>
  <c r="BH71" i="7"/>
  <c r="BG71" i="7"/>
  <c r="BH63" i="7"/>
  <c r="BG63" i="7"/>
  <c r="BH55" i="7"/>
  <c r="BG55" i="7"/>
  <c r="BH39" i="7"/>
  <c r="BG39" i="7"/>
  <c r="BH31" i="7"/>
  <c r="BG31" i="7"/>
  <c r="BH23" i="7"/>
  <c r="BG23" i="7"/>
  <c r="BH15" i="7"/>
  <c r="BG15" i="7"/>
  <c r="BH7" i="7"/>
  <c r="BG7" i="7"/>
  <c r="BG435" i="7"/>
  <c r="BG427" i="7"/>
  <c r="BG419" i="7"/>
  <c r="BG411" i="7"/>
  <c r="BG403" i="7"/>
  <c r="BG395" i="7"/>
  <c r="BG387" i="7"/>
  <c r="BG379" i="7"/>
  <c r="BG371" i="7"/>
  <c r="BG363" i="7"/>
  <c r="BG355" i="7"/>
  <c r="BG347" i="7"/>
  <c r="BG339" i="7"/>
  <c r="BG331" i="7"/>
  <c r="BG323" i="7"/>
  <c r="BG315" i="7"/>
  <c r="BG299" i="7"/>
  <c r="BG267" i="7"/>
  <c r="BG251" i="7"/>
  <c r="BG235" i="7"/>
  <c r="BG203" i="7"/>
  <c r="BG187" i="7"/>
  <c r="BG171" i="7"/>
  <c r="BG139" i="7"/>
  <c r="BG123" i="7"/>
  <c r="BG107" i="7"/>
  <c r="BG75" i="7"/>
  <c r="BG59" i="7"/>
  <c r="BG43" i="7"/>
  <c r="BG11" i="7"/>
  <c r="BH620" i="7"/>
  <c r="BH604" i="7"/>
  <c r="BH588" i="7"/>
  <c r="BH572" i="7"/>
  <c r="BH556" i="7"/>
  <c r="BH540" i="7"/>
  <c r="BH524" i="7"/>
  <c r="BH508" i="7"/>
  <c r="BH492" i="7"/>
  <c r="BH476" i="7"/>
  <c r="BH460" i="7"/>
  <c r="BH425" i="7"/>
  <c r="BH393" i="7"/>
  <c r="BH361" i="7"/>
  <c r="BH239" i="7"/>
  <c r="BH111" i="7"/>
  <c r="BH110" i="7"/>
  <c r="BG110" i="7"/>
  <c r="BH106" i="7"/>
  <c r="BG106" i="7"/>
  <c r="BH98" i="7"/>
  <c r="BG98" i="7"/>
  <c r="BH94" i="7"/>
  <c r="BG94" i="7"/>
  <c r="BH86" i="7"/>
  <c r="BG86" i="7"/>
  <c r="BH82" i="7"/>
  <c r="BG82" i="7"/>
  <c r="BH78" i="7"/>
  <c r="BG78" i="7"/>
  <c r="BH74" i="7"/>
  <c r="BG74" i="7"/>
  <c r="BH66" i="7"/>
  <c r="BG66" i="7"/>
  <c r="BH54" i="7"/>
  <c r="BG54" i="7"/>
  <c r="BH50" i="7"/>
  <c r="BG50" i="7"/>
  <c r="BH46" i="7"/>
  <c r="BG46" i="7"/>
  <c r="BH42" i="7"/>
  <c r="BG42" i="7"/>
  <c r="BH34" i="7"/>
  <c r="BG34" i="7"/>
  <c r="BH30" i="7"/>
  <c r="BG30" i="7"/>
  <c r="BH22" i="7"/>
  <c r="BG22" i="7"/>
  <c r="BH18" i="7"/>
  <c r="BG18" i="7"/>
  <c r="BH14" i="7"/>
  <c r="BG14" i="7"/>
  <c r="BH10" i="7"/>
  <c r="BG10" i="7"/>
  <c r="BH6" i="7"/>
  <c r="BG6" i="7"/>
  <c r="BH102" i="7"/>
  <c r="BH38" i="7"/>
  <c r="BH53" i="7"/>
  <c r="BG53" i="7"/>
  <c r="BH49" i="7"/>
  <c r="BG49" i="7"/>
  <c r="BH45" i="7"/>
  <c r="BG45" i="7"/>
  <c r="BH41" i="7"/>
  <c r="BG41" i="7"/>
  <c r="BH37" i="7"/>
  <c r="BG37" i="7"/>
  <c r="BH33" i="7"/>
  <c r="BG33" i="7"/>
  <c r="BH29" i="7"/>
  <c r="BG29" i="7"/>
  <c r="BH25" i="7"/>
  <c r="BG25" i="7"/>
  <c r="BH21" i="7"/>
  <c r="BG21" i="7"/>
  <c r="BH17" i="7"/>
  <c r="BG17" i="7"/>
  <c r="BH13" i="7"/>
  <c r="BG13" i="7"/>
  <c r="BH9" i="7"/>
  <c r="BG9" i="7"/>
  <c r="BH5" i="7"/>
  <c r="BG5" i="7"/>
  <c r="BH58" i="7"/>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2" i="13"/>
  <c r="N6" i="12"/>
  <c r="L6" i="12"/>
  <c r="I6" i="12"/>
  <c r="G2" i="13"/>
  <c r="H411" i="13"/>
  <c r="H416" i="13"/>
  <c r="H417" i="13"/>
  <c r="H424" i="13"/>
  <c r="H425" i="13"/>
  <c r="H432" i="13"/>
  <c r="H433" i="13"/>
  <c r="H442" i="13"/>
  <c r="H443" i="13"/>
  <c r="H448" i="13"/>
  <c r="H449" i="13"/>
  <c r="H451" i="13"/>
  <c r="H454" i="13"/>
  <c r="H467" i="13"/>
  <c r="H472" i="13"/>
  <c r="H473" i="13"/>
  <c r="H483" i="13"/>
  <c r="H488" i="13"/>
  <c r="H489" i="13"/>
  <c r="H491" i="13"/>
  <c r="H496" i="13"/>
  <c r="H497" i="13"/>
  <c r="H499" i="13"/>
  <c r="H507" i="13"/>
  <c r="H508" i="13"/>
  <c r="H510" i="13"/>
  <c r="H513" i="13"/>
  <c r="H517" i="13"/>
  <c r="H521" i="13"/>
  <c r="H525" i="13"/>
  <c r="H526" i="13"/>
  <c r="H529" i="13"/>
  <c r="H533" i="13"/>
  <c r="H537" i="13"/>
  <c r="H541" i="13"/>
  <c r="H545" i="13"/>
  <c r="H549" i="13"/>
  <c r="H553" i="13"/>
  <c r="H557" i="13"/>
  <c r="H558" i="13"/>
  <c r="H561" i="13"/>
  <c r="H565" i="13"/>
  <c r="H569" i="13"/>
  <c r="H570" i="13"/>
  <c r="H573" i="13"/>
  <c r="H577" i="13"/>
  <c r="H578" i="13"/>
  <c r="H581" i="13"/>
  <c r="H585" i="13"/>
  <c r="H586" i="13"/>
  <c r="H589" i="13"/>
  <c r="H593" i="13"/>
  <c r="H594" i="13"/>
  <c r="H597" i="13"/>
  <c r="H601" i="13"/>
  <c r="H605" i="13"/>
  <c r="H609" i="13"/>
  <c r="H613" i="13"/>
  <c r="H614" i="13"/>
  <c r="H617" i="13"/>
  <c r="H621" i="13"/>
  <c r="H622" i="13"/>
  <c r="H625" i="13"/>
  <c r="H410" i="13"/>
  <c r="H406" i="13"/>
  <c r="H403" i="13"/>
  <c r="H397" i="13"/>
  <c r="H396" i="13"/>
  <c r="H393" i="13"/>
  <c r="H392" i="13"/>
  <c r="H386" i="13"/>
  <c r="H381" i="13"/>
  <c r="H380" i="13"/>
  <c r="H375" i="13"/>
  <c r="H373" i="13"/>
  <c r="H370" i="13"/>
  <c r="H368" i="13"/>
  <c r="H361" i="13"/>
  <c r="H360" i="13"/>
  <c r="H355" i="13"/>
  <c r="H354" i="13"/>
  <c r="H349" i="13"/>
  <c r="H348" i="13"/>
  <c r="H345" i="13"/>
  <c r="H344" i="13"/>
  <c r="H337" i="13"/>
  <c r="H331" i="13"/>
  <c r="H321" i="13"/>
  <c r="H314" i="13"/>
  <c r="H304" i="13"/>
  <c r="H291" i="13"/>
  <c r="H280" i="13"/>
  <c r="H274" i="13"/>
  <c r="H259" i="13"/>
  <c r="H242" i="13"/>
  <c r="H241" i="13"/>
  <c r="H227" i="13"/>
  <c r="H219" i="13"/>
  <c r="H210" i="13"/>
  <c r="H200" i="13"/>
  <c r="H195" i="13"/>
  <c r="H179" i="13"/>
  <c r="H177" i="13"/>
  <c r="H171" i="13"/>
  <c r="H163" i="13"/>
  <c r="H160" i="13"/>
  <c r="H152" i="13"/>
  <c r="H146" i="13"/>
  <c r="H145" i="13"/>
  <c r="H139" i="13"/>
  <c r="H129" i="13"/>
  <c r="H115" i="13"/>
  <c r="H106" i="13"/>
  <c r="H96" i="13"/>
  <c r="H88" i="13"/>
  <c r="H83" i="13"/>
  <c r="H81" i="13"/>
  <c r="H73" i="13"/>
  <c r="H65" i="13"/>
  <c r="H57" i="13"/>
  <c r="H48" i="13"/>
  <c r="H43" i="13"/>
  <c r="H33" i="13"/>
  <c r="H18" i="13"/>
  <c r="H2" i="13"/>
  <c r="D7" i="12"/>
  <c r="D8" i="12"/>
  <c r="D9" i="12"/>
  <c r="D10" i="12"/>
  <c r="D11" i="12"/>
  <c r="D12" i="12"/>
  <c r="D13" i="12"/>
  <c r="D14" i="12"/>
  <c r="D15" i="12"/>
  <c r="D16" i="12"/>
  <c r="D17" i="12"/>
  <c r="B39" i="12" s="1"/>
  <c r="D18" i="12"/>
  <c r="D19" i="12"/>
  <c r="D20" i="12"/>
  <c r="D21" i="12"/>
  <c r="D22" i="12"/>
  <c r="B54" i="12" s="1"/>
  <c r="D23" i="12"/>
  <c r="D24" i="12"/>
  <c r="D25" i="12"/>
  <c r="D26" i="12"/>
  <c r="B70" i="12" s="1"/>
  <c r="D27" i="12"/>
  <c r="D28" i="12"/>
  <c r="D29" i="12"/>
  <c r="D30" i="12"/>
  <c r="D31" i="12"/>
  <c r="D32" i="12"/>
  <c r="D33" i="12"/>
  <c r="D34" i="12"/>
  <c r="D35" i="12"/>
  <c r="B101" i="12" s="1"/>
  <c r="D36" i="12"/>
  <c r="D37" i="12"/>
  <c r="B105" i="12" s="1"/>
  <c r="D38" i="12"/>
  <c r="B106" i="12" s="1"/>
  <c r="D39" i="12"/>
  <c r="D40" i="12"/>
  <c r="D41" i="12"/>
  <c r="D42" i="12"/>
  <c r="B117" i="12" s="1"/>
  <c r="D43" i="12"/>
  <c r="D44" i="12"/>
  <c r="D45" i="12"/>
  <c r="D46" i="12"/>
  <c r="D47" i="12"/>
  <c r="D48" i="12"/>
  <c r="D49" i="12"/>
  <c r="B134" i="12" s="1"/>
  <c r="D50" i="12"/>
  <c r="D51" i="12"/>
  <c r="D52" i="12"/>
  <c r="D53" i="12"/>
  <c r="D54" i="12"/>
  <c r="D55" i="12"/>
  <c r="D56" i="12"/>
  <c r="D57" i="12"/>
  <c r="D58" i="12"/>
  <c r="D59" i="12"/>
  <c r="D60" i="12"/>
  <c r="D61" i="12"/>
  <c r="D62" i="12"/>
  <c r="D63" i="12"/>
  <c r="B182" i="12" s="1"/>
  <c r="D64" i="12"/>
  <c r="D65" i="12"/>
  <c r="D66" i="12"/>
  <c r="D67" i="12"/>
  <c r="D68" i="12"/>
  <c r="B198" i="12" s="1"/>
  <c r="D69" i="12"/>
  <c r="D70" i="12"/>
  <c r="B203" i="12" s="1"/>
  <c r="D71" i="12"/>
  <c r="D72" i="12"/>
  <c r="D73" i="12"/>
  <c r="D74" i="12"/>
  <c r="D75" i="12"/>
  <c r="D76" i="12"/>
  <c r="D77" i="12"/>
  <c r="D78" i="12"/>
  <c r="D79" i="12"/>
  <c r="D80" i="12"/>
  <c r="D81" i="12"/>
  <c r="D82" i="12"/>
  <c r="D83" i="12"/>
  <c r="D84" i="12"/>
  <c r="D85" i="12"/>
  <c r="D86" i="12"/>
  <c r="D87" i="12"/>
  <c r="D88" i="12"/>
  <c r="D89" i="12"/>
  <c r="B262" i="12" s="1"/>
  <c r="D90" i="12"/>
  <c r="D91" i="12"/>
  <c r="D92" i="12"/>
  <c r="D93" i="12"/>
  <c r="D94" i="12"/>
  <c r="D95" i="12"/>
  <c r="D96" i="12"/>
  <c r="D97" i="12"/>
  <c r="D98" i="12"/>
  <c r="D99" i="12"/>
  <c r="D100" i="12"/>
  <c r="D101" i="12"/>
  <c r="D102" i="12"/>
  <c r="D103" i="12"/>
  <c r="D104" i="12"/>
  <c r="D105" i="12"/>
  <c r="D106" i="12"/>
  <c r="B316" i="12" s="1"/>
  <c r="D107" i="12"/>
  <c r="D108" i="12"/>
  <c r="D109" i="12"/>
  <c r="D110" i="12"/>
  <c r="D111" i="12"/>
  <c r="D112" i="12"/>
  <c r="D113" i="12"/>
  <c r="D114" i="12"/>
  <c r="B340" i="12" s="1"/>
  <c r="D115" i="12"/>
  <c r="B345" i="12" s="1"/>
  <c r="D116" i="12"/>
  <c r="D117" i="12"/>
  <c r="B353" i="12" s="1"/>
  <c r="D118" i="12"/>
  <c r="D119" i="12"/>
  <c r="B357" i="12" s="1"/>
  <c r="D120" i="12"/>
  <c r="D121" i="12"/>
  <c r="B366" i="12" s="1"/>
  <c r="D122" i="12"/>
  <c r="B369" i="12" s="1"/>
  <c r="D123" i="12"/>
  <c r="D124" i="12"/>
  <c r="D125" i="12"/>
  <c r="D126" i="12"/>
  <c r="D127" i="12"/>
  <c r="D128" i="12"/>
  <c r="D129" i="12"/>
  <c r="B390" i="12" s="1"/>
  <c r="D130" i="12"/>
  <c r="D131" i="12"/>
  <c r="B393" i="12" s="1"/>
  <c r="D132" i="12"/>
  <c r="D133" i="12"/>
  <c r="D134" i="12"/>
  <c r="D135" i="12"/>
  <c r="B405" i="12" s="1"/>
  <c r="D136" i="12"/>
  <c r="B409" i="12" s="1"/>
  <c r="D137" i="12"/>
  <c r="D6" i="12"/>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G255" i="13"/>
  <c r="G256" i="13"/>
  <c r="G257" i="13"/>
  <c r="G258" i="13"/>
  <c r="G259" i="13"/>
  <c r="G260" i="13"/>
  <c r="G261" i="13"/>
  <c r="G262" i="13"/>
  <c r="G263" i="13"/>
  <c r="G264" i="13"/>
  <c r="G265" i="13"/>
  <c r="G266" i="13"/>
  <c r="G267" i="13"/>
  <c r="G268" i="13"/>
  <c r="G269" i="13"/>
  <c r="G270" i="13"/>
  <c r="G271" i="13"/>
  <c r="G272" i="13"/>
  <c r="G273" i="13"/>
  <c r="G274" i="13"/>
  <c r="G275" i="13"/>
  <c r="G276" i="13"/>
  <c r="G277" i="13"/>
  <c r="G278" i="13"/>
  <c r="G279" i="13"/>
  <c r="G280" i="13"/>
  <c r="G281" i="13"/>
  <c r="G282" i="13"/>
  <c r="G283" i="13"/>
  <c r="G284" i="13"/>
  <c r="G285" i="13"/>
  <c r="G286" i="13"/>
  <c r="G287" i="13"/>
  <c r="G288" i="13"/>
  <c r="G289" i="13"/>
  <c r="G290" i="13"/>
  <c r="G291" i="13"/>
  <c r="G292" i="13"/>
  <c r="G293" i="13"/>
  <c r="G294" i="13"/>
  <c r="G295" i="13"/>
  <c r="G296" i="13"/>
  <c r="G297" i="13"/>
  <c r="G298" i="13"/>
  <c r="G299" i="13"/>
  <c r="G300" i="13"/>
  <c r="G301" i="13"/>
  <c r="G302" i="13"/>
  <c r="G303" i="13"/>
  <c r="G304" i="13"/>
  <c r="G305" i="13"/>
  <c r="G306" i="13"/>
  <c r="G307" i="13"/>
  <c r="G308" i="13"/>
  <c r="G309" i="13"/>
  <c r="G310" i="13"/>
  <c r="G311" i="13"/>
  <c r="G312" i="13"/>
  <c r="G313" i="13"/>
  <c r="G314" i="13"/>
  <c r="G315" i="13"/>
  <c r="G316" i="13"/>
  <c r="G317" i="13"/>
  <c r="G318" i="13"/>
  <c r="G319" i="13"/>
  <c r="G320" i="13"/>
  <c r="G321" i="13"/>
  <c r="G322" i="13"/>
  <c r="G323" i="13"/>
  <c r="G324" i="13"/>
  <c r="G325" i="13"/>
  <c r="G326" i="13"/>
  <c r="G327" i="13"/>
  <c r="G328" i="13"/>
  <c r="G329" i="13"/>
  <c r="G330" i="13"/>
  <c r="G331" i="13"/>
  <c r="G332" i="13"/>
  <c r="G333" i="13"/>
  <c r="G334" i="13"/>
  <c r="G335" i="13"/>
  <c r="G336" i="13"/>
  <c r="G337" i="13"/>
  <c r="G338" i="13"/>
  <c r="G339" i="13"/>
  <c r="G340" i="13"/>
  <c r="G341" i="13"/>
  <c r="G342" i="13"/>
  <c r="G343" i="13"/>
  <c r="G344" i="13"/>
  <c r="G345" i="13"/>
  <c r="G346" i="13"/>
  <c r="G347" i="13"/>
  <c r="G348" i="13"/>
  <c r="G349" i="13"/>
  <c r="G350" i="13"/>
  <c r="G351" i="13"/>
  <c r="G352" i="13"/>
  <c r="G353" i="13"/>
  <c r="G354" i="13"/>
  <c r="G355" i="13"/>
  <c r="G356" i="13"/>
  <c r="G357" i="13"/>
  <c r="G358" i="13"/>
  <c r="G359" i="13"/>
  <c r="G360" i="13"/>
  <c r="G361" i="13"/>
  <c r="G362" i="13"/>
  <c r="G363" i="13"/>
  <c r="G364" i="13"/>
  <c r="G365" i="13"/>
  <c r="G366" i="13"/>
  <c r="G367" i="13"/>
  <c r="G368" i="13"/>
  <c r="G369" i="13"/>
  <c r="G370" i="13"/>
  <c r="G371" i="13"/>
  <c r="G372" i="13"/>
  <c r="G373" i="13"/>
  <c r="G374" i="13"/>
  <c r="G375" i="13"/>
  <c r="G376" i="13"/>
  <c r="G377" i="13"/>
  <c r="G378" i="13"/>
  <c r="G379" i="13"/>
  <c r="G380" i="13"/>
  <c r="G381" i="13"/>
  <c r="G382" i="13"/>
  <c r="G383" i="13"/>
  <c r="G384" i="13"/>
  <c r="G385" i="13"/>
  <c r="G386" i="13"/>
  <c r="G387" i="13"/>
  <c r="G388" i="13"/>
  <c r="G389" i="13"/>
  <c r="G390" i="13"/>
  <c r="G391" i="13"/>
  <c r="G392" i="13"/>
  <c r="G393" i="13"/>
  <c r="G394" i="13"/>
  <c r="G395" i="13"/>
  <c r="G396" i="13"/>
  <c r="G397" i="13"/>
  <c r="G398" i="13"/>
  <c r="G399" i="13"/>
  <c r="G400" i="13"/>
  <c r="G401" i="13"/>
  <c r="G402" i="13"/>
  <c r="G403" i="13"/>
  <c r="G404" i="13"/>
  <c r="G405" i="13"/>
  <c r="G406" i="13"/>
  <c r="G407" i="13"/>
  <c r="G408" i="13"/>
  <c r="G409" i="13"/>
  <c r="G410" i="13"/>
  <c r="G411" i="13"/>
  <c r="G412" i="13"/>
  <c r="G413" i="13"/>
  <c r="G414" i="13"/>
  <c r="G415" i="13"/>
  <c r="G416" i="13"/>
  <c r="G417" i="13"/>
  <c r="G418" i="13"/>
  <c r="G419" i="13"/>
  <c r="G420" i="13"/>
  <c r="G421" i="13"/>
  <c r="G422" i="13"/>
  <c r="G423" i="13"/>
  <c r="G424" i="13"/>
  <c r="G425" i="13"/>
  <c r="G426" i="13"/>
  <c r="G427" i="13"/>
  <c r="G428" i="13"/>
  <c r="G429" i="13"/>
  <c r="G430" i="13"/>
  <c r="G431" i="13"/>
  <c r="G432" i="13"/>
  <c r="G433" i="13"/>
  <c r="G434" i="13"/>
  <c r="G435" i="13"/>
  <c r="G436" i="13"/>
  <c r="G437" i="13"/>
  <c r="G438" i="13"/>
  <c r="G439" i="13"/>
  <c r="G440" i="13"/>
  <c r="G441" i="13"/>
  <c r="G442" i="13"/>
  <c r="G443" i="13"/>
  <c r="G444" i="13"/>
  <c r="G445" i="13"/>
  <c r="G446" i="13"/>
  <c r="G447" i="13"/>
  <c r="G448" i="13"/>
  <c r="G449" i="13"/>
  <c r="G450" i="13"/>
  <c r="G451" i="13"/>
  <c r="G452" i="13"/>
  <c r="G453" i="13"/>
  <c r="G454" i="13"/>
  <c r="G455" i="13"/>
  <c r="G456" i="13"/>
  <c r="G457" i="13"/>
  <c r="G458" i="13"/>
  <c r="G459" i="13"/>
  <c r="G460" i="13"/>
  <c r="G461" i="13"/>
  <c r="G462" i="13"/>
  <c r="G463" i="13"/>
  <c r="G464" i="13"/>
  <c r="G465" i="13"/>
  <c r="G466" i="13"/>
  <c r="G467" i="13"/>
  <c r="G468" i="13"/>
  <c r="G469" i="13"/>
  <c r="G470" i="13"/>
  <c r="G471" i="13"/>
  <c r="G472" i="13"/>
  <c r="G473" i="13"/>
  <c r="G474" i="13"/>
  <c r="G475" i="13"/>
  <c r="G476" i="13"/>
  <c r="G477" i="13"/>
  <c r="G478" i="13"/>
  <c r="G479" i="13"/>
  <c r="G480" i="13"/>
  <c r="G481" i="13"/>
  <c r="G482" i="13"/>
  <c r="G483" i="13"/>
  <c r="G484" i="13"/>
  <c r="G485" i="13"/>
  <c r="G486" i="13"/>
  <c r="G487" i="13"/>
  <c r="G488" i="13"/>
  <c r="G489" i="13"/>
  <c r="G490" i="13"/>
  <c r="G491" i="13"/>
  <c r="G492" i="13"/>
  <c r="G493" i="13"/>
  <c r="G494" i="13"/>
  <c r="G495" i="13"/>
  <c r="G496" i="13"/>
  <c r="G497" i="13"/>
  <c r="G498" i="13"/>
  <c r="G499" i="13"/>
  <c r="G500" i="13"/>
  <c r="G501" i="13"/>
  <c r="G502" i="13"/>
  <c r="G503" i="13"/>
  <c r="G504" i="13"/>
  <c r="G505" i="13"/>
  <c r="G506" i="13"/>
  <c r="G507" i="13"/>
  <c r="G508" i="13"/>
  <c r="G509" i="13"/>
  <c r="G510" i="13"/>
  <c r="G511" i="13"/>
  <c r="G512" i="13"/>
  <c r="G513" i="13"/>
  <c r="G514" i="13"/>
  <c r="G515" i="13"/>
  <c r="G516" i="13"/>
  <c r="G517" i="13"/>
  <c r="G518" i="13"/>
  <c r="G519" i="13"/>
  <c r="G520" i="13"/>
  <c r="G521" i="13"/>
  <c r="G522" i="13"/>
  <c r="G523" i="13"/>
  <c r="G524" i="13"/>
  <c r="G525" i="13"/>
  <c r="G526" i="13"/>
  <c r="G527" i="13"/>
  <c r="G528" i="13"/>
  <c r="G529" i="13"/>
  <c r="G530" i="13"/>
  <c r="G531" i="13"/>
  <c r="G532" i="13"/>
  <c r="G533" i="13"/>
  <c r="G534" i="13"/>
  <c r="G535" i="13"/>
  <c r="G536" i="13"/>
  <c r="G537" i="13"/>
  <c r="G538" i="13"/>
  <c r="G539" i="13"/>
  <c r="G540" i="13"/>
  <c r="G541" i="13"/>
  <c r="G542" i="13"/>
  <c r="G543" i="13"/>
  <c r="G544" i="13"/>
  <c r="G545" i="13"/>
  <c r="G546" i="13"/>
  <c r="G547" i="13"/>
  <c r="G548" i="13"/>
  <c r="G549" i="13"/>
  <c r="G550" i="13"/>
  <c r="G551" i="13"/>
  <c r="G552" i="13"/>
  <c r="G553" i="13"/>
  <c r="G554" i="13"/>
  <c r="G555" i="13"/>
  <c r="G556" i="13"/>
  <c r="G557" i="13"/>
  <c r="G558" i="13"/>
  <c r="G559" i="13"/>
  <c r="G560" i="13"/>
  <c r="G561" i="13"/>
  <c r="G562" i="13"/>
  <c r="G563" i="13"/>
  <c r="G564" i="13"/>
  <c r="G565" i="13"/>
  <c r="G566" i="13"/>
  <c r="G567" i="13"/>
  <c r="G568" i="13"/>
  <c r="G569" i="13"/>
  <c r="G570" i="13"/>
  <c r="G571" i="13"/>
  <c r="G572" i="13"/>
  <c r="G573" i="13"/>
  <c r="G574" i="13"/>
  <c r="G575" i="13"/>
  <c r="G576" i="13"/>
  <c r="G577" i="13"/>
  <c r="G578" i="13"/>
  <c r="G579" i="13"/>
  <c r="G580" i="13"/>
  <c r="G581" i="13"/>
  <c r="G582" i="13"/>
  <c r="G583" i="13"/>
  <c r="G584" i="13"/>
  <c r="G585" i="13"/>
  <c r="G586" i="13"/>
  <c r="G587" i="13"/>
  <c r="G588" i="13"/>
  <c r="G589" i="13"/>
  <c r="G590" i="13"/>
  <c r="G591" i="13"/>
  <c r="G592" i="13"/>
  <c r="G593" i="13"/>
  <c r="G594" i="13"/>
  <c r="G595" i="13"/>
  <c r="G596" i="13"/>
  <c r="G597" i="13"/>
  <c r="G598" i="13"/>
  <c r="G599" i="13"/>
  <c r="G600" i="13"/>
  <c r="G601" i="13"/>
  <c r="G602" i="13"/>
  <c r="G603" i="13"/>
  <c r="G604" i="13"/>
  <c r="G605" i="13"/>
  <c r="G606" i="13"/>
  <c r="G607" i="13"/>
  <c r="G608" i="13"/>
  <c r="G609" i="13"/>
  <c r="G610" i="13"/>
  <c r="G611" i="13"/>
  <c r="G612" i="13"/>
  <c r="G613" i="13"/>
  <c r="G614" i="13"/>
  <c r="G615" i="13"/>
  <c r="G616" i="13"/>
  <c r="G617" i="13"/>
  <c r="G618" i="13"/>
  <c r="G619" i="13"/>
  <c r="G620" i="13"/>
  <c r="G621" i="13"/>
  <c r="G622" i="13"/>
  <c r="G623" i="13"/>
  <c r="G624" i="13"/>
  <c r="G625" i="13"/>
  <c r="G626" i="13"/>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C2"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502" i="13"/>
  <c r="C503" i="13"/>
  <c r="C504" i="13"/>
  <c r="C505" i="13"/>
  <c r="C506" i="13"/>
  <c r="C507" i="13"/>
  <c r="C508" i="13"/>
  <c r="C509" i="13"/>
  <c r="C510" i="13"/>
  <c r="C511" i="13"/>
  <c r="C512" i="13"/>
  <c r="C513" i="13"/>
  <c r="C514" i="13"/>
  <c r="C515" i="13"/>
  <c r="C516" i="13"/>
  <c r="C517" i="13"/>
  <c r="C518" i="13"/>
  <c r="C519" i="13"/>
  <c r="C520" i="13"/>
  <c r="C521" i="13"/>
  <c r="C522" i="13"/>
  <c r="C523" i="13"/>
  <c r="C524" i="13"/>
  <c r="C525" i="13"/>
  <c r="C526" i="13"/>
  <c r="C527" i="13"/>
  <c r="C528" i="13"/>
  <c r="C529" i="13"/>
  <c r="C530" i="13"/>
  <c r="C531" i="13"/>
  <c r="C532" i="13"/>
  <c r="C533" i="13"/>
  <c r="C534" i="13"/>
  <c r="C535" i="13"/>
  <c r="C536" i="13"/>
  <c r="C537" i="13"/>
  <c r="C538" i="13"/>
  <c r="C539" i="13"/>
  <c r="C540" i="13"/>
  <c r="C541" i="13"/>
  <c r="C542" i="13"/>
  <c r="C543" i="13"/>
  <c r="C544" i="13"/>
  <c r="C545" i="13"/>
  <c r="C546" i="13"/>
  <c r="C547" i="13"/>
  <c r="C548" i="13"/>
  <c r="C549" i="13"/>
  <c r="C550" i="13"/>
  <c r="C551" i="13"/>
  <c r="C552" i="13"/>
  <c r="C553" i="13"/>
  <c r="C554" i="13"/>
  <c r="C555" i="13"/>
  <c r="C556" i="13"/>
  <c r="C557" i="13"/>
  <c r="C558" i="13"/>
  <c r="C559" i="13"/>
  <c r="C560" i="13"/>
  <c r="C561" i="13"/>
  <c r="C562" i="13"/>
  <c r="C563" i="13"/>
  <c r="C564" i="13"/>
  <c r="C565" i="13"/>
  <c r="C566" i="13"/>
  <c r="C567" i="13"/>
  <c r="C568" i="13"/>
  <c r="C569" i="13"/>
  <c r="C570" i="13"/>
  <c r="C571" i="13"/>
  <c r="C572" i="13"/>
  <c r="C573" i="13"/>
  <c r="C574" i="13"/>
  <c r="C575" i="13"/>
  <c r="C576" i="13"/>
  <c r="C577" i="13"/>
  <c r="C578" i="13"/>
  <c r="C579" i="13"/>
  <c r="C580" i="13"/>
  <c r="C581" i="13"/>
  <c r="C582" i="13"/>
  <c r="C583" i="13"/>
  <c r="C584" i="13"/>
  <c r="C585" i="13"/>
  <c r="C586" i="13"/>
  <c r="C587" i="13"/>
  <c r="C588" i="13"/>
  <c r="C589" i="13"/>
  <c r="C590" i="13"/>
  <c r="C591" i="13"/>
  <c r="C592" i="13"/>
  <c r="C593" i="13"/>
  <c r="C594" i="13"/>
  <c r="C595" i="13"/>
  <c r="C596" i="13"/>
  <c r="C597" i="13"/>
  <c r="C598" i="13"/>
  <c r="C599" i="13"/>
  <c r="C600" i="13"/>
  <c r="C601" i="13"/>
  <c r="C602" i="13"/>
  <c r="C603" i="13"/>
  <c r="C604" i="13"/>
  <c r="C605" i="13"/>
  <c r="C606" i="13"/>
  <c r="C607" i="13"/>
  <c r="C608" i="13"/>
  <c r="C609" i="13"/>
  <c r="C610" i="13"/>
  <c r="C611" i="13"/>
  <c r="C612" i="13"/>
  <c r="C613" i="13"/>
  <c r="C614" i="13"/>
  <c r="C615" i="13"/>
  <c r="C616" i="13"/>
  <c r="C617" i="13"/>
  <c r="C618" i="13"/>
  <c r="C619" i="13"/>
  <c r="C620" i="13"/>
  <c r="C621" i="13"/>
  <c r="C622" i="13"/>
  <c r="C623" i="13"/>
  <c r="C624" i="13"/>
  <c r="C625" i="13"/>
  <c r="C626"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604" i="13"/>
  <c r="B605" i="13"/>
  <c r="B606" i="13"/>
  <c r="B607" i="13"/>
  <c r="B608" i="13"/>
  <c r="B609" i="13"/>
  <c r="B610" i="13"/>
  <c r="B611" i="13"/>
  <c r="B612" i="13"/>
  <c r="B613" i="13"/>
  <c r="B614" i="13"/>
  <c r="B615" i="13"/>
  <c r="B616" i="13"/>
  <c r="B617" i="13"/>
  <c r="B618" i="13"/>
  <c r="B619" i="13"/>
  <c r="B620" i="13"/>
  <c r="B621" i="13"/>
  <c r="B622" i="13"/>
  <c r="B623" i="13"/>
  <c r="B624" i="13"/>
  <c r="B625" i="13"/>
  <c r="B626" i="13"/>
  <c r="B2" i="13"/>
  <c r="D138" i="12"/>
  <c r="D139" i="12"/>
  <c r="B418" i="12" s="1"/>
  <c r="D140" i="12"/>
  <c r="D141" i="12"/>
  <c r="D142" i="12"/>
  <c r="B425" i="12" s="1"/>
  <c r="D143" i="12"/>
  <c r="D144" i="12"/>
  <c r="D145" i="12"/>
  <c r="D146" i="12"/>
  <c r="B438" i="12" s="1"/>
  <c r="D147" i="12"/>
  <c r="D148" i="12"/>
  <c r="B441" i="12" s="1"/>
  <c r="D149" i="12"/>
  <c r="D150" i="12"/>
  <c r="B449" i="12" s="1"/>
  <c r="D151" i="12"/>
  <c r="D152" i="12"/>
  <c r="D153" i="12"/>
  <c r="D154" i="12"/>
  <c r="D155" i="12"/>
  <c r="D156" i="12"/>
  <c r="B464" i="12" s="1"/>
  <c r="D157" i="12"/>
  <c r="D158" i="12"/>
  <c r="B469" i="12" s="1"/>
  <c r="D159" i="12"/>
  <c r="B472" i="12" s="1"/>
  <c r="D160" i="12"/>
  <c r="D161" i="12"/>
  <c r="D162" i="12"/>
  <c r="B481" i="12" s="1"/>
  <c r="D163" i="12"/>
  <c r="B485" i="12" s="1"/>
  <c r="D164" i="12"/>
  <c r="B489" i="12" s="1"/>
  <c r="D165" i="12"/>
  <c r="D166" i="12"/>
  <c r="B494" i="12" s="1"/>
  <c r="D167" i="12"/>
  <c r="D168" i="12"/>
  <c r="D169" i="12"/>
  <c r="D170" i="12"/>
  <c r="B505" i="12" s="1"/>
  <c r="D171" i="12"/>
  <c r="D172" i="12"/>
  <c r="D173" i="12"/>
  <c r="D174" i="12"/>
  <c r="B521" i="12" s="1"/>
  <c r="D175" i="12"/>
  <c r="D176" i="12"/>
  <c r="D177" i="12"/>
  <c r="B534" i="12" s="1"/>
  <c r="D178" i="12"/>
  <c r="B537" i="12" s="1"/>
  <c r="D179" i="12"/>
  <c r="D180" i="12"/>
  <c r="B542" i="12" s="1"/>
  <c r="D181" i="12"/>
  <c r="D182" i="12"/>
  <c r="B549" i="12" s="1"/>
  <c r="D183" i="12"/>
  <c r="D184" i="12"/>
  <c r="B552" i="12" s="1"/>
  <c r="D185" i="12"/>
  <c r="D186" i="12"/>
  <c r="D187" i="12"/>
  <c r="D188" i="12"/>
  <c r="B566" i="12" s="1"/>
  <c r="D189" i="12"/>
  <c r="B569" i="12" s="1"/>
  <c r="D190" i="12"/>
  <c r="D191" i="12"/>
  <c r="B574" i="12" s="1"/>
  <c r="D192" i="12"/>
  <c r="D193" i="12"/>
  <c r="D194" i="12"/>
  <c r="B585" i="12" s="1"/>
  <c r="D195" i="12"/>
  <c r="B590" i="12" s="1"/>
  <c r="D196" i="12"/>
  <c r="B594" i="12" s="1"/>
  <c r="D197" i="12"/>
  <c r="B598" i="12" s="1"/>
  <c r="D198" i="12"/>
  <c r="B602" i="12" s="1"/>
  <c r="D199" i="12"/>
  <c r="B606" i="12" s="1"/>
  <c r="D200" i="12"/>
  <c r="B610" i="12" s="1"/>
  <c r="D201" i="12"/>
  <c r="B611" i="12" s="1"/>
  <c r="D202" i="12"/>
  <c r="B614" i="12" s="1"/>
  <c r="D203" i="12"/>
  <c r="B618" i="12" s="1"/>
  <c r="D204" i="12"/>
  <c r="B620" i="12" s="1"/>
  <c r="D205" i="12"/>
  <c r="B622" i="12" s="1"/>
  <c r="D206" i="12"/>
  <c r="B626" i="12" s="1"/>
  <c r="D207" i="12"/>
  <c r="B627" i="12" s="1"/>
  <c r="D208" i="12"/>
  <c r="B630" i="12" s="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372" i="11"/>
  <c r="I373" i="11"/>
  <c r="I374" i="11"/>
  <c r="I375" i="11"/>
  <c r="I376" i="11"/>
  <c r="I377" i="11"/>
  <c r="I378" i="11"/>
  <c r="I379" i="11"/>
  <c r="I380" i="11"/>
  <c r="I381" i="11"/>
  <c r="I382" i="11"/>
  <c r="I383" i="11"/>
  <c r="I384" i="11"/>
  <c r="I385" i="11"/>
  <c r="I386" i="11"/>
  <c r="I387" i="11"/>
  <c r="I388" i="11"/>
  <c r="I389" i="11"/>
  <c r="I390" i="11"/>
  <c r="I391" i="11"/>
  <c r="I392" i="11"/>
  <c r="I393" i="11"/>
  <c r="I394" i="11"/>
  <c r="I395" i="11"/>
  <c r="I396" i="11"/>
  <c r="I397" i="11"/>
  <c r="I398" i="11"/>
  <c r="I399" i="11"/>
  <c r="I400" i="11"/>
  <c r="I401" i="11"/>
  <c r="I402" i="11"/>
  <c r="I403" i="11"/>
  <c r="I404" i="11"/>
  <c r="I405" i="11"/>
  <c r="I406" i="11"/>
  <c r="I407" i="11"/>
  <c r="I408" i="11"/>
  <c r="I409" i="11"/>
  <c r="I410" i="11"/>
  <c r="I411" i="11"/>
  <c r="I412" i="11"/>
  <c r="I413" i="11"/>
  <c r="I414" i="11"/>
  <c r="I415" i="11"/>
  <c r="I416" i="11"/>
  <c r="I417" i="11"/>
  <c r="I418" i="11"/>
  <c r="I419" i="11"/>
  <c r="I420" i="11"/>
  <c r="I421" i="11"/>
  <c r="I422" i="11"/>
  <c r="I423" i="11"/>
  <c r="I424" i="11"/>
  <c r="I425" i="11"/>
  <c r="I426" i="11"/>
  <c r="I427" i="11"/>
  <c r="I428" i="11"/>
  <c r="I429" i="11"/>
  <c r="I430" i="11"/>
  <c r="I431" i="11"/>
  <c r="I432" i="11"/>
  <c r="I433" i="11"/>
  <c r="I434" i="11"/>
  <c r="I435" i="11"/>
  <c r="I436" i="11"/>
  <c r="I437" i="11"/>
  <c r="I438" i="11"/>
  <c r="I439" i="11"/>
  <c r="I440" i="11"/>
  <c r="I441" i="11"/>
  <c r="I442" i="11"/>
  <c r="I443" i="11"/>
  <c r="I444" i="11"/>
  <c r="I445" i="11"/>
  <c r="I446" i="11"/>
  <c r="I447" i="11"/>
  <c r="I448" i="11"/>
  <c r="I449" i="11"/>
  <c r="I450" i="11"/>
  <c r="I451" i="11"/>
  <c r="I452" i="11"/>
  <c r="I453" i="11"/>
  <c r="I454" i="11"/>
  <c r="I455" i="11"/>
  <c r="I456" i="11"/>
  <c r="I457" i="11"/>
  <c r="I458" i="11"/>
  <c r="I459" i="11"/>
  <c r="I460" i="11"/>
  <c r="I461" i="11"/>
  <c r="I462" i="11"/>
  <c r="I463" i="11"/>
  <c r="I464" i="11"/>
  <c r="I465" i="11"/>
  <c r="I466" i="11"/>
  <c r="I467" i="11"/>
  <c r="I468" i="11"/>
  <c r="I469" i="11"/>
  <c r="I470" i="11"/>
  <c r="I471" i="11"/>
  <c r="I472" i="11"/>
  <c r="I473" i="11"/>
  <c r="I474" i="11"/>
  <c r="I475" i="11"/>
  <c r="I476" i="11"/>
  <c r="I477" i="11"/>
  <c r="I478" i="11"/>
  <c r="I479" i="11"/>
  <c r="I480" i="11"/>
  <c r="I481" i="11"/>
  <c r="I482" i="11"/>
  <c r="I483" i="11"/>
  <c r="I484" i="11"/>
  <c r="I485" i="11"/>
  <c r="I486" i="11"/>
  <c r="I487" i="11"/>
  <c r="I488" i="11"/>
  <c r="I489" i="11"/>
  <c r="I490" i="11"/>
  <c r="I491" i="11"/>
  <c r="I492" i="11"/>
  <c r="I493" i="11"/>
  <c r="I494" i="11"/>
  <c r="I495" i="11"/>
  <c r="I496" i="11"/>
  <c r="I497" i="11"/>
  <c r="I498" i="11"/>
  <c r="I499" i="11"/>
  <c r="I500" i="11"/>
  <c r="I501" i="11"/>
  <c r="I502" i="11"/>
  <c r="I503" i="11"/>
  <c r="I504" i="11"/>
  <c r="I505" i="11"/>
  <c r="I506" i="11"/>
  <c r="I507" i="11"/>
  <c r="I508" i="11"/>
  <c r="I509" i="11"/>
  <c r="I510" i="11"/>
  <c r="I511" i="11"/>
  <c r="I512" i="11"/>
  <c r="I513" i="11"/>
  <c r="I514" i="11"/>
  <c r="I515" i="11"/>
  <c r="I516" i="11"/>
  <c r="I517" i="11"/>
  <c r="I518" i="11"/>
  <c r="I519" i="11"/>
  <c r="I520" i="11"/>
  <c r="I521" i="11"/>
  <c r="I522" i="11"/>
  <c r="I523" i="11"/>
  <c r="I524" i="11"/>
  <c r="I525" i="11"/>
  <c r="I526" i="11"/>
  <c r="I527" i="11"/>
  <c r="I528" i="11"/>
  <c r="I529" i="11"/>
  <c r="I530" i="11"/>
  <c r="I531" i="11"/>
  <c r="I532" i="11"/>
  <c r="I533" i="11"/>
  <c r="I534" i="11"/>
  <c r="I535" i="11"/>
  <c r="I536" i="11"/>
  <c r="I537" i="11"/>
  <c r="I538" i="11"/>
  <c r="I539" i="11"/>
  <c r="I540" i="11"/>
  <c r="I541" i="11"/>
  <c r="I542" i="11"/>
  <c r="I543" i="11"/>
  <c r="I544" i="11"/>
  <c r="I545" i="11"/>
  <c r="I546" i="11"/>
  <c r="I547" i="11"/>
  <c r="I548" i="11"/>
  <c r="I549" i="11"/>
  <c r="I550" i="11"/>
  <c r="I551" i="11"/>
  <c r="I552" i="11"/>
  <c r="I553" i="11"/>
  <c r="I554" i="11"/>
  <c r="I555" i="11"/>
  <c r="I556" i="11"/>
  <c r="I557" i="11"/>
  <c r="I558" i="11"/>
  <c r="I559" i="11"/>
  <c r="I560" i="11"/>
  <c r="I561" i="11"/>
  <c r="I562" i="11"/>
  <c r="I563" i="11"/>
  <c r="I564" i="11"/>
  <c r="I565" i="11"/>
  <c r="I566" i="11"/>
  <c r="I567" i="11"/>
  <c r="I568" i="11"/>
  <c r="I569" i="11"/>
  <c r="I570" i="11"/>
  <c r="I571" i="11"/>
  <c r="I572" i="11"/>
  <c r="I573" i="11"/>
  <c r="I574" i="11"/>
  <c r="I575" i="11"/>
  <c r="I576" i="11"/>
  <c r="I577" i="11"/>
  <c r="I578" i="11"/>
  <c r="I579" i="11"/>
  <c r="I580" i="11"/>
  <c r="I581" i="11"/>
  <c r="I582" i="11"/>
  <c r="I583" i="11"/>
  <c r="I584" i="11"/>
  <c r="I585" i="11"/>
  <c r="I586" i="11"/>
  <c r="I587" i="11"/>
  <c r="I588" i="11"/>
  <c r="I589" i="11"/>
  <c r="I590" i="11"/>
  <c r="I591" i="11"/>
  <c r="I592" i="11"/>
  <c r="I593" i="11"/>
  <c r="I594" i="11"/>
  <c r="I595" i="11"/>
  <c r="I596" i="11"/>
  <c r="I597" i="11"/>
  <c r="I598" i="11"/>
  <c r="I599" i="11"/>
  <c r="I600" i="11"/>
  <c r="I601" i="11"/>
  <c r="I602" i="11"/>
  <c r="I603" i="11"/>
  <c r="I604" i="11"/>
  <c r="I605" i="11"/>
  <c r="I606" i="11"/>
  <c r="I607" i="11"/>
  <c r="I608" i="11"/>
  <c r="I609" i="11"/>
  <c r="I610" i="11"/>
  <c r="I611" i="11"/>
  <c r="I612" i="11"/>
  <c r="I613" i="11"/>
  <c r="I614" i="11"/>
  <c r="I615" i="11"/>
  <c r="I616" i="11"/>
  <c r="I617" i="11"/>
  <c r="I618" i="11"/>
  <c r="I619" i="11"/>
  <c r="I620" i="11"/>
  <c r="I621" i="11"/>
  <c r="I622" i="11"/>
  <c r="I623" i="11"/>
  <c r="I624" i="11"/>
  <c r="I625" i="11"/>
  <c r="I626" i="11"/>
  <c r="I627" i="11"/>
  <c r="I628" i="11"/>
  <c r="I629" i="11"/>
  <c r="I630" i="11"/>
  <c r="I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07" i="11"/>
  <c r="K208" i="11"/>
  <c r="K209" i="11"/>
  <c r="K210" i="11"/>
  <c r="K211" i="11"/>
  <c r="K212" i="11"/>
  <c r="K213" i="11"/>
  <c r="K214" i="11"/>
  <c r="K215" i="11"/>
  <c r="K216" i="11"/>
  <c r="K217" i="11"/>
  <c r="K218" i="11"/>
  <c r="K219" i="11"/>
  <c r="K220" i="11"/>
  <c r="K221" i="11"/>
  <c r="K222" i="11"/>
  <c r="K223" i="11"/>
  <c r="K224" i="11"/>
  <c r="K225" i="11"/>
  <c r="K226" i="11"/>
  <c r="K227" i="11"/>
  <c r="K228" i="11"/>
  <c r="K229" i="11"/>
  <c r="K230" i="11"/>
  <c r="K231" i="11"/>
  <c r="K232" i="11"/>
  <c r="K233" i="11"/>
  <c r="K234" i="11"/>
  <c r="K235" i="11"/>
  <c r="K236" i="11"/>
  <c r="K237" i="11"/>
  <c r="K238" i="11"/>
  <c r="K239" i="11"/>
  <c r="K240" i="11"/>
  <c r="K241" i="11"/>
  <c r="K242" i="11"/>
  <c r="K243" i="11"/>
  <c r="K244" i="11"/>
  <c r="K245" i="11"/>
  <c r="K246" i="11"/>
  <c r="K247" i="11"/>
  <c r="K248" i="11"/>
  <c r="K249" i="11"/>
  <c r="K250" i="11"/>
  <c r="K251" i="11"/>
  <c r="K252" i="11"/>
  <c r="K253" i="11"/>
  <c r="K254" i="11"/>
  <c r="K255" i="11"/>
  <c r="K256" i="11"/>
  <c r="K257" i="11"/>
  <c r="K258" i="11"/>
  <c r="K259" i="11"/>
  <c r="K260" i="11"/>
  <c r="K261" i="11"/>
  <c r="K262" i="11"/>
  <c r="K263" i="11"/>
  <c r="K264" i="11"/>
  <c r="K265" i="11"/>
  <c r="K266" i="11"/>
  <c r="K267" i="11"/>
  <c r="K268" i="11"/>
  <c r="K269" i="11"/>
  <c r="K270" i="11"/>
  <c r="K271" i="11"/>
  <c r="K272" i="11"/>
  <c r="K273" i="11"/>
  <c r="K274" i="11"/>
  <c r="K275" i="11"/>
  <c r="K276" i="11"/>
  <c r="K277" i="11"/>
  <c r="K278" i="11"/>
  <c r="K279" i="11"/>
  <c r="K280" i="11"/>
  <c r="K281" i="11"/>
  <c r="K282" i="11"/>
  <c r="K283" i="11"/>
  <c r="K284" i="11"/>
  <c r="K285" i="11"/>
  <c r="K286" i="11"/>
  <c r="K287" i="11"/>
  <c r="K288" i="11"/>
  <c r="K289" i="11"/>
  <c r="K290" i="11"/>
  <c r="K291" i="11"/>
  <c r="K292" i="11"/>
  <c r="K293" i="11"/>
  <c r="K294" i="11"/>
  <c r="K295" i="11"/>
  <c r="K296" i="11"/>
  <c r="K297" i="11"/>
  <c r="K298" i="11"/>
  <c r="K299" i="11"/>
  <c r="K300" i="11"/>
  <c r="K301" i="11"/>
  <c r="K302" i="11"/>
  <c r="K303" i="11"/>
  <c r="K304" i="11"/>
  <c r="K305" i="11"/>
  <c r="K306" i="11"/>
  <c r="K307" i="11"/>
  <c r="K308" i="11"/>
  <c r="K309" i="11"/>
  <c r="K310" i="11"/>
  <c r="K311" i="11"/>
  <c r="K312" i="11"/>
  <c r="K313" i="11"/>
  <c r="K314" i="11"/>
  <c r="K315" i="11"/>
  <c r="K316" i="11"/>
  <c r="K317" i="11"/>
  <c r="K318" i="11"/>
  <c r="K319" i="11"/>
  <c r="K320" i="11"/>
  <c r="K321" i="11"/>
  <c r="K322" i="11"/>
  <c r="K323" i="11"/>
  <c r="K324" i="11"/>
  <c r="K325" i="11"/>
  <c r="K326" i="11"/>
  <c r="K327" i="11"/>
  <c r="K328" i="11"/>
  <c r="K329" i="11"/>
  <c r="K330" i="11"/>
  <c r="K331" i="11"/>
  <c r="K332" i="11"/>
  <c r="K333" i="11"/>
  <c r="K334" i="11"/>
  <c r="K335" i="11"/>
  <c r="K336" i="11"/>
  <c r="K337" i="11"/>
  <c r="K338" i="11"/>
  <c r="K339" i="11"/>
  <c r="K340" i="11"/>
  <c r="K341" i="11"/>
  <c r="K342" i="11"/>
  <c r="K343" i="11"/>
  <c r="K344" i="11"/>
  <c r="K345" i="11"/>
  <c r="K346" i="11"/>
  <c r="K347" i="11"/>
  <c r="K348" i="11"/>
  <c r="K349" i="11"/>
  <c r="K350" i="11"/>
  <c r="K351" i="11"/>
  <c r="K352" i="11"/>
  <c r="K353" i="11"/>
  <c r="K354" i="11"/>
  <c r="K355" i="11"/>
  <c r="K356" i="11"/>
  <c r="K357" i="11"/>
  <c r="K358" i="11"/>
  <c r="K359" i="11"/>
  <c r="K360" i="11"/>
  <c r="K361" i="11"/>
  <c r="K362" i="11"/>
  <c r="K363" i="11"/>
  <c r="K364" i="11"/>
  <c r="K365" i="11"/>
  <c r="K366" i="11"/>
  <c r="K367" i="11"/>
  <c r="K368" i="11"/>
  <c r="K369" i="11"/>
  <c r="K370" i="11"/>
  <c r="K371" i="11"/>
  <c r="K372" i="11"/>
  <c r="K373" i="11"/>
  <c r="K374" i="11"/>
  <c r="K375" i="11"/>
  <c r="K376" i="11"/>
  <c r="K377" i="11"/>
  <c r="K378" i="11"/>
  <c r="K379" i="11"/>
  <c r="K380" i="11"/>
  <c r="K381" i="11"/>
  <c r="K382" i="11"/>
  <c r="K383" i="11"/>
  <c r="K384" i="11"/>
  <c r="K385" i="11"/>
  <c r="K386" i="11"/>
  <c r="K387" i="11"/>
  <c r="K388" i="11"/>
  <c r="K389" i="11"/>
  <c r="K390" i="11"/>
  <c r="K391" i="11"/>
  <c r="K392" i="11"/>
  <c r="K393" i="11"/>
  <c r="K394" i="11"/>
  <c r="K395" i="11"/>
  <c r="K396" i="11"/>
  <c r="K397" i="11"/>
  <c r="K398" i="11"/>
  <c r="K399" i="11"/>
  <c r="K400" i="11"/>
  <c r="K401" i="11"/>
  <c r="K402" i="11"/>
  <c r="K403" i="11"/>
  <c r="K404" i="11"/>
  <c r="K405" i="11"/>
  <c r="K406" i="11"/>
  <c r="K407" i="11"/>
  <c r="K408" i="11"/>
  <c r="K409" i="11"/>
  <c r="K410" i="11"/>
  <c r="K411" i="11"/>
  <c r="K412" i="11"/>
  <c r="K413" i="11"/>
  <c r="K414" i="11"/>
  <c r="K415" i="11"/>
  <c r="K416" i="11"/>
  <c r="K417" i="11"/>
  <c r="K418" i="11"/>
  <c r="K419" i="11"/>
  <c r="K420" i="11"/>
  <c r="K421" i="11"/>
  <c r="K422" i="11"/>
  <c r="K423" i="11"/>
  <c r="K424" i="11"/>
  <c r="K425" i="11"/>
  <c r="K426" i="11"/>
  <c r="K427" i="11"/>
  <c r="K428" i="11"/>
  <c r="K429" i="11"/>
  <c r="K430" i="11"/>
  <c r="K431" i="11"/>
  <c r="K432" i="11"/>
  <c r="K433" i="11"/>
  <c r="K434" i="11"/>
  <c r="K435" i="11"/>
  <c r="K436" i="11"/>
  <c r="K437" i="11"/>
  <c r="K438" i="11"/>
  <c r="K439" i="11"/>
  <c r="K440" i="11"/>
  <c r="K441" i="11"/>
  <c r="K442" i="11"/>
  <c r="K443" i="11"/>
  <c r="K444" i="11"/>
  <c r="K445" i="11"/>
  <c r="K446" i="11"/>
  <c r="K447" i="11"/>
  <c r="K448" i="11"/>
  <c r="K449" i="11"/>
  <c r="K450" i="11"/>
  <c r="K451" i="11"/>
  <c r="K452" i="11"/>
  <c r="K453" i="11"/>
  <c r="K454" i="11"/>
  <c r="K455" i="11"/>
  <c r="K456" i="11"/>
  <c r="K457" i="11"/>
  <c r="K458" i="11"/>
  <c r="K459" i="11"/>
  <c r="K460" i="11"/>
  <c r="K461" i="11"/>
  <c r="K462" i="11"/>
  <c r="K463" i="11"/>
  <c r="K464" i="11"/>
  <c r="K465" i="11"/>
  <c r="K466" i="11"/>
  <c r="K467" i="11"/>
  <c r="K468" i="11"/>
  <c r="K469" i="11"/>
  <c r="K470" i="11"/>
  <c r="K471" i="11"/>
  <c r="K472" i="11"/>
  <c r="K473" i="11"/>
  <c r="K474" i="11"/>
  <c r="K475" i="11"/>
  <c r="K476" i="11"/>
  <c r="K477" i="11"/>
  <c r="K478" i="11"/>
  <c r="K479" i="11"/>
  <c r="K480" i="11"/>
  <c r="K481" i="11"/>
  <c r="K482" i="11"/>
  <c r="K483" i="11"/>
  <c r="K484" i="11"/>
  <c r="K485" i="11"/>
  <c r="K486" i="11"/>
  <c r="K487" i="11"/>
  <c r="K488" i="11"/>
  <c r="K489" i="11"/>
  <c r="K490" i="11"/>
  <c r="K491" i="11"/>
  <c r="K492" i="11"/>
  <c r="K493" i="11"/>
  <c r="K494" i="11"/>
  <c r="K495" i="11"/>
  <c r="K496" i="11"/>
  <c r="K497" i="11"/>
  <c r="K498" i="11"/>
  <c r="K499" i="11"/>
  <c r="K500" i="11"/>
  <c r="K501" i="11"/>
  <c r="K502" i="11"/>
  <c r="K503" i="11"/>
  <c r="K504" i="11"/>
  <c r="K505" i="11"/>
  <c r="K506" i="11"/>
  <c r="K507" i="11"/>
  <c r="K508" i="11"/>
  <c r="K509" i="11"/>
  <c r="K510" i="11"/>
  <c r="K511" i="11"/>
  <c r="K512" i="11"/>
  <c r="K513" i="11"/>
  <c r="K514" i="11"/>
  <c r="K515" i="11"/>
  <c r="K516" i="11"/>
  <c r="K517" i="11"/>
  <c r="K518" i="11"/>
  <c r="K519" i="11"/>
  <c r="K520" i="11"/>
  <c r="K521" i="11"/>
  <c r="K522" i="11"/>
  <c r="K523" i="11"/>
  <c r="K524" i="11"/>
  <c r="K525" i="11"/>
  <c r="K526" i="11"/>
  <c r="K527" i="11"/>
  <c r="K528" i="11"/>
  <c r="K529" i="11"/>
  <c r="K530" i="11"/>
  <c r="K531" i="11"/>
  <c r="K532" i="11"/>
  <c r="K533" i="11"/>
  <c r="K534" i="11"/>
  <c r="K535" i="11"/>
  <c r="K536" i="11"/>
  <c r="K537" i="11"/>
  <c r="K538" i="11"/>
  <c r="K539" i="11"/>
  <c r="K540" i="11"/>
  <c r="K541" i="11"/>
  <c r="K542" i="11"/>
  <c r="K543" i="11"/>
  <c r="K544" i="11"/>
  <c r="K545" i="11"/>
  <c r="K546" i="11"/>
  <c r="K547" i="11"/>
  <c r="K548" i="11"/>
  <c r="K549" i="11"/>
  <c r="K550" i="11"/>
  <c r="K551" i="11"/>
  <c r="K552" i="11"/>
  <c r="K553" i="11"/>
  <c r="K554" i="11"/>
  <c r="K555" i="11"/>
  <c r="K556" i="11"/>
  <c r="K557" i="11"/>
  <c r="K558" i="11"/>
  <c r="K559" i="11"/>
  <c r="K560" i="11"/>
  <c r="K561" i="11"/>
  <c r="K562" i="11"/>
  <c r="K563" i="11"/>
  <c r="K564" i="11"/>
  <c r="K565" i="11"/>
  <c r="K566" i="11"/>
  <c r="K567" i="11"/>
  <c r="K568" i="11"/>
  <c r="K569" i="11"/>
  <c r="K570" i="11"/>
  <c r="K571" i="11"/>
  <c r="K572" i="11"/>
  <c r="K573" i="11"/>
  <c r="K574" i="11"/>
  <c r="K575" i="11"/>
  <c r="K576" i="11"/>
  <c r="K577" i="11"/>
  <c r="K578" i="11"/>
  <c r="K579" i="11"/>
  <c r="K580" i="11"/>
  <c r="K581" i="11"/>
  <c r="K582" i="11"/>
  <c r="K583" i="11"/>
  <c r="K584" i="11"/>
  <c r="K585" i="11"/>
  <c r="K586" i="11"/>
  <c r="K587" i="11"/>
  <c r="K588" i="11"/>
  <c r="K589" i="11"/>
  <c r="K590" i="11"/>
  <c r="K591" i="11"/>
  <c r="K592" i="11"/>
  <c r="K593" i="11"/>
  <c r="K594" i="11"/>
  <c r="K595" i="11"/>
  <c r="K596" i="11"/>
  <c r="K597" i="11"/>
  <c r="K598" i="11"/>
  <c r="K599" i="11"/>
  <c r="K600" i="11"/>
  <c r="K601" i="11"/>
  <c r="K602" i="11"/>
  <c r="K603" i="11"/>
  <c r="K604" i="11"/>
  <c r="K605" i="11"/>
  <c r="K606" i="11"/>
  <c r="K607" i="11"/>
  <c r="K608" i="11"/>
  <c r="K609" i="11"/>
  <c r="K610" i="11"/>
  <c r="K611" i="11"/>
  <c r="K612" i="11"/>
  <c r="K613" i="11"/>
  <c r="K614" i="11"/>
  <c r="K615" i="11"/>
  <c r="K616" i="11"/>
  <c r="K617" i="11"/>
  <c r="K618" i="11"/>
  <c r="K619" i="11"/>
  <c r="K620" i="11"/>
  <c r="K621" i="11"/>
  <c r="K622" i="11"/>
  <c r="K623" i="11"/>
  <c r="K624" i="11"/>
  <c r="K625" i="11"/>
  <c r="K626" i="11"/>
  <c r="K627" i="11"/>
  <c r="K628" i="11"/>
  <c r="K629" i="11"/>
  <c r="K630" i="11"/>
  <c r="K6" i="11"/>
  <c r="H576" i="13" l="1"/>
  <c r="H536" i="13"/>
  <c r="H371" i="13"/>
  <c r="H600" i="13"/>
  <c r="H322" i="13"/>
  <c r="H623" i="13"/>
  <c r="H564" i="13"/>
  <c r="H612" i="13"/>
  <c r="H588" i="13"/>
  <c r="H551" i="13"/>
  <c r="H524" i="13"/>
  <c r="H419" i="13"/>
  <c r="H599" i="13"/>
  <c r="H535" i="13"/>
  <c r="H611" i="13"/>
  <c r="H587" i="13"/>
  <c r="H544" i="13"/>
  <c r="H523" i="13"/>
  <c r="H394" i="13"/>
  <c r="H347" i="13"/>
  <c r="H194" i="13"/>
  <c r="H475" i="13"/>
  <c r="H395" i="13"/>
  <c r="H130" i="13"/>
  <c r="H620" i="13"/>
  <c r="H575" i="13"/>
  <c r="H563" i="13"/>
  <c r="H498" i="13"/>
  <c r="H474" i="13"/>
  <c r="H290" i="13"/>
  <c r="H114" i="13"/>
  <c r="H450" i="13"/>
  <c r="H619" i="13"/>
  <c r="H608" i="13"/>
  <c r="H596" i="13"/>
  <c r="H584" i="13"/>
  <c r="H572" i="13"/>
  <c r="H556" i="13"/>
  <c r="H540" i="13"/>
  <c r="H532" i="13"/>
  <c r="H512" i="13"/>
  <c r="H418" i="13"/>
  <c r="H363" i="13"/>
  <c r="H338" i="13"/>
  <c r="H226" i="13"/>
  <c r="H162" i="13"/>
  <c r="H98" i="13"/>
  <c r="H426" i="13"/>
  <c r="H624" i="13"/>
  <c r="H616" i="13"/>
  <c r="H607" i="13"/>
  <c r="H595" i="13"/>
  <c r="H583" i="13"/>
  <c r="H568" i="13"/>
  <c r="H552" i="13"/>
  <c r="H539" i="13"/>
  <c r="H528" i="13"/>
  <c r="H511" i="13"/>
  <c r="H490" i="13"/>
  <c r="H427" i="13"/>
  <c r="H379" i="13"/>
  <c r="H362" i="13"/>
  <c r="H258" i="13"/>
  <c r="H225" i="13"/>
  <c r="H66" i="13"/>
  <c r="H59" i="13"/>
  <c r="H60" i="13"/>
  <c r="H91" i="13"/>
  <c r="H92" i="13"/>
  <c r="H203" i="13"/>
  <c r="H204" i="13"/>
  <c r="H205" i="13"/>
  <c r="H206" i="13"/>
  <c r="H364" i="13"/>
  <c r="H365" i="13"/>
  <c r="H388" i="13"/>
  <c r="H389" i="13"/>
  <c r="H456" i="13"/>
  <c r="H457" i="13"/>
  <c r="H604" i="13"/>
  <c r="H560" i="13"/>
  <c r="H548" i="13"/>
  <c r="H516" i="13"/>
  <c r="H50" i="13"/>
  <c r="H7" i="13"/>
  <c r="H8" i="13"/>
  <c r="H5" i="13"/>
  <c r="H6" i="13"/>
  <c r="H23" i="13"/>
  <c r="H24" i="13"/>
  <c r="H21" i="13"/>
  <c r="H22" i="13"/>
  <c r="H39" i="13"/>
  <c r="H40" i="13"/>
  <c r="H37" i="13"/>
  <c r="H38" i="13"/>
  <c r="H51" i="13"/>
  <c r="H52" i="13"/>
  <c r="H53" i="13"/>
  <c r="H54" i="13"/>
  <c r="H61" i="13"/>
  <c r="H62" i="13"/>
  <c r="H84" i="13"/>
  <c r="H85" i="13"/>
  <c r="H95" i="13"/>
  <c r="H93" i="13"/>
  <c r="H94" i="13"/>
  <c r="H107" i="13"/>
  <c r="H108" i="13"/>
  <c r="H109" i="13"/>
  <c r="H119" i="13"/>
  <c r="H120" i="13"/>
  <c r="H135" i="13"/>
  <c r="H136" i="13"/>
  <c r="H134" i="13"/>
  <c r="H147" i="13"/>
  <c r="H148" i="13"/>
  <c r="H159" i="13"/>
  <c r="H158" i="13"/>
  <c r="H180" i="13"/>
  <c r="H181" i="13"/>
  <c r="H182" i="13"/>
  <c r="H207" i="13"/>
  <c r="H208" i="13"/>
  <c r="H223" i="13"/>
  <c r="H220" i="13"/>
  <c r="H224" i="13"/>
  <c r="H221" i="13"/>
  <c r="H222" i="13"/>
  <c r="H235" i="13"/>
  <c r="H236" i="13"/>
  <c r="H237" i="13"/>
  <c r="H238" i="13"/>
  <c r="H247" i="13"/>
  <c r="H248" i="13"/>
  <c r="H271" i="13"/>
  <c r="H272" i="13"/>
  <c r="H270" i="13"/>
  <c r="H283" i="13"/>
  <c r="H284" i="13"/>
  <c r="H285" i="13"/>
  <c r="H295" i="13"/>
  <c r="H296" i="13"/>
  <c r="H294" i="13"/>
  <c r="H307" i="13"/>
  <c r="H308" i="13"/>
  <c r="H309" i="13"/>
  <c r="H332" i="13"/>
  <c r="H333" i="13"/>
  <c r="H334" i="13"/>
  <c r="H356" i="13"/>
  <c r="H357" i="13"/>
  <c r="H400" i="13"/>
  <c r="H401" i="13"/>
  <c r="H504" i="13"/>
  <c r="H505" i="13"/>
  <c r="H492" i="13"/>
  <c r="H493" i="13"/>
  <c r="H480" i="13"/>
  <c r="H481" i="13"/>
  <c r="H468" i="13"/>
  <c r="H469" i="13"/>
  <c r="H444" i="13"/>
  <c r="H445" i="13"/>
  <c r="H420" i="13"/>
  <c r="H421" i="13"/>
  <c r="H615" i="13"/>
  <c r="H603" i="13"/>
  <c r="H591" i="13"/>
  <c r="H579" i="13"/>
  <c r="H571" i="13"/>
  <c r="H567" i="13"/>
  <c r="H559" i="13"/>
  <c r="H555" i="13"/>
  <c r="H547" i="13"/>
  <c r="H543" i="13"/>
  <c r="H531" i="13"/>
  <c r="H527" i="13"/>
  <c r="H519" i="13"/>
  <c r="H515" i="13"/>
  <c r="H506" i="13"/>
  <c r="H482" i="13"/>
  <c r="H466" i="13"/>
  <c r="H458" i="13"/>
  <c r="H434" i="13"/>
  <c r="H402" i="13"/>
  <c r="H378" i="13"/>
  <c r="H346" i="13"/>
  <c r="H305" i="13"/>
  <c r="H289" i="13"/>
  <c r="H273" i="13"/>
  <c r="H257" i="13"/>
  <c r="H209" i="13"/>
  <c r="H193" i="13"/>
  <c r="H161" i="13"/>
  <c r="H113" i="13"/>
  <c r="H97" i="13"/>
  <c r="H49" i="13"/>
  <c r="H17" i="13"/>
  <c r="H3" i="13"/>
  <c r="H4" i="13"/>
  <c r="H131" i="13"/>
  <c r="H132" i="13"/>
  <c r="H133" i="13"/>
  <c r="H231" i="13"/>
  <c r="H232" i="13"/>
  <c r="H245" i="13"/>
  <c r="H246" i="13"/>
  <c r="H255" i="13"/>
  <c r="H256" i="13"/>
  <c r="H267" i="13"/>
  <c r="H268" i="13"/>
  <c r="H269" i="13"/>
  <c r="H319" i="13"/>
  <c r="H320" i="13"/>
  <c r="H318" i="13"/>
  <c r="H459" i="13"/>
  <c r="H435" i="13"/>
  <c r="H387" i="13"/>
  <c r="H306" i="13"/>
  <c r="H11" i="13"/>
  <c r="H12" i="13"/>
  <c r="H13" i="13"/>
  <c r="H27" i="13"/>
  <c r="H28" i="13"/>
  <c r="H29" i="13"/>
  <c r="H55" i="13"/>
  <c r="H56" i="13"/>
  <c r="H63" i="13"/>
  <c r="H64" i="13"/>
  <c r="H75" i="13"/>
  <c r="H76" i="13"/>
  <c r="H87" i="13"/>
  <c r="H86" i="13"/>
  <c r="H111" i="13"/>
  <c r="H112" i="13"/>
  <c r="H110" i="13"/>
  <c r="H123" i="13"/>
  <c r="H124" i="13"/>
  <c r="H125" i="13"/>
  <c r="H151" i="13"/>
  <c r="H149" i="13"/>
  <c r="H150" i="13"/>
  <c r="H172" i="13"/>
  <c r="H173" i="13"/>
  <c r="H174" i="13"/>
  <c r="H183" i="13"/>
  <c r="H184" i="13"/>
  <c r="H199" i="13"/>
  <c r="H196" i="13"/>
  <c r="H197" i="13"/>
  <c r="H198" i="13"/>
  <c r="H211" i="13"/>
  <c r="H212" i="13"/>
  <c r="H213" i="13"/>
  <c r="H239" i="13"/>
  <c r="H240" i="13"/>
  <c r="H251" i="13"/>
  <c r="H252" i="13"/>
  <c r="H260" i="13"/>
  <c r="H261" i="13"/>
  <c r="H275" i="13"/>
  <c r="H276" i="13"/>
  <c r="H277" i="13"/>
  <c r="H287" i="13"/>
  <c r="H288" i="13"/>
  <c r="H286" i="13"/>
  <c r="H299" i="13"/>
  <c r="H300" i="13"/>
  <c r="H311" i="13"/>
  <c r="H312" i="13"/>
  <c r="H310" i="13"/>
  <c r="H323" i="13"/>
  <c r="H324" i="13"/>
  <c r="H325" i="13"/>
  <c r="H335" i="13"/>
  <c r="H336" i="13"/>
  <c r="H372" i="13"/>
  <c r="H369" i="13"/>
  <c r="H404" i="13"/>
  <c r="H405" i="13"/>
  <c r="H500" i="13"/>
  <c r="H501" i="13"/>
  <c r="H476" i="13"/>
  <c r="H477" i="13"/>
  <c r="H464" i="13"/>
  <c r="H465" i="13"/>
  <c r="H452" i="13"/>
  <c r="H453" i="13"/>
  <c r="H440" i="13"/>
  <c r="H441" i="13"/>
  <c r="H428" i="13"/>
  <c r="H429" i="13"/>
  <c r="H626" i="13"/>
  <c r="H618" i="13"/>
  <c r="H610" i="13"/>
  <c r="H606" i="13"/>
  <c r="H602" i="13"/>
  <c r="H598" i="13"/>
  <c r="H590" i="13"/>
  <c r="H582" i="13"/>
  <c r="H574" i="13"/>
  <c r="H566" i="13"/>
  <c r="H562" i="13"/>
  <c r="H554" i="13"/>
  <c r="H550" i="13"/>
  <c r="H546" i="13"/>
  <c r="H542" i="13"/>
  <c r="H538" i="13"/>
  <c r="H534" i="13"/>
  <c r="H530" i="13"/>
  <c r="H522" i="13"/>
  <c r="H518" i="13"/>
  <c r="H514" i="13"/>
  <c r="H503" i="13"/>
  <c r="H495" i="13"/>
  <c r="H487" i="13"/>
  <c r="H479" i="13"/>
  <c r="H471" i="13"/>
  <c r="H463" i="13"/>
  <c r="H455" i="13"/>
  <c r="H447" i="13"/>
  <c r="H439" i="13"/>
  <c r="H431" i="13"/>
  <c r="H423" i="13"/>
  <c r="H415" i="13"/>
  <c r="H407" i="13"/>
  <c r="H399" i="13"/>
  <c r="H391" i="13"/>
  <c r="H383" i="13"/>
  <c r="H367" i="13"/>
  <c r="H359" i="13"/>
  <c r="H351" i="13"/>
  <c r="H343" i="13"/>
  <c r="H330" i="13"/>
  <c r="H298" i="13"/>
  <c r="H282" i="13"/>
  <c r="H266" i="13"/>
  <c r="H250" i="13"/>
  <c r="H234" i="13"/>
  <c r="H218" i="13"/>
  <c r="H202" i="13"/>
  <c r="H186" i="13"/>
  <c r="H170" i="13"/>
  <c r="H154" i="13"/>
  <c r="H138" i="13"/>
  <c r="H122" i="13"/>
  <c r="H90" i="13"/>
  <c r="H74" i="13"/>
  <c r="H58" i="13"/>
  <c r="H42" i="13"/>
  <c r="H26" i="13"/>
  <c r="H10" i="13"/>
  <c r="H19" i="13"/>
  <c r="H16" i="13"/>
  <c r="H20" i="13"/>
  <c r="H35" i="13"/>
  <c r="H36" i="13"/>
  <c r="H71" i="13"/>
  <c r="H72" i="13"/>
  <c r="H69" i="13"/>
  <c r="H70" i="13"/>
  <c r="H103" i="13"/>
  <c r="H104" i="13"/>
  <c r="H116" i="13"/>
  <c r="H117" i="13"/>
  <c r="H118" i="13"/>
  <c r="H143" i="13"/>
  <c r="H144" i="13"/>
  <c r="H155" i="13"/>
  <c r="H156" i="13"/>
  <c r="H157" i="13"/>
  <c r="H167" i="13"/>
  <c r="H164" i="13"/>
  <c r="H168" i="13"/>
  <c r="H165" i="13"/>
  <c r="H166" i="13"/>
  <c r="H191" i="13"/>
  <c r="H192" i="13"/>
  <c r="H190" i="13"/>
  <c r="H292" i="13"/>
  <c r="H293" i="13"/>
  <c r="H352" i="13"/>
  <c r="H353" i="13"/>
  <c r="H376" i="13"/>
  <c r="H377" i="13"/>
  <c r="H408" i="13"/>
  <c r="H409" i="13"/>
  <c r="H484" i="13"/>
  <c r="H485" i="13"/>
  <c r="H412" i="13"/>
  <c r="H413" i="13"/>
  <c r="H592" i="13"/>
  <c r="H580" i="13"/>
  <c r="H520" i="13"/>
  <c r="H178" i="13"/>
  <c r="H82" i="13"/>
  <c r="H34" i="13"/>
  <c r="H15" i="13"/>
  <c r="H14" i="13"/>
  <c r="H31" i="13"/>
  <c r="H32" i="13"/>
  <c r="H30" i="13"/>
  <c r="H47" i="13"/>
  <c r="H44" i="13"/>
  <c r="H45" i="13"/>
  <c r="H46" i="13"/>
  <c r="H67" i="13"/>
  <c r="H68" i="13"/>
  <c r="H79" i="13"/>
  <c r="H80" i="13"/>
  <c r="H77" i="13"/>
  <c r="H78" i="13"/>
  <c r="H99" i="13"/>
  <c r="H100" i="13"/>
  <c r="H101" i="13"/>
  <c r="H102" i="13"/>
  <c r="H127" i="13"/>
  <c r="H128" i="13"/>
  <c r="H126" i="13"/>
  <c r="H140" i="13"/>
  <c r="H141" i="13"/>
  <c r="H142" i="13"/>
  <c r="H175" i="13"/>
  <c r="H176" i="13"/>
  <c r="H187" i="13"/>
  <c r="H188" i="13"/>
  <c r="H189" i="13"/>
  <c r="H215" i="13"/>
  <c r="H216" i="13"/>
  <c r="H214" i="13"/>
  <c r="H228" i="13"/>
  <c r="H229" i="13"/>
  <c r="H230" i="13"/>
  <c r="H243" i="13"/>
  <c r="H244" i="13"/>
  <c r="H253" i="13"/>
  <c r="H254" i="13"/>
  <c r="H263" i="13"/>
  <c r="H264" i="13"/>
  <c r="H262" i="13"/>
  <c r="H279" i="13"/>
  <c r="H278" i="13"/>
  <c r="H303" i="13"/>
  <c r="H301" i="13"/>
  <c r="H302" i="13"/>
  <c r="H315" i="13"/>
  <c r="H316" i="13"/>
  <c r="H317" i="13"/>
  <c r="H327" i="13"/>
  <c r="H328" i="13"/>
  <c r="H326" i="13"/>
  <c r="H340" i="13"/>
  <c r="H339" i="13"/>
  <c r="H341" i="13"/>
  <c r="H384" i="13"/>
  <c r="H385" i="13"/>
  <c r="H460" i="13"/>
  <c r="H461" i="13"/>
  <c r="H436" i="13"/>
  <c r="H437" i="13"/>
  <c r="H509" i="13"/>
  <c r="H502" i="13"/>
  <c r="H494" i="13"/>
  <c r="H486" i="13"/>
  <c r="H478" i="13"/>
  <c r="H470" i="13"/>
  <c r="H462" i="13"/>
  <c r="H446" i="13"/>
  <c r="H438" i="13"/>
  <c r="H430" i="13"/>
  <c r="H422" i="13"/>
  <c r="H414" i="13"/>
  <c r="H398" i="13"/>
  <c r="H390" i="13"/>
  <c r="H382" i="13"/>
  <c r="H374" i="13"/>
  <c r="H366" i="13"/>
  <c r="H358" i="13"/>
  <c r="H350" i="13"/>
  <c r="H342" i="13"/>
  <c r="H329" i="13"/>
  <c r="H313" i="13"/>
  <c r="H297" i="13"/>
  <c r="H281" i="13"/>
  <c r="H265" i="13"/>
  <c r="H249" i="13"/>
  <c r="H233" i="13"/>
  <c r="H217" i="13"/>
  <c r="H201" i="13"/>
  <c r="H185" i="13"/>
  <c r="H169" i="13"/>
  <c r="H153" i="13"/>
  <c r="H137" i="13"/>
  <c r="H121" i="13"/>
  <c r="H105" i="13"/>
  <c r="H89" i="13"/>
  <c r="H41" i="13"/>
  <c r="H25" i="13"/>
  <c r="H9" i="13"/>
  <c r="B605" i="12"/>
  <c r="B473" i="12"/>
  <c r="B553" i="12"/>
  <c r="B625" i="12"/>
  <c r="B597" i="12"/>
  <c r="B621" i="12"/>
  <c r="B617" i="12"/>
  <c r="B593" i="12"/>
  <c r="B361" i="12"/>
  <c r="B629" i="12"/>
  <c r="B609" i="12"/>
  <c r="B587" i="12"/>
  <c r="B514" i="12"/>
  <c r="B518" i="12"/>
  <c r="B515" i="12"/>
  <c r="B519" i="12"/>
  <c r="B516" i="12"/>
  <c r="B502" i="12"/>
  <c r="B503" i="12"/>
  <c r="B500" i="12"/>
  <c r="B490" i="12"/>
  <c r="B491" i="12"/>
  <c r="B492" i="12"/>
  <c r="B478" i="12"/>
  <c r="B479" i="12"/>
  <c r="B466" i="12"/>
  <c r="B467" i="12"/>
  <c r="B468" i="12"/>
  <c r="B455" i="12"/>
  <c r="B456" i="12"/>
  <c r="B446" i="12"/>
  <c r="B444" i="12"/>
  <c r="B434" i="12"/>
  <c r="B435" i="12"/>
  <c r="B436" i="12"/>
  <c r="B422" i="12"/>
  <c r="B423" i="12"/>
  <c r="B424" i="12"/>
  <c r="B411" i="12"/>
  <c r="B412" i="12"/>
  <c r="B399" i="12"/>
  <c r="B400" i="12"/>
  <c r="B378" i="12"/>
  <c r="B376" i="12"/>
  <c r="B337" i="12"/>
  <c r="B336" i="12"/>
  <c r="B247" i="12"/>
  <c r="B248" i="12"/>
  <c r="B249" i="12"/>
  <c r="B250" i="12"/>
  <c r="B457" i="12"/>
  <c r="B377" i="12"/>
  <c r="B578" i="12"/>
  <c r="B576" i="12"/>
  <c r="B530" i="12"/>
  <c r="B531" i="12"/>
  <c r="B532" i="12"/>
  <c r="B510" i="12"/>
  <c r="B511" i="12"/>
  <c r="B512" i="12"/>
  <c r="B498" i="12"/>
  <c r="B499" i="12"/>
  <c r="B487" i="12"/>
  <c r="B488" i="12"/>
  <c r="B474" i="12"/>
  <c r="B475" i="12"/>
  <c r="B476" i="12"/>
  <c r="B454" i="12"/>
  <c r="B452" i="12"/>
  <c r="B442" i="12"/>
  <c r="B443" i="12"/>
  <c r="B431" i="12"/>
  <c r="B432" i="12"/>
  <c r="B419" i="12"/>
  <c r="B420" i="12"/>
  <c r="B410" i="12"/>
  <c r="B408" i="12"/>
  <c r="B398" i="12"/>
  <c r="B396" i="12"/>
  <c r="B386" i="12"/>
  <c r="B387" i="12"/>
  <c r="B388" i="12"/>
  <c r="B374" i="12"/>
  <c r="B375" i="12"/>
  <c r="B362" i="12"/>
  <c r="B363" i="12"/>
  <c r="B364" i="12"/>
  <c r="B350" i="12"/>
  <c r="B348" i="12"/>
  <c r="B335" i="12"/>
  <c r="B333" i="12"/>
  <c r="B334" i="12"/>
  <c r="B323" i="12"/>
  <c r="B322" i="12"/>
  <c r="B307" i="12"/>
  <c r="B309" i="12"/>
  <c r="B306" i="12"/>
  <c r="B297" i="12"/>
  <c r="B298" i="12"/>
  <c r="B287" i="12"/>
  <c r="B288" i="12"/>
  <c r="B286" i="12"/>
  <c r="B272" i="12"/>
  <c r="B273" i="12"/>
  <c r="B274" i="12"/>
  <c r="B259" i="12"/>
  <c r="B260" i="12"/>
  <c r="B258" i="12"/>
  <c r="B244" i="12"/>
  <c r="B245" i="12"/>
  <c r="B231" i="12"/>
  <c r="B232" i="12"/>
  <c r="B233" i="12"/>
  <c r="B219" i="12"/>
  <c r="B220" i="12"/>
  <c r="B221" i="12"/>
  <c r="B207" i="12"/>
  <c r="B206" i="12"/>
  <c r="B196" i="12"/>
  <c r="B197" i="12"/>
  <c r="B184" i="12"/>
  <c r="B185" i="12"/>
  <c r="B186" i="12"/>
  <c r="B171" i="12"/>
  <c r="B172" i="12"/>
  <c r="B173" i="12"/>
  <c r="B170" i="12"/>
  <c r="B174" i="12"/>
  <c r="B159" i="12"/>
  <c r="B157" i="12"/>
  <c r="B158" i="12"/>
  <c r="B143" i="12"/>
  <c r="B144" i="12"/>
  <c r="B145" i="12"/>
  <c r="B146" i="12"/>
  <c r="B132" i="12"/>
  <c r="B133" i="12"/>
  <c r="B123" i="12"/>
  <c r="B124" i="12"/>
  <c r="B121" i="12"/>
  <c r="B125" i="12"/>
  <c r="B122" i="12"/>
  <c r="B111" i="12"/>
  <c r="B112" i="12"/>
  <c r="B103" i="12"/>
  <c r="B104" i="12"/>
  <c r="B92" i="12"/>
  <c r="B93" i="12"/>
  <c r="B94" i="12"/>
  <c r="B79" i="12"/>
  <c r="B80" i="12"/>
  <c r="B77" i="12"/>
  <c r="B78" i="12"/>
  <c r="B63" i="12"/>
  <c r="B60" i="12"/>
  <c r="B64" i="12"/>
  <c r="B61" i="12"/>
  <c r="B62" i="12"/>
  <c r="B47" i="12"/>
  <c r="B48" i="12"/>
  <c r="B46" i="12"/>
  <c r="B36" i="12"/>
  <c r="B37" i="12"/>
  <c r="B27" i="12"/>
  <c r="B25" i="12"/>
  <c r="B26" i="12"/>
  <c r="B11" i="12"/>
  <c r="B12" i="12"/>
  <c r="B13" i="12"/>
  <c r="B628" i="12"/>
  <c r="B624" i="12"/>
  <c r="B616" i="12"/>
  <c r="B612" i="12"/>
  <c r="B608" i="12"/>
  <c r="B604" i="12"/>
  <c r="B600" i="12"/>
  <c r="B596" i="12"/>
  <c r="B592" i="12"/>
  <c r="B577" i="12"/>
  <c r="B565" i="12"/>
  <c r="B533" i="12"/>
  <c r="B517" i="12"/>
  <c r="B501" i="12"/>
  <c r="B453" i="12"/>
  <c r="B437" i="12"/>
  <c r="B421" i="12"/>
  <c r="B389" i="12"/>
  <c r="B373" i="12"/>
  <c r="B308" i="12"/>
  <c r="B246" i="12"/>
  <c r="B118" i="12"/>
  <c r="B6" i="12"/>
  <c r="B7" i="12"/>
  <c r="B582" i="12"/>
  <c r="B580" i="12"/>
  <c r="B567" i="12"/>
  <c r="B568" i="12"/>
  <c r="B546" i="12"/>
  <c r="B543" i="12"/>
  <c r="B544" i="12"/>
  <c r="B325" i="12"/>
  <c r="B326" i="12"/>
  <c r="B299" i="12"/>
  <c r="B300" i="12"/>
  <c r="B275" i="12"/>
  <c r="B276" i="12"/>
  <c r="B277" i="12"/>
  <c r="B235" i="12"/>
  <c r="B236" i="12"/>
  <c r="B234" i="12"/>
  <c r="B211" i="12"/>
  <c r="B208" i="12"/>
  <c r="B212" i="12"/>
  <c r="B209" i="12"/>
  <c r="B210" i="12"/>
  <c r="B175" i="12"/>
  <c r="B176" i="12"/>
  <c r="B177" i="12"/>
  <c r="B95" i="12"/>
  <c r="B96" i="12"/>
  <c r="B97" i="12"/>
  <c r="B98" i="12"/>
  <c r="B83" i="12"/>
  <c r="B84" i="12"/>
  <c r="B81" i="12"/>
  <c r="B82" i="12"/>
  <c r="B67" i="12"/>
  <c r="B68" i="12"/>
  <c r="B65" i="12"/>
  <c r="B69" i="12"/>
  <c r="B66" i="12"/>
  <c r="B51" i="12"/>
  <c r="B52" i="12"/>
  <c r="B49" i="12"/>
  <c r="B50" i="12"/>
  <c r="B28" i="12"/>
  <c r="B29" i="12"/>
  <c r="B30" i="12"/>
  <c r="B613" i="12"/>
  <c r="B601" i="12"/>
  <c r="B562" i="12"/>
  <c r="B563" i="12"/>
  <c r="B560" i="12"/>
  <c r="B564" i="12"/>
  <c r="B550" i="12"/>
  <c r="B551" i="12"/>
  <c r="B538" i="12"/>
  <c r="B539" i="12"/>
  <c r="B540" i="12"/>
  <c r="B526" i="12"/>
  <c r="B523" i="12"/>
  <c r="B527" i="12"/>
  <c r="B524" i="12"/>
  <c r="B528" i="12"/>
  <c r="B507" i="12"/>
  <c r="B508" i="12"/>
  <c r="B495" i="12"/>
  <c r="B496" i="12"/>
  <c r="B486" i="12"/>
  <c r="B483" i="12"/>
  <c r="B484" i="12"/>
  <c r="B462" i="12"/>
  <c r="B463" i="12"/>
  <c r="B450" i="12"/>
  <c r="B451" i="12"/>
  <c r="B439" i="12"/>
  <c r="B440" i="12"/>
  <c r="B430" i="12"/>
  <c r="B428" i="12"/>
  <c r="B406" i="12"/>
  <c r="B407" i="12"/>
  <c r="B394" i="12"/>
  <c r="B395" i="12"/>
  <c r="B383" i="12"/>
  <c r="B384" i="12"/>
  <c r="B370" i="12"/>
  <c r="B371" i="12"/>
  <c r="B372" i="12"/>
  <c r="B358" i="12"/>
  <c r="B359" i="12"/>
  <c r="B360" i="12"/>
  <c r="B343" i="12"/>
  <c r="B346" i="12"/>
  <c r="B342" i="12"/>
  <c r="B347" i="12"/>
  <c r="B344" i="12"/>
  <c r="B331" i="12"/>
  <c r="B330" i="12"/>
  <c r="B319" i="12"/>
  <c r="B321" i="12"/>
  <c r="B318" i="12"/>
  <c r="B320" i="12"/>
  <c r="B304" i="12"/>
  <c r="B305" i="12"/>
  <c r="B295" i="12"/>
  <c r="B296" i="12"/>
  <c r="B283" i="12"/>
  <c r="B284" i="12"/>
  <c r="B285" i="12"/>
  <c r="B271" i="12"/>
  <c r="B269" i="12"/>
  <c r="B270" i="12"/>
  <c r="B255" i="12"/>
  <c r="B256" i="12"/>
  <c r="B257" i="12"/>
  <c r="B254" i="12"/>
  <c r="B243" i="12"/>
  <c r="B240" i="12"/>
  <c r="B241" i="12"/>
  <c r="B242" i="12"/>
  <c r="B227" i="12"/>
  <c r="B228" i="12"/>
  <c r="B229" i="12"/>
  <c r="B216" i="12"/>
  <c r="B217" i="12"/>
  <c r="B218" i="12"/>
  <c r="B204" i="12"/>
  <c r="B205" i="12"/>
  <c r="B195" i="12"/>
  <c r="B193" i="12"/>
  <c r="B194" i="12"/>
  <c r="B183" i="12"/>
  <c r="B181" i="12"/>
  <c r="B167" i="12"/>
  <c r="B168" i="12"/>
  <c r="B165" i="12"/>
  <c r="B169" i="12"/>
  <c r="B155" i="12"/>
  <c r="B156" i="12"/>
  <c r="B154" i="12"/>
  <c r="B140" i="12"/>
  <c r="B141" i="12"/>
  <c r="B142" i="12"/>
  <c r="B131" i="12"/>
  <c r="B130" i="12"/>
  <c r="B119" i="12"/>
  <c r="B120" i="12"/>
  <c r="B107" i="12"/>
  <c r="B108" i="12"/>
  <c r="B109" i="12"/>
  <c r="B110" i="12"/>
  <c r="B91" i="12"/>
  <c r="B88" i="12"/>
  <c r="B89" i="12"/>
  <c r="B90" i="12"/>
  <c r="B75" i="12"/>
  <c r="B76" i="12"/>
  <c r="B74" i="12"/>
  <c r="B59" i="12"/>
  <c r="B58" i="12"/>
  <c r="B43" i="12"/>
  <c r="B44" i="12"/>
  <c r="B45" i="12"/>
  <c r="B35" i="12"/>
  <c r="B33" i="12"/>
  <c r="B34" i="12"/>
  <c r="B23" i="12"/>
  <c r="B24" i="12"/>
  <c r="B8" i="12"/>
  <c r="B9" i="12"/>
  <c r="B10" i="12"/>
  <c r="B623" i="12"/>
  <c r="B619" i="12"/>
  <c r="B615" i="12"/>
  <c r="B607" i="12"/>
  <c r="B603" i="12"/>
  <c r="B599" i="12"/>
  <c r="B595" i="12"/>
  <c r="B591" i="12"/>
  <c r="B583" i="12"/>
  <c r="B575" i="12"/>
  <c r="B561" i="12"/>
  <c r="B545" i="12"/>
  <c r="B529" i="12"/>
  <c r="B513" i="12"/>
  <c r="B497" i="12"/>
  <c r="B465" i="12"/>
  <c r="B433" i="12"/>
  <c r="B417" i="12"/>
  <c r="B401" i="12"/>
  <c r="B385" i="12"/>
  <c r="B332" i="12"/>
  <c r="B294" i="12"/>
  <c r="B230" i="12"/>
  <c r="B166" i="12"/>
  <c r="B102" i="12"/>
  <c r="B38" i="12"/>
  <c r="B554" i="12"/>
  <c r="B555" i="12"/>
  <c r="B556" i="12"/>
  <c r="B351" i="12"/>
  <c r="B352" i="12"/>
  <c r="B311" i="12"/>
  <c r="B313" i="12"/>
  <c r="B310" i="12"/>
  <c r="B312" i="12"/>
  <c r="B289" i="12"/>
  <c r="B290" i="12"/>
  <c r="B263" i="12"/>
  <c r="B261" i="12"/>
  <c r="B223" i="12"/>
  <c r="B222" i="12"/>
  <c r="B199" i="12"/>
  <c r="B200" i="12"/>
  <c r="B201" i="12"/>
  <c r="B202" i="12"/>
  <c r="B187" i="12"/>
  <c r="B188" i="12"/>
  <c r="B189" i="12"/>
  <c r="B160" i="12"/>
  <c r="B161" i="12"/>
  <c r="B162" i="12"/>
  <c r="B147" i="12"/>
  <c r="B148" i="12"/>
  <c r="B149" i="12"/>
  <c r="B135" i="12"/>
  <c r="B136" i="12"/>
  <c r="B127" i="12"/>
  <c r="B126" i="12"/>
  <c r="B115" i="12"/>
  <c r="B116" i="12"/>
  <c r="B113" i="12"/>
  <c r="B114" i="12"/>
  <c r="B15" i="12"/>
  <c r="B16" i="12"/>
  <c r="B17" i="12"/>
  <c r="B14" i="12"/>
  <c r="B18" i="12"/>
  <c r="B579" i="12"/>
  <c r="B586" i="12"/>
  <c r="B584" i="12"/>
  <c r="B588" i="12"/>
  <c r="B570" i="12"/>
  <c r="B571" i="12"/>
  <c r="B572" i="12"/>
  <c r="B558" i="12"/>
  <c r="B559" i="12"/>
  <c r="B547" i="12"/>
  <c r="B548" i="12"/>
  <c r="B535" i="12"/>
  <c r="B536" i="12"/>
  <c r="B522" i="12"/>
  <c r="B520" i="12"/>
  <c r="B506" i="12"/>
  <c r="B504" i="12"/>
  <c r="B482" i="12"/>
  <c r="B480" i="12"/>
  <c r="B470" i="12"/>
  <c r="B471" i="12"/>
  <c r="B458" i="12"/>
  <c r="B459" i="12"/>
  <c r="B460" i="12"/>
  <c r="B447" i="12"/>
  <c r="B448" i="12"/>
  <c r="B426" i="12"/>
  <c r="B427" i="12"/>
  <c r="B414" i="12"/>
  <c r="B415" i="12"/>
  <c r="B416" i="12"/>
  <c r="B402" i="12"/>
  <c r="B403" i="12"/>
  <c r="B404" i="12"/>
  <c r="B391" i="12"/>
  <c r="B392" i="12"/>
  <c r="B382" i="12"/>
  <c r="B379" i="12"/>
  <c r="B380" i="12"/>
  <c r="B367" i="12"/>
  <c r="B368" i="12"/>
  <c r="B354" i="12"/>
  <c r="B355" i="12"/>
  <c r="B356" i="12"/>
  <c r="B339" i="12"/>
  <c r="B341" i="12"/>
  <c r="B338" i="12"/>
  <c r="B327" i="12"/>
  <c r="B329" i="12"/>
  <c r="B328" i="12"/>
  <c r="B315" i="12"/>
  <c r="B317" i="12"/>
  <c r="B314" i="12"/>
  <c r="B303" i="12"/>
  <c r="B301" i="12"/>
  <c r="B302" i="12"/>
  <c r="B291" i="12"/>
  <c r="B292" i="12"/>
  <c r="B293" i="12"/>
  <c r="B279" i="12"/>
  <c r="B280" i="12"/>
  <c r="B281" i="12"/>
  <c r="B282" i="12"/>
  <c r="B267" i="12"/>
  <c r="B264" i="12"/>
  <c r="B268" i="12"/>
  <c r="B265" i="12"/>
  <c r="B266" i="12"/>
  <c r="B251" i="12"/>
  <c r="B252" i="12"/>
  <c r="B253" i="12"/>
  <c r="B239" i="12"/>
  <c r="B237" i="12"/>
  <c r="B238" i="12"/>
  <c r="B224" i="12"/>
  <c r="B225" i="12"/>
  <c r="B226" i="12"/>
  <c r="B215" i="12"/>
  <c r="B213" i="12"/>
  <c r="B191" i="12"/>
  <c r="B192" i="12"/>
  <c r="B190" i="12"/>
  <c r="B179" i="12"/>
  <c r="B180" i="12"/>
  <c r="B178" i="12"/>
  <c r="B163" i="12"/>
  <c r="B164" i="12"/>
  <c r="B151" i="12"/>
  <c r="B152" i="12"/>
  <c r="B153" i="12"/>
  <c r="B139" i="12"/>
  <c r="B137" i="12"/>
  <c r="B138" i="12"/>
  <c r="B128" i="12"/>
  <c r="B129" i="12"/>
  <c r="B99" i="12"/>
  <c r="B100" i="12"/>
  <c r="B87" i="12"/>
  <c r="B85" i="12"/>
  <c r="B71" i="12"/>
  <c r="B72" i="12"/>
  <c r="B73" i="12"/>
  <c r="B55" i="12"/>
  <c r="B56" i="12"/>
  <c r="B53" i="12"/>
  <c r="B57" i="12"/>
  <c r="B40" i="12"/>
  <c r="B41" i="12"/>
  <c r="B42" i="12"/>
  <c r="B31" i="12"/>
  <c r="B32" i="12"/>
  <c r="B19" i="12"/>
  <c r="B20" i="12"/>
  <c r="B21" i="12"/>
  <c r="B589" i="12"/>
  <c r="B581" i="12"/>
  <c r="B573" i="12"/>
  <c r="B557" i="12"/>
  <c r="B541" i="12"/>
  <c r="B525" i="12"/>
  <c r="B509" i="12"/>
  <c r="B493" i="12"/>
  <c r="B477" i="12"/>
  <c r="B461" i="12"/>
  <c r="B445" i="12"/>
  <c r="B429" i="12"/>
  <c r="B413" i="12"/>
  <c r="B397" i="12"/>
  <c r="B381" i="12"/>
  <c r="B365" i="12"/>
  <c r="B349" i="12"/>
  <c r="B324" i="12"/>
  <c r="B278" i="12"/>
  <c r="B214" i="12"/>
  <c r="B150" i="12"/>
  <c r="B86" i="12"/>
  <c r="B22" i="12"/>
  <c r="E463" i="11"/>
  <c r="E443" i="11"/>
  <c r="E399" i="11"/>
  <c r="E379" i="11"/>
  <c r="E7" i="11"/>
  <c r="E332" i="11"/>
  <c r="E320" i="11"/>
  <c r="E304" i="11"/>
  <c r="E465" i="11"/>
  <c r="E453" i="11"/>
  <c r="E433" i="11"/>
  <c r="E421" i="11"/>
  <c r="E401" i="11"/>
  <c r="E389" i="11"/>
  <c r="E369" i="11"/>
  <c r="E357" i="11"/>
  <c r="E305" i="11"/>
  <c r="E265" i="11"/>
  <c r="E241" i="11"/>
  <c r="E201" i="11"/>
  <c r="E177" i="11"/>
  <c r="E478" i="11"/>
  <c r="E474" i="11"/>
  <c r="E470" i="11"/>
  <c r="E466" i="11"/>
  <c r="E462" i="11"/>
  <c r="E458" i="11"/>
  <c r="E454" i="11"/>
  <c r="E450" i="11"/>
  <c r="E446" i="11"/>
  <c r="E442" i="11"/>
  <c r="E438" i="11"/>
  <c r="E434" i="11"/>
  <c r="E430" i="11"/>
  <c r="E426" i="11"/>
  <c r="E422" i="11"/>
  <c r="E418" i="11"/>
  <c r="E414" i="11"/>
  <c r="E410" i="11"/>
  <c r="E406" i="11"/>
  <c r="E402" i="11"/>
  <c r="E398" i="11"/>
  <c r="E394" i="11"/>
  <c r="E390" i="11"/>
  <c r="E386" i="11"/>
  <c r="E382" i="11"/>
  <c r="E378" i="11"/>
  <c r="E374" i="11"/>
  <c r="E370" i="11"/>
  <c r="E366" i="11"/>
  <c r="E362" i="11"/>
  <c r="E358" i="11"/>
  <c r="E354" i="11"/>
  <c r="E350" i="11"/>
  <c r="E475" i="11"/>
  <c r="E431" i="11"/>
  <c r="E411" i="11"/>
  <c r="E367" i="11"/>
  <c r="E347" i="11"/>
  <c r="E346" i="11"/>
  <c r="E342" i="11"/>
  <c r="E338" i="11"/>
  <c r="E334" i="11"/>
  <c r="E330" i="11"/>
  <c r="E326" i="11"/>
  <c r="E322" i="11"/>
  <c r="E318" i="11"/>
  <c r="E314" i="11"/>
  <c r="E310" i="11"/>
  <c r="E306" i="11"/>
  <c r="E302" i="11"/>
  <c r="E298" i="11"/>
  <c r="E294" i="11"/>
  <c r="E290" i="11"/>
  <c r="E286" i="11"/>
  <c r="E282" i="11"/>
  <c r="E278" i="11"/>
  <c r="E274" i="11"/>
  <c r="E270" i="11"/>
  <c r="E266" i="11"/>
  <c r="E262" i="11"/>
  <c r="E258" i="11"/>
  <c r="E254" i="11"/>
  <c r="E250" i="11"/>
  <c r="E246" i="11"/>
  <c r="E242" i="11"/>
  <c r="E238" i="11"/>
  <c r="E234" i="11"/>
  <c r="E230" i="11"/>
  <c r="E226" i="11"/>
  <c r="E222" i="11"/>
  <c r="E218" i="11"/>
  <c r="E214" i="11"/>
  <c r="E210" i="11"/>
  <c r="E206" i="11"/>
  <c r="E202" i="11"/>
  <c r="E198" i="11"/>
  <c r="E194" i="11"/>
  <c r="E190" i="11"/>
  <c r="E186" i="11"/>
  <c r="E182" i="11"/>
  <c r="E178" i="11"/>
  <c r="E174" i="11"/>
  <c r="E170" i="11"/>
  <c r="E166" i="11"/>
  <c r="E162" i="11"/>
  <c r="E158" i="11"/>
  <c r="E154" i="11"/>
  <c r="E150" i="11"/>
  <c r="E146" i="11"/>
  <c r="E142" i="11"/>
  <c r="E138" i="11"/>
  <c r="E134" i="11"/>
  <c r="E130" i="11"/>
  <c r="E126" i="11"/>
  <c r="E122" i="11"/>
  <c r="E118" i="11"/>
  <c r="E114" i="11"/>
  <c r="E110" i="11"/>
  <c r="E106" i="11"/>
  <c r="E102" i="11"/>
  <c r="E98" i="11"/>
  <c r="E94" i="11"/>
  <c r="E90" i="11"/>
  <c r="E86" i="11"/>
  <c r="E82" i="11"/>
  <c r="E78" i="11"/>
  <c r="E74" i="11"/>
  <c r="E70" i="11"/>
  <c r="E66" i="11"/>
  <c r="E62" i="11"/>
  <c r="E58" i="11"/>
  <c r="E54" i="11"/>
  <c r="E50" i="11"/>
  <c r="E46" i="11"/>
  <c r="E42" i="11"/>
  <c r="E38" i="11"/>
  <c r="E34" i="11"/>
  <c r="E30" i="11"/>
  <c r="E26" i="11"/>
  <c r="E22" i="11"/>
  <c r="E18" i="11"/>
  <c r="E14" i="11"/>
  <c r="E10" i="11"/>
  <c r="E473" i="11"/>
  <c r="E461" i="11"/>
  <c r="E437" i="11"/>
  <c r="E425" i="11"/>
  <c r="E409" i="11"/>
  <c r="E397" i="11"/>
  <c r="E377" i="11"/>
  <c r="E365" i="11"/>
  <c r="E345" i="11"/>
  <c r="E329" i="11"/>
  <c r="E317" i="11"/>
  <c r="E309" i="11"/>
  <c r="E297" i="11"/>
  <c r="E289" i="11"/>
  <c r="E281" i="11"/>
  <c r="E269" i="11"/>
  <c r="E257" i="11"/>
  <c r="E249" i="11"/>
  <c r="E237" i="11"/>
  <c r="E225" i="11"/>
  <c r="E217" i="11"/>
  <c r="E209" i="11"/>
  <c r="E193" i="11"/>
  <c r="E185" i="11"/>
  <c r="E181" i="11"/>
  <c r="E173" i="11"/>
  <c r="E169" i="11"/>
  <c r="E165" i="11"/>
  <c r="E161" i="11"/>
  <c r="E157" i="11"/>
  <c r="E153" i="11"/>
  <c r="E145" i="11"/>
  <c r="E141" i="11"/>
  <c r="E137" i="11"/>
  <c r="E133" i="11"/>
  <c r="E129" i="11"/>
  <c r="E125" i="11"/>
  <c r="E121" i="11"/>
  <c r="E117" i="11"/>
  <c r="E113" i="11"/>
  <c r="E109" i="11"/>
  <c r="E105" i="11"/>
  <c r="E101" i="11"/>
  <c r="E97" i="11"/>
  <c r="E93" i="11"/>
  <c r="E89" i="11"/>
  <c r="E85" i="11"/>
  <c r="E81" i="11"/>
  <c r="E77" i="11"/>
  <c r="E73" i="11"/>
  <c r="E69" i="11"/>
  <c r="E65" i="11"/>
  <c r="E61" i="11"/>
  <c r="E57" i="11"/>
  <c r="E53" i="11"/>
  <c r="E49" i="11"/>
  <c r="E45" i="11"/>
  <c r="E41" i="11"/>
  <c r="E37" i="11"/>
  <c r="E33" i="11"/>
  <c r="E29" i="11"/>
  <c r="E25" i="11"/>
  <c r="E21" i="11"/>
  <c r="E17" i="11"/>
  <c r="E13" i="11"/>
  <c r="E9" i="11"/>
  <c r="E477" i="11"/>
  <c r="E449" i="11"/>
  <c r="E441" i="11"/>
  <c r="E417" i="11"/>
  <c r="E405" i="11"/>
  <c r="E393" i="11"/>
  <c r="E381" i="11"/>
  <c r="E353" i="11"/>
  <c r="E341" i="11"/>
  <c r="E333" i="11"/>
  <c r="E325" i="11"/>
  <c r="E313" i="11"/>
  <c r="E293" i="11"/>
  <c r="E285" i="11"/>
  <c r="E277" i="11"/>
  <c r="E273" i="11"/>
  <c r="E261" i="11"/>
  <c r="E253" i="11"/>
  <c r="E245" i="11"/>
  <c r="E233" i="11"/>
  <c r="E221" i="11"/>
  <c r="E213" i="11"/>
  <c r="E205" i="11"/>
  <c r="E197" i="11"/>
  <c r="E189" i="11"/>
  <c r="E149" i="11"/>
  <c r="E340" i="11"/>
  <c r="E469" i="11"/>
  <c r="E457" i="11"/>
  <c r="E445" i="11"/>
  <c r="E429" i="11"/>
  <c r="E413" i="11"/>
  <c r="E385" i="11"/>
  <c r="E373" i="11"/>
  <c r="E361" i="11"/>
  <c r="E349" i="11"/>
  <c r="E337" i="11"/>
  <c r="E321" i="11"/>
  <c r="E301" i="11"/>
  <c r="E229" i="11"/>
  <c r="E6" i="11"/>
  <c r="E479" i="11"/>
  <c r="E471" i="11"/>
  <c r="E467" i="11"/>
  <c r="E459" i="11"/>
  <c r="E455" i="11"/>
  <c r="E451" i="11"/>
  <c r="E447" i="11"/>
  <c r="E439" i="11"/>
  <c r="E435" i="11"/>
  <c r="E427" i="11"/>
  <c r="E423" i="11"/>
  <c r="E419" i="11"/>
  <c r="E415" i="11"/>
  <c r="E407" i="11"/>
  <c r="E403" i="11"/>
  <c r="E395" i="11"/>
  <c r="E391" i="11"/>
  <c r="E387" i="11"/>
  <c r="E383" i="11"/>
  <c r="E375" i="11"/>
  <c r="E371" i="11"/>
  <c r="E363" i="11"/>
  <c r="E359" i="11"/>
  <c r="E355" i="11"/>
  <c r="E351" i="11"/>
  <c r="E343" i="11"/>
  <c r="E476" i="11"/>
  <c r="E472" i="11"/>
  <c r="E468" i="11"/>
  <c r="E464" i="11"/>
  <c r="E460" i="11"/>
  <c r="E456" i="11"/>
  <c r="E452" i="11"/>
  <c r="E448" i="11"/>
  <c r="E444" i="11"/>
  <c r="E440" i="11"/>
  <c r="E436" i="11"/>
  <c r="E432" i="11"/>
  <c r="E428" i="11"/>
  <c r="E424" i="11"/>
  <c r="E420" i="11"/>
  <c r="E416" i="11"/>
  <c r="E412" i="11"/>
  <c r="E408" i="11"/>
  <c r="E404" i="11"/>
  <c r="E400" i="11"/>
  <c r="E396" i="11"/>
  <c r="E392" i="11"/>
  <c r="E388" i="11"/>
  <c r="E384" i="11"/>
  <c r="E380" i="11"/>
  <c r="E376" i="11"/>
  <c r="E372" i="11"/>
  <c r="E368" i="11"/>
  <c r="E364" i="11"/>
  <c r="E360" i="11"/>
  <c r="E356" i="11"/>
  <c r="E352" i="11"/>
  <c r="E348" i="11"/>
  <c r="E344" i="11"/>
  <c r="E336" i="11"/>
  <c r="E328" i="11"/>
  <c r="E324" i="11"/>
  <c r="E316" i="11"/>
  <c r="E312" i="11"/>
  <c r="E308" i="11"/>
  <c r="E300" i="11"/>
  <c r="E296" i="11"/>
  <c r="E292" i="11"/>
  <c r="E288" i="11"/>
  <c r="E284" i="11"/>
  <c r="E280" i="11"/>
  <c r="E276" i="11"/>
  <c r="E272" i="11"/>
  <c r="E268" i="11"/>
  <c r="E264" i="11"/>
  <c r="E260" i="11"/>
  <c r="E256" i="11"/>
  <c r="E252" i="11"/>
  <c r="E248" i="11"/>
  <c r="E244" i="11"/>
  <c r="E240" i="11"/>
  <c r="E236" i="11"/>
  <c r="E232" i="11"/>
  <c r="E228" i="11"/>
  <c r="E224" i="11"/>
  <c r="E220" i="11"/>
  <c r="E216" i="11"/>
  <c r="E212" i="11"/>
  <c r="E208" i="11"/>
  <c r="E204" i="11"/>
  <c r="E200" i="11"/>
  <c r="E196" i="11"/>
  <c r="E192" i="11"/>
  <c r="E188" i="11"/>
  <c r="E184" i="11"/>
  <c r="E180" i="11"/>
  <c r="E176" i="11"/>
  <c r="E172" i="11"/>
  <c r="E168" i="11"/>
  <c r="E164" i="11"/>
  <c r="E160" i="11"/>
  <c r="E156" i="11"/>
  <c r="E152" i="11"/>
  <c r="E148" i="11"/>
  <c r="E144" i="11"/>
  <c r="E140" i="11"/>
  <c r="E136" i="11"/>
  <c r="E132" i="11"/>
  <c r="E128" i="11"/>
  <c r="E124" i="11"/>
  <c r="E120" i="11"/>
  <c r="E116" i="11"/>
  <c r="E112" i="11"/>
  <c r="E108" i="11"/>
  <c r="E104" i="11"/>
  <c r="E100" i="11"/>
  <c r="E96" i="11"/>
  <c r="E92" i="11"/>
  <c r="E88" i="11"/>
  <c r="E84" i="11"/>
  <c r="E80" i="11"/>
  <c r="E76" i="11"/>
  <c r="E72" i="11"/>
  <c r="E68" i="11"/>
  <c r="E64" i="11"/>
  <c r="E60" i="11"/>
  <c r="E56" i="11"/>
  <c r="E52" i="11"/>
  <c r="E48" i="11"/>
  <c r="E44" i="11"/>
  <c r="E40" i="11"/>
  <c r="E36" i="11"/>
  <c r="E32" i="11"/>
  <c r="E28" i="11"/>
  <c r="E24" i="11"/>
  <c r="E20" i="11"/>
  <c r="E16" i="11"/>
  <c r="E12" i="11"/>
  <c r="E8" i="11"/>
  <c r="E339" i="11"/>
  <c r="E335" i="11"/>
  <c r="E331" i="11"/>
  <c r="E327" i="11"/>
  <c r="E323" i="11"/>
  <c r="E319" i="11"/>
  <c r="E315" i="11"/>
  <c r="E311" i="11"/>
  <c r="E307" i="11"/>
  <c r="E303" i="11"/>
  <c r="E299" i="11"/>
  <c r="E295" i="11"/>
  <c r="E291" i="11"/>
  <c r="E287" i="11"/>
  <c r="E283" i="11"/>
  <c r="E279" i="11"/>
  <c r="E275" i="11"/>
  <c r="E271" i="11"/>
  <c r="E267" i="11"/>
  <c r="E263" i="11"/>
  <c r="E259" i="11"/>
  <c r="E255" i="11"/>
  <c r="E251" i="11"/>
  <c r="E247" i="11"/>
  <c r="E243" i="11"/>
  <c r="E239" i="11"/>
  <c r="E235" i="11"/>
  <c r="E231" i="11"/>
  <c r="E227" i="11"/>
  <c r="E223" i="11"/>
  <c r="E219" i="11"/>
  <c r="E215" i="11"/>
  <c r="E211" i="11"/>
  <c r="E207" i="11"/>
  <c r="E203" i="11"/>
  <c r="E199" i="11"/>
  <c r="E195" i="11"/>
  <c r="E191" i="11"/>
  <c r="E187" i="11"/>
  <c r="E183" i="11"/>
  <c r="E179" i="11"/>
  <c r="E175" i="11"/>
  <c r="E171" i="11"/>
  <c r="E167" i="11"/>
  <c r="E163" i="11"/>
  <c r="E159" i="11"/>
  <c r="E155" i="11"/>
  <c r="E151" i="11"/>
  <c r="E147" i="11"/>
  <c r="E143" i="11"/>
  <c r="E139" i="11"/>
  <c r="E135" i="11"/>
  <c r="E131" i="11"/>
  <c r="E127" i="11"/>
  <c r="E123" i="11"/>
  <c r="E119" i="11"/>
  <c r="E115" i="11"/>
  <c r="E111" i="11"/>
  <c r="E107" i="11"/>
  <c r="E103" i="11"/>
  <c r="E99" i="11"/>
  <c r="E95" i="11"/>
  <c r="E91" i="11"/>
  <c r="E87" i="11"/>
  <c r="E83" i="11"/>
  <c r="E79" i="11"/>
  <c r="E75" i="11"/>
  <c r="E71" i="11"/>
  <c r="E67" i="11"/>
  <c r="E63" i="11"/>
  <c r="E59" i="11"/>
  <c r="E55" i="11"/>
  <c r="E51" i="11"/>
  <c r="E47" i="11"/>
  <c r="E43" i="11"/>
  <c r="E39" i="11"/>
  <c r="E35" i="11"/>
  <c r="E31" i="11"/>
  <c r="E27" i="11"/>
  <c r="E23" i="11"/>
  <c r="E19" i="11"/>
  <c r="E15" i="11"/>
  <c r="E11" i="11"/>
  <c r="N480" i="11"/>
  <c r="E480" i="11" s="1"/>
  <c r="N481" i="11"/>
  <c r="E481" i="11" s="1"/>
  <c r="N482" i="11"/>
  <c r="E482" i="11" s="1"/>
  <c r="N483" i="11"/>
  <c r="E483" i="11" s="1"/>
  <c r="N484" i="11"/>
  <c r="E484" i="11" s="1"/>
  <c r="N485" i="11"/>
  <c r="E485" i="11" s="1"/>
  <c r="N486" i="11"/>
  <c r="E486" i="11" s="1"/>
  <c r="N487" i="11"/>
  <c r="E487" i="11" s="1"/>
  <c r="N488" i="11"/>
  <c r="E488" i="11" s="1"/>
  <c r="N489" i="11"/>
  <c r="E489" i="11" s="1"/>
  <c r="N490" i="11"/>
  <c r="E490" i="11" s="1"/>
  <c r="N491" i="11"/>
  <c r="E491" i="11" s="1"/>
  <c r="N492" i="11"/>
  <c r="E492" i="11" s="1"/>
  <c r="N493" i="11"/>
  <c r="E493" i="11" s="1"/>
  <c r="N494" i="11"/>
  <c r="E494" i="11" s="1"/>
  <c r="N495" i="11"/>
  <c r="E495" i="11" s="1"/>
  <c r="N496" i="11"/>
  <c r="E496" i="11" s="1"/>
  <c r="N497" i="11"/>
  <c r="E497" i="11" s="1"/>
  <c r="N498" i="11"/>
  <c r="E498" i="11" s="1"/>
  <c r="N499" i="11"/>
  <c r="E499" i="11" s="1"/>
  <c r="N500" i="11"/>
  <c r="E500" i="11" s="1"/>
  <c r="N501" i="11"/>
  <c r="E501" i="11" s="1"/>
  <c r="N502" i="11"/>
  <c r="E502" i="11" s="1"/>
  <c r="N503" i="11"/>
  <c r="E503" i="11" s="1"/>
  <c r="N504" i="11"/>
  <c r="E504" i="11" s="1"/>
  <c r="N505" i="11"/>
  <c r="E505" i="11" s="1"/>
  <c r="N506" i="11"/>
  <c r="E506" i="11" s="1"/>
  <c r="N507" i="11"/>
  <c r="E507" i="11" s="1"/>
  <c r="N508" i="11"/>
  <c r="E508" i="11" s="1"/>
  <c r="N509" i="11"/>
  <c r="E509" i="11" s="1"/>
  <c r="N510" i="11"/>
  <c r="E510" i="11" s="1"/>
  <c r="N511" i="11"/>
  <c r="E511" i="11" s="1"/>
  <c r="N512" i="11"/>
  <c r="E512" i="11" s="1"/>
  <c r="N513" i="11"/>
  <c r="E513" i="11" s="1"/>
  <c r="N514" i="11"/>
  <c r="E514" i="11" s="1"/>
  <c r="N515" i="11"/>
  <c r="E515" i="11" s="1"/>
  <c r="N516" i="11"/>
  <c r="E516" i="11" s="1"/>
  <c r="N517" i="11"/>
  <c r="E517" i="11" s="1"/>
  <c r="N518" i="11"/>
  <c r="E518" i="11" s="1"/>
  <c r="N519" i="11"/>
  <c r="E519" i="11" s="1"/>
  <c r="N520" i="11"/>
  <c r="E520" i="11" s="1"/>
  <c r="N521" i="11"/>
  <c r="E521" i="11" s="1"/>
  <c r="N522" i="11"/>
  <c r="E522" i="11" s="1"/>
  <c r="N523" i="11"/>
  <c r="E523" i="11" s="1"/>
  <c r="N524" i="11"/>
  <c r="E524" i="11" s="1"/>
  <c r="N525" i="11"/>
  <c r="E525" i="11" s="1"/>
  <c r="N526" i="11"/>
  <c r="E526" i="11" s="1"/>
  <c r="N527" i="11"/>
  <c r="E527" i="11" s="1"/>
  <c r="N528" i="11"/>
  <c r="E528" i="11" s="1"/>
  <c r="N529" i="11"/>
  <c r="E529" i="11" s="1"/>
  <c r="N530" i="11"/>
  <c r="E530" i="11" s="1"/>
  <c r="N531" i="11"/>
  <c r="E531" i="11" s="1"/>
  <c r="N532" i="11"/>
  <c r="E532" i="11" s="1"/>
  <c r="N533" i="11"/>
  <c r="E533" i="11" s="1"/>
  <c r="N534" i="11"/>
  <c r="E534" i="11" s="1"/>
  <c r="N535" i="11"/>
  <c r="E535" i="11" s="1"/>
  <c r="N536" i="11"/>
  <c r="E536" i="11" s="1"/>
  <c r="N537" i="11"/>
  <c r="E537" i="11" s="1"/>
  <c r="N538" i="11"/>
  <c r="E538" i="11" s="1"/>
  <c r="N539" i="11"/>
  <c r="E539" i="11" s="1"/>
  <c r="N540" i="11"/>
  <c r="E540" i="11" s="1"/>
  <c r="N541" i="11"/>
  <c r="E541" i="11" s="1"/>
  <c r="N542" i="11"/>
  <c r="E542" i="11" s="1"/>
  <c r="N543" i="11"/>
  <c r="E543" i="11" s="1"/>
  <c r="N544" i="11"/>
  <c r="E544" i="11" s="1"/>
  <c r="N545" i="11"/>
  <c r="E545" i="11" s="1"/>
  <c r="N546" i="11"/>
  <c r="E546" i="11" s="1"/>
  <c r="N547" i="11"/>
  <c r="E547" i="11" s="1"/>
  <c r="N548" i="11"/>
  <c r="E548" i="11" s="1"/>
  <c r="N549" i="11"/>
  <c r="E549" i="11" s="1"/>
  <c r="N550" i="11"/>
  <c r="E550" i="11" s="1"/>
  <c r="N551" i="11"/>
  <c r="E551" i="11" s="1"/>
  <c r="N552" i="11"/>
  <c r="E552" i="11" s="1"/>
  <c r="N553" i="11"/>
  <c r="E553" i="11" s="1"/>
  <c r="N554" i="11"/>
  <c r="E554" i="11" s="1"/>
  <c r="N555" i="11"/>
  <c r="E555" i="11" s="1"/>
  <c r="N556" i="11"/>
  <c r="E556" i="11" s="1"/>
  <c r="N557" i="11"/>
  <c r="E557" i="11" s="1"/>
  <c r="N558" i="11"/>
  <c r="E558" i="11" s="1"/>
  <c r="N559" i="11"/>
  <c r="E559" i="11" s="1"/>
  <c r="N560" i="11"/>
  <c r="E560" i="11" s="1"/>
  <c r="N561" i="11"/>
  <c r="E561" i="11" s="1"/>
  <c r="N562" i="11"/>
  <c r="E562" i="11" s="1"/>
  <c r="N563" i="11"/>
  <c r="E563" i="11" s="1"/>
  <c r="N564" i="11"/>
  <c r="E564" i="11" s="1"/>
  <c r="N565" i="11"/>
  <c r="E565" i="11" s="1"/>
  <c r="N566" i="11"/>
  <c r="E566" i="11" s="1"/>
  <c r="N567" i="11"/>
  <c r="E567" i="11" s="1"/>
  <c r="N568" i="11"/>
  <c r="E568" i="11" s="1"/>
  <c r="N569" i="11"/>
  <c r="E569" i="11" s="1"/>
  <c r="N570" i="11"/>
  <c r="E570" i="11" s="1"/>
  <c r="N571" i="11"/>
  <c r="E571" i="11" s="1"/>
  <c r="N572" i="11"/>
  <c r="E572" i="11" s="1"/>
  <c r="N573" i="11"/>
  <c r="E573" i="11" s="1"/>
  <c r="N574" i="11"/>
  <c r="E574" i="11" s="1"/>
  <c r="N575" i="11"/>
  <c r="E575" i="11" s="1"/>
  <c r="N576" i="11"/>
  <c r="E576" i="11" s="1"/>
  <c r="N577" i="11"/>
  <c r="E577" i="11" s="1"/>
  <c r="N578" i="11"/>
  <c r="E578" i="11" s="1"/>
  <c r="N579" i="11"/>
  <c r="E579" i="11" s="1"/>
  <c r="N580" i="11"/>
  <c r="E580" i="11" s="1"/>
  <c r="N581" i="11"/>
  <c r="E581" i="11" s="1"/>
  <c r="N582" i="11"/>
  <c r="E582" i="11" s="1"/>
  <c r="N583" i="11"/>
  <c r="E583" i="11" s="1"/>
  <c r="N584" i="11"/>
  <c r="E584" i="11" s="1"/>
  <c r="N585" i="11"/>
  <c r="E585" i="11" s="1"/>
  <c r="N586" i="11"/>
  <c r="E586" i="11" s="1"/>
  <c r="N587" i="11"/>
  <c r="E587" i="11" s="1"/>
  <c r="N588" i="11"/>
  <c r="E588" i="11" s="1"/>
  <c r="N589" i="11"/>
  <c r="E589" i="11" s="1"/>
  <c r="N590" i="11"/>
  <c r="E590" i="11" s="1"/>
  <c r="N591" i="11"/>
  <c r="E591" i="11" s="1"/>
  <c r="N592" i="11"/>
  <c r="E592" i="11" s="1"/>
  <c r="N593" i="11"/>
  <c r="E593" i="11" s="1"/>
  <c r="N594" i="11"/>
  <c r="E594" i="11" s="1"/>
  <c r="N595" i="11"/>
  <c r="E595" i="11" s="1"/>
  <c r="N596" i="11"/>
  <c r="E596" i="11" s="1"/>
  <c r="N597" i="11"/>
  <c r="E597" i="11" s="1"/>
  <c r="N598" i="11"/>
  <c r="E598" i="11" s="1"/>
  <c r="N599" i="11"/>
  <c r="E599" i="11" s="1"/>
  <c r="N600" i="11"/>
  <c r="E600" i="11" s="1"/>
  <c r="N601" i="11"/>
  <c r="E601" i="11" s="1"/>
  <c r="N602" i="11"/>
  <c r="E602" i="11" s="1"/>
  <c r="N603" i="11"/>
  <c r="E603" i="11" s="1"/>
  <c r="N604" i="11"/>
  <c r="E604" i="11" s="1"/>
  <c r="N605" i="11"/>
  <c r="E605" i="11" s="1"/>
  <c r="N606" i="11"/>
  <c r="E606" i="11" s="1"/>
  <c r="N607" i="11"/>
  <c r="E607" i="11" s="1"/>
  <c r="N608" i="11"/>
  <c r="E608" i="11" s="1"/>
  <c r="N609" i="11"/>
  <c r="E609" i="11" s="1"/>
  <c r="N610" i="11"/>
  <c r="E610" i="11" s="1"/>
  <c r="N611" i="11"/>
  <c r="E611" i="11" s="1"/>
  <c r="N612" i="11"/>
  <c r="E612" i="11" s="1"/>
  <c r="N613" i="11"/>
  <c r="E613" i="11" s="1"/>
  <c r="N614" i="11"/>
  <c r="E614" i="11" s="1"/>
  <c r="N615" i="11"/>
  <c r="E615" i="11" s="1"/>
  <c r="N616" i="11"/>
  <c r="E616" i="11" s="1"/>
  <c r="N617" i="11"/>
  <c r="E617" i="11" s="1"/>
  <c r="N618" i="11"/>
  <c r="E618" i="11" s="1"/>
  <c r="N619" i="11"/>
  <c r="E619" i="11" s="1"/>
  <c r="N620" i="11"/>
  <c r="E620" i="11" s="1"/>
  <c r="N621" i="11"/>
  <c r="E621" i="11" s="1"/>
  <c r="N622" i="11"/>
  <c r="E622" i="11" s="1"/>
  <c r="N623" i="11"/>
  <c r="E623" i="11" s="1"/>
  <c r="N624" i="11"/>
  <c r="E624" i="11" s="1"/>
  <c r="N625" i="11"/>
  <c r="E625" i="11" s="1"/>
  <c r="N626" i="11"/>
  <c r="E626" i="11" s="1"/>
  <c r="N627" i="11"/>
  <c r="E627" i="11" s="1"/>
  <c r="N628" i="11"/>
  <c r="E628" i="11" s="1"/>
  <c r="N629" i="11"/>
  <c r="E629" i="11" s="1"/>
  <c r="N630" i="11"/>
  <c r="E630"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Ravi Radhakrishnan</author>
  </authors>
  <commentList>
    <comment ref="C1" authorId="0" shapeId="0" xr:uid="{00000000-0006-0000-0000-000001000000}">
      <text>
        <r>
          <rPr>
            <b/>
            <sz val="9"/>
            <color indexed="81"/>
            <rFont val="Tahoma"/>
            <family val="2"/>
          </rPr>
          <t>Ravi Radhakrishnan:</t>
        </r>
        <r>
          <rPr>
            <sz val="9"/>
            <color indexed="81"/>
            <rFont val="Tahoma"/>
            <family val="2"/>
          </rPr>
          <t xml:space="preserve">
Annual
Biennial</t>
        </r>
      </text>
    </comment>
    <comment ref="K1" authorId="0" shapeId="0" xr:uid="{00000000-0006-0000-0000-000002000000}">
      <text>
        <r>
          <rPr>
            <b/>
            <sz val="9"/>
            <color indexed="81"/>
            <rFont val="Tahoma"/>
            <charset val="1"/>
          </rPr>
          <t>Ravi Radhakrishnan:</t>
        </r>
        <r>
          <rPr>
            <sz val="9"/>
            <color indexed="81"/>
            <rFont val="Tahoma"/>
            <charset val="1"/>
          </rPr>
          <t xml:space="preserve">
Yes/No
</t>
        </r>
      </text>
    </comment>
    <comment ref="N1" authorId="0" shapeId="0" xr:uid="{00000000-0006-0000-0000-000003000000}">
      <text>
        <r>
          <rPr>
            <b/>
            <sz val="9"/>
            <color indexed="81"/>
            <rFont val="Tahoma"/>
            <charset val="1"/>
          </rPr>
          <t>Ravi Radhakrishnan:</t>
        </r>
        <r>
          <rPr>
            <sz val="9"/>
            <color indexed="81"/>
            <rFont val="Tahoma"/>
            <charset val="1"/>
          </rPr>
          <t xml:space="preserve">
Grant is Federal Programme</t>
        </r>
      </text>
    </comment>
    <comment ref="P1" authorId="0" shapeId="0" xr:uid="{00000000-0006-0000-0000-000004000000}">
      <text>
        <r>
          <rPr>
            <b/>
            <sz val="9"/>
            <color indexed="81"/>
            <rFont val="Tahoma"/>
            <charset val="1"/>
          </rPr>
          <t>Ravi Radhakrishnan:</t>
        </r>
        <r>
          <rPr>
            <sz val="9"/>
            <color indexed="81"/>
            <rFont val="Tahoma"/>
            <charset val="1"/>
          </rPr>
          <t xml:space="preserve">
Shoud be same as Federal Financial Report</t>
        </r>
      </text>
    </comment>
    <comment ref="Q1" authorId="0" shapeId="0" xr:uid="{00000000-0006-0000-0000-000005000000}">
      <text>
        <r>
          <rPr>
            <b/>
            <sz val="9"/>
            <color indexed="81"/>
            <rFont val="Tahoma"/>
            <charset val="1"/>
          </rPr>
          <t>Ravi Radhakrishnan:</t>
        </r>
        <r>
          <rPr>
            <sz val="9"/>
            <color indexed="81"/>
            <rFont val="Tahoma"/>
            <charset val="1"/>
          </rPr>
          <t xml:space="preserve">
Yes/No</t>
        </r>
      </text>
    </comment>
    <comment ref="R1" authorId="0" shapeId="0" xr:uid="{00000000-0006-0000-0000-000006000000}">
      <text>
        <r>
          <rPr>
            <b/>
            <sz val="9"/>
            <color indexed="81"/>
            <rFont val="Tahoma"/>
            <charset val="1"/>
          </rPr>
          <t>Ravi Radhakrishnan:</t>
        </r>
        <r>
          <rPr>
            <sz val="9"/>
            <color indexed="81"/>
            <rFont val="Tahoma"/>
            <charset val="1"/>
          </rPr>
          <t xml:space="preserve">
Yes/No</t>
        </r>
      </text>
    </comment>
    <comment ref="S1" authorId="0" shapeId="0" xr:uid="{00000000-0006-0000-0000-000007000000}">
      <text>
        <r>
          <rPr>
            <b/>
            <sz val="9"/>
            <color indexed="81"/>
            <rFont val="Tahoma"/>
            <charset val="1"/>
          </rPr>
          <t>Ravi Radhakrishnan:</t>
        </r>
        <r>
          <rPr>
            <sz val="9"/>
            <color indexed="81"/>
            <rFont val="Tahoma"/>
            <charset val="1"/>
          </rPr>
          <t xml:space="preserve">
U = Unqualified opinion, 
Q = Qualified opinion, 
A = Adverse opinion, 
D = Disclaimer of opinion)</t>
        </r>
      </text>
    </comment>
    <comment ref="V1" authorId="0" shapeId="0" xr:uid="{00000000-0006-0000-0000-000008000000}">
      <text>
        <r>
          <rPr>
            <b/>
            <sz val="9"/>
            <color indexed="81"/>
            <rFont val="Tahoma"/>
            <charset val="1"/>
          </rPr>
          <t>Ravi Radhakrishnan:</t>
        </r>
        <r>
          <rPr>
            <sz val="9"/>
            <color indexed="81"/>
            <rFont val="Tahoma"/>
            <charset val="1"/>
          </rPr>
          <t xml:space="preserve">
Worksheet Data set working C14
Same as of TYPEREQUIREMENT Findings20</t>
        </r>
      </text>
    </comment>
    <comment ref="W1" authorId="0" shapeId="0" xr:uid="{00000000-0006-0000-0000-000009000000}">
      <text>
        <r>
          <rPr>
            <b/>
            <sz val="9"/>
            <color indexed="81"/>
            <rFont val="Tahoma"/>
            <family val="2"/>
          </rPr>
          <t>Ravi Radhakrishnan:</t>
        </r>
        <r>
          <rPr>
            <sz val="9"/>
            <color indexed="81"/>
            <rFont val="Tahoma"/>
            <family val="2"/>
          </rPr>
          <t xml:space="preserve">
Same as MODIFIEDOPINION of Findings20</t>
        </r>
      </text>
    </comment>
    <comment ref="X1" authorId="0" shapeId="0" xr:uid="{00000000-0006-0000-0000-00000A000000}">
      <text>
        <r>
          <rPr>
            <b/>
            <sz val="9"/>
            <color indexed="81"/>
            <rFont val="Tahoma"/>
            <family val="2"/>
          </rPr>
          <t>Ravi Radhakrishnan:</t>
        </r>
        <r>
          <rPr>
            <sz val="9"/>
            <color indexed="81"/>
            <rFont val="Tahoma"/>
            <family val="2"/>
          </rPr>
          <t xml:space="preserve">
Same as OTHERNONCOMPLIANCE of Findings20</t>
        </r>
      </text>
    </comment>
    <comment ref="Y1" authorId="0" shapeId="0" xr:uid="{00000000-0006-0000-0000-00000B000000}">
      <text>
        <r>
          <rPr>
            <b/>
            <sz val="9"/>
            <color indexed="81"/>
            <rFont val="Tahoma"/>
            <family val="2"/>
          </rPr>
          <t>Ravi Radhakrishnan:</t>
        </r>
        <r>
          <rPr>
            <sz val="9"/>
            <color indexed="81"/>
            <rFont val="Tahoma"/>
            <family val="2"/>
          </rPr>
          <t xml:space="preserve">
Same as MATERIALWEAKNESS of Findings20</t>
        </r>
      </text>
    </comment>
    <comment ref="Z1" authorId="0" shapeId="0" xr:uid="{00000000-0006-0000-0000-00000C000000}">
      <text>
        <r>
          <rPr>
            <b/>
            <sz val="9"/>
            <color indexed="81"/>
            <rFont val="Tahoma"/>
            <family val="2"/>
          </rPr>
          <t>Ravi Radhakrishnan:</t>
        </r>
        <r>
          <rPr>
            <sz val="9"/>
            <color indexed="81"/>
            <rFont val="Tahoma"/>
            <family val="2"/>
          </rPr>
          <t xml:space="preserve">
Same as SIGNIFICANTDEFICIENCY of Findings20</t>
        </r>
      </text>
    </comment>
    <comment ref="AA1" authorId="0" shapeId="0" xr:uid="{00000000-0006-0000-0000-00000D000000}">
      <text>
        <r>
          <rPr>
            <b/>
            <sz val="9"/>
            <color indexed="81"/>
            <rFont val="Tahoma"/>
            <family val="2"/>
          </rPr>
          <t>Ravi Radhakrishnan:</t>
        </r>
        <r>
          <rPr>
            <sz val="9"/>
            <color indexed="81"/>
            <rFont val="Tahoma"/>
            <family val="2"/>
          </rPr>
          <t xml:space="preserve">
Same as OTHERFINDINGS of Findings20</t>
        </r>
      </text>
    </comment>
    <comment ref="AB1" authorId="0" shapeId="0" xr:uid="{00000000-0006-0000-0000-00000E000000}">
      <text>
        <r>
          <rPr>
            <b/>
            <sz val="9"/>
            <color indexed="81"/>
            <rFont val="Tahoma"/>
            <family val="2"/>
          </rPr>
          <t>Ravi Radhakrishnan:</t>
        </r>
        <r>
          <rPr>
            <sz val="9"/>
            <color indexed="81"/>
            <rFont val="Tahoma"/>
            <family val="2"/>
          </rPr>
          <t xml:space="preserve">
Same as QCOSTS of Findings20</t>
        </r>
      </text>
    </comment>
    <comment ref="AC1" authorId="0" shapeId="0" xr:uid="{00000000-0006-0000-0000-00000F000000}">
      <text>
        <r>
          <rPr>
            <b/>
            <sz val="9"/>
            <color indexed="81"/>
            <rFont val="Tahoma"/>
            <family val="2"/>
          </rPr>
          <t>Ravi Radhakrishnan:</t>
        </r>
        <r>
          <rPr>
            <sz val="9"/>
            <color indexed="81"/>
            <rFont val="Tahoma"/>
            <family val="2"/>
          </rPr>
          <t xml:space="preserve">
Same as REPEATFINDING of Findings20</t>
        </r>
      </text>
    </comment>
    <comment ref="AD1" authorId="0" shapeId="0" xr:uid="{00000000-0006-0000-0000-000010000000}">
      <text>
        <r>
          <rPr>
            <b/>
            <sz val="9"/>
            <color indexed="81"/>
            <rFont val="Tahoma"/>
            <family val="2"/>
          </rPr>
          <t>Ravi Radhakrishnan:</t>
        </r>
        <r>
          <rPr>
            <sz val="9"/>
            <color indexed="81"/>
            <rFont val="Tahoma"/>
            <family val="2"/>
          </rPr>
          <t xml:space="preserve">
Same as PRIORFINDINGREFNUMS of Findings20</t>
        </r>
      </text>
    </comment>
    <comment ref="AE1" authorId="0" shapeId="0" xr:uid="{00000000-0006-0000-0000-000011000000}">
      <text>
        <r>
          <rPr>
            <b/>
            <sz val="9"/>
            <color indexed="81"/>
            <rFont val="Tahoma"/>
            <family val="2"/>
          </rPr>
          <t>Ravi Radhakrishnan:</t>
        </r>
        <r>
          <rPr>
            <sz val="9"/>
            <color indexed="81"/>
            <rFont val="Tahoma"/>
            <family val="2"/>
          </rPr>
          <t xml:space="preserve">
Same as TEXT of Findingstext20 </t>
        </r>
      </text>
    </comment>
    <comment ref="AG1" authorId="0" shapeId="0" xr:uid="{00000000-0006-0000-0000-000012000000}">
      <text>
        <r>
          <rPr>
            <b/>
            <sz val="9"/>
            <color indexed="81"/>
            <rFont val="Tahoma"/>
            <family val="2"/>
          </rPr>
          <t>Ravi Radhakrishnan:</t>
        </r>
        <r>
          <rPr>
            <sz val="9"/>
            <color indexed="81"/>
            <rFont val="Tahoma"/>
            <family val="2"/>
          </rPr>
          <t xml:space="preserve">
Text of Captext20</t>
        </r>
      </text>
    </comment>
    <comment ref="AH1" authorId="0" shapeId="0" xr:uid="{00000000-0006-0000-0000-000013000000}">
      <text>
        <r>
          <rPr>
            <b/>
            <sz val="9"/>
            <color indexed="81"/>
            <rFont val="Tahoma"/>
            <family val="2"/>
          </rPr>
          <t>Ravi Radhakrishnan:</t>
        </r>
        <r>
          <rPr>
            <sz val="9"/>
            <color indexed="81"/>
            <rFont val="Tahoma"/>
            <family val="2"/>
          </rPr>
          <t xml:space="preserve">
Same as REPORTID of NOTES20</t>
        </r>
      </text>
    </comment>
    <comment ref="AJ1" authorId="0" shapeId="0" xr:uid="{00000000-0006-0000-0000-000014000000}">
      <text>
        <r>
          <rPr>
            <b/>
            <sz val="9"/>
            <color indexed="81"/>
            <rFont val="Tahoma"/>
            <family val="2"/>
          </rPr>
          <t>Ravi Radhakrishnan:</t>
        </r>
        <r>
          <rPr>
            <sz val="9"/>
            <color indexed="81"/>
            <rFont val="Tahoma"/>
            <family val="2"/>
          </rPr>
          <t xml:space="preserve">
Same as CONTENT in NOTES20</t>
        </r>
      </text>
    </comment>
    <comment ref="AM1" authorId="0" shapeId="0" xr:uid="{00000000-0006-0000-0000-000015000000}">
      <text>
        <r>
          <rPr>
            <b/>
            <sz val="9"/>
            <color indexed="81"/>
            <rFont val="Tahoma"/>
            <family val="2"/>
          </rPr>
          <t>Ravi Radhakrishnan:</t>
        </r>
        <r>
          <rPr>
            <sz val="9"/>
            <color indexed="81"/>
            <rFont val="Tahoma"/>
            <family val="2"/>
          </rPr>
          <t xml:space="preserve">
Annual
Biennial</t>
        </r>
      </text>
    </comment>
    <comment ref="AR1" authorId="0" shapeId="0" xr:uid="{00000000-0006-0000-0000-000016000000}">
      <text>
        <r>
          <rPr>
            <b/>
            <sz val="9"/>
            <color indexed="81"/>
            <rFont val="Tahoma"/>
            <charset val="1"/>
          </rPr>
          <t>Ravi Radhakrishnan:</t>
        </r>
        <r>
          <rPr>
            <sz val="9"/>
            <color indexed="81"/>
            <rFont val="Tahoma"/>
            <charset val="1"/>
          </rPr>
          <t xml:space="preserve">
Grant is Federal Programme</t>
        </r>
      </text>
    </comment>
    <comment ref="AS1" authorId="0" shapeId="0" xr:uid="{00000000-0006-0000-0000-000017000000}">
      <text>
        <r>
          <rPr>
            <b/>
            <sz val="9"/>
            <color indexed="81"/>
            <rFont val="Tahoma"/>
            <family val="2"/>
          </rPr>
          <t>Ravi Radhakrishnan:</t>
        </r>
        <r>
          <rPr>
            <sz val="9"/>
            <color indexed="81"/>
            <rFont val="Tahoma"/>
            <family val="2"/>
          </rPr>
          <t xml:space="preserve">
FINDINGSREFNUMS of Findings 20</t>
        </r>
      </text>
    </comment>
    <comment ref="AY1" authorId="0" shapeId="0" xr:uid="{00000000-0006-0000-0000-000018000000}">
      <text>
        <r>
          <rPr>
            <b/>
            <sz val="9"/>
            <color indexed="81"/>
            <rFont val="Tahoma"/>
            <family val="2"/>
          </rPr>
          <t>Ravi Radhakrishnan:</t>
        </r>
        <r>
          <rPr>
            <sz val="9"/>
            <color indexed="81"/>
            <rFont val="Tahoma"/>
            <family val="2"/>
          </rPr>
          <t xml:space="preserve">
One of:
Repeat
Material
QC
Significant Deficiancy</t>
        </r>
      </text>
    </comment>
    <comment ref="BM1" authorId="0" shapeId="0" xr:uid="{00000000-0006-0000-0000-000019000000}">
      <text>
        <r>
          <rPr>
            <b/>
            <sz val="9"/>
            <color indexed="81"/>
            <rFont val="Tahoma"/>
            <charset val="1"/>
          </rPr>
          <t>Ravi Radhakrishnan:</t>
        </r>
        <r>
          <rPr>
            <sz val="9"/>
            <color indexed="81"/>
            <rFont val="Tahoma"/>
            <charset val="1"/>
          </rPr>
          <t xml:space="preserve">
10.d.</t>
        </r>
      </text>
    </comment>
    <comment ref="BN1" authorId="0" shapeId="0" xr:uid="{00000000-0006-0000-0000-00001A000000}">
      <text>
        <r>
          <rPr>
            <b/>
            <sz val="9"/>
            <color indexed="81"/>
            <rFont val="Tahoma"/>
            <charset val="1"/>
          </rPr>
          <t>Ravi Radhakrishnan:</t>
        </r>
        <r>
          <rPr>
            <sz val="9"/>
            <color indexed="81"/>
            <rFont val="Tahoma"/>
            <charset val="1"/>
          </rPr>
          <t xml:space="preserve">
10.a.</t>
        </r>
      </text>
    </comment>
    <comment ref="BO1" authorId="0" shapeId="0" xr:uid="{00000000-0006-0000-0000-00001B000000}">
      <text>
        <r>
          <rPr>
            <b/>
            <sz val="9"/>
            <color indexed="81"/>
            <rFont val="Tahoma"/>
            <charset val="1"/>
          </rPr>
          <t>Ravi Radhakrishnan:</t>
        </r>
        <r>
          <rPr>
            <sz val="9"/>
            <color indexed="81"/>
            <rFont val="Tahoma"/>
            <charset val="1"/>
          </rPr>
          <t xml:space="preserve">
10.g of Federal Financial Report
</t>
        </r>
      </text>
    </comment>
    <comment ref="BP1" authorId="0" shapeId="0" xr:uid="{00000000-0006-0000-0000-00001C000000}">
      <text>
        <r>
          <rPr>
            <b/>
            <sz val="9"/>
            <color indexed="81"/>
            <rFont val="Tahoma"/>
            <charset val="1"/>
          </rPr>
          <t>Ravi Radhakrishnan:</t>
        </r>
        <r>
          <rPr>
            <sz val="9"/>
            <color indexed="81"/>
            <rFont val="Tahoma"/>
            <charset val="1"/>
          </rPr>
          <t xml:space="preserve">
10.i.
</t>
        </r>
      </text>
    </comment>
    <comment ref="BQ1" authorId="0" shapeId="0" xr:uid="{00000000-0006-0000-0000-00001D000000}">
      <text>
        <r>
          <rPr>
            <b/>
            <sz val="9"/>
            <color indexed="81"/>
            <rFont val="Tahoma"/>
            <charset val="1"/>
          </rPr>
          <t>Ravi Radhakrishnan:</t>
        </r>
        <r>
          <rPr>
            <sz val="9"/>
            <color indexed="81"/>
            <rFont val="Tahoma"/>
            <charset val="1"/>
          </rPr>
          <t xml:space="preserve">
10.j.</t>
        </r>
      </text>
    </comment>
    <comment ref="CL1" authorId="0" shapeId="0" xr:uid="{00000000-0006-0000-0000-00001E000000}">
      <text>
        <r>
          <rPr>
            <b/>
            <sz val="9"/>
            <color indexed="81"/>
            <rFont val="Tahoma"/>
            <family val="2"/>
          </rPr>
          <t>Ravi Radhakrishnan:</t>
        </r>
        <r>
          <rPr>
            <sz val="9"/>
            <color indexed="81"/>
            <rFont val="Tahoma"/>
            <family val="2"/>
          </rPr>
          <t xml:space="preserve">
Yes/nO</t>
        </r>
      </text>
    </comment>
    <comment ref="CM1" authorId="0" shapeId="0" xr:uid="{00000000-0006-0000-0000-00001F000000}">
      <text>
        <r>
          <rPr>
            <b/>
            <sz val="9"/>
            <color indexed="81"/>
            <rFont val="Tahoma"/>
            <family val="2"/>
          </rPr>
          <t>Ravi Radhakrishnan:</t>
        </r>
        <r>
          <rPr>
            <sz val="9"/>
            <color indexed="81"/>
            <rFont val="Tahoma"/>
            <family val="2"/>
          </rPr>
          <t xml:space="preserve">
Yes/No</t>
        </r>
      </text>
    </comment>
    <comment ref="CN1" authorId="0" shapeId="0" xr:uid="{00000000-0006-0000-0000-000020000000}">
      <text>
        <r>
          <rPr>
            <b/>
            <sz val="9"/>
            <color indexed="81"/>
            <rFont val="Tahoma"/>
            <family val="2"/>
          </rPr>
          <t>Ravi Radhakrishnan:</t>
        </r>
        <r>
          <rPr>
            <sz val="9"/>
            <color indexed="81"/>
            <rFont val="Tahoma"/>
            <family val="2"/>
          </rPr>
          <t xml:space="preserve">
Yes/No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Ravi Radhakrishnan</author>
  </authors>
  <commentList>
    <comment ref="A2" authorId="0" shapeId="0" xr:uid="{00000000-0006-0000-0600-000001000000}">
      <text>
        <r>
          <rPr>
            <b/>
            <sz val="9"/>
            <color indexed="81"/>
            <rFont val="Tahoma"/>
            <family val="2"/>
          </rPr>
          <t>Ravi Radhakrishnan:</t>
        </r>
        <r>
          <rPr>
            <sz val="9"/>
            <color indexed="81"/>
            <rFont val="Tahoma"/>
            <family val="2"/>
          </rPr>
          <t xml:space="preserve">
Same as REPORTID of NOTES20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<sst xmlns="http://schemas.openxmlformats.org/spreadsheetml/2006/main" count="37097" uniqueCount="2837">
  <si>
    <t>DBKEY</t>
  </si>
  <si>
    <t>Audit Year</t>
  </si>
  <si>
    <t>Audit Period</t>
  </si>
  <si>
    <t>EIN</t>
  </si>
  <si>
    <t>DUNS</t>
  </si>
  <si>
    <t>Grantee Name</t>
  </si>
  <si>
    <t>Low Risk Grantee</t>
  </si>
  <si>
    <t>Related Federal Agencies</t>
  </si>
  <si>
    <t>CFDA Prefix</t>
  </si>
  <si>
    <t>CFDA Extension</t>
  </si>
  <si>
    <t>R&amp;D</t>
  </si>
  <si>
    <t>Grant ID</t>
  </si>
  <si>
    <t>Multiple Grantors</t>
  </si>
  <si>
    <t>Grant Name</t>
  </si>
  <si>
    <t>Grant Group</t>
  </si>
  <si>
    <t>Grant Expended</t>
  </si>
  <si>
    <t>Direct Award</t>
  </si>
  <si>
    <t>Major Program</t>
  </si>
  <si>
    <t>Type of Audit Report</t>
  </si>
  <si>
    <t>Audit Finding ID</t>
  </si>
  <si>
    <t>Finding Ref No.</t>
  </si>
  <si>
    <t>Type of Audit Compliance Requirements</t>
  </si>
  <si>
    <t>Modified Opinion</t>
  </si>
  <si>
    <t>Other non Compliance</t>
  </si>
  <si>
    <t>Material Weakness</t>
  </si>
  <si>
    <t>Significant Deficiency</t>
  </si>
  <si>
    <t>Other Findings</t>
  </si>
  <si>
    <t>QCosts</t>
  </si>
  <si>
    <t>Repeat Finding</t>
  </si>
  <si>
    <t>Prior finding Ref No.</t>
  </si>
  <si>
    <t>Audit Findings</t>
  </si>
  <si>
    <t>OFS Report ID</t>
  </si>
  <si>
    <t>Opinion on Financial Statements</t>
  </si>
  <si>
    <t>OAF Report ID</t>
  </si>
  <si>
    <t>Audit Finding Title</t>
  </si>
  <si>
    <t>Opinion on Audit Findings</t>
  </si>
  <si>
    <t>Payroll costs % of overall costs</t>
  </si>
  <si>
    <t>Audit Finding Ref No.</t>
  </si>
  <si>
    <t>Audit Finding Type</t>
  </si>
  <si>
    <t>Agrees</t>
  </si>
  <si>
    <t>CAP Report ID</t>
  </si>
  <si>
    <t>Corrective action plan Title</t>
  </si>
  <si>
    <t>Type</t>
  </si>
  <si>
    <t>Repeat</t>
  </si>
  <si>
    <t>Material</t>
  </si>
  <si>
    <t>QC</t>
  </si>
  <si>
    <t>Significant</t>
  </si>
  <si>
    <t>Corrective action plan</t>
  </si>
  <si>
    <t>Action Due Date</t>
  </si>
  <si>
    <t>Action status</t>
  </si>
  <si>
    <t>Action completed date</t>
  </si>
  <si>
    <t>Grant Number</t>
  </si>
  <si>
    <t>Grant From Date</t>
  </si>
  <si>
    <t>Grant To Date</t>
  </si>
  <si>
    <t>Grant Authorized</t>
  </si>
  <si>
    <t>Grant Receipts</t>
  </si>
  <si>
    <t>Grantee Share</t>
  </si>
  <si>
    <t>Grantee Expenditures</t>
  </si>
  <si>
    <t>Sub recipients Expenditures</t>
  </si>
  <si>
    <t>Agency Name</t>
  </si>
  <si>
    <t>Agency Type</t>
  </si>
  <si>
    <t>No. of Sub recipients</t>
  </si>
  <si>
    <t>Sub recipient name</t>
  </si>
  <si>
    <t>Sub recipient grant</t>
  </si>
  <si>
    <t>Sub recipient's share</t>
  </si>
  <si>
    <t>Subrecipient</t>
  </si>
  <si>
    <t>Subaward ID</t>
  </si>
  <si>
    <t>Subaward Title</t>
  </si>
  <si>
    <t>Sub award amount</t>
  </si>
  <si>
    <t>EIN / TIN</t>
  </si>
  <si>
    <t>Single Audit Report</t>
  </si>
  <si>
    <t>Inactive Grants</t>
  </si>
  <si>
    <t>Other Grants</t>
  </si>
  <si>
    <t>Response</t>
  </si>
  <si>
    <t>Passthrough Agency Remarks</t>
  </si>
  <si>
    <t>Payroll Costs</t>
  </si>
  <si>
    <t>Project Start Date</t>
  </si>
  <si>
    <t>Project End Date</t>
  </si>
  <si>
    <t>Own Funds</t>
  </si>
  <si>
    <t>New Field</t>
  </si>
  <si>
    <t>New Report</t>
  </si>
  <si>
    <t>Annual</t>
  </si>
  <si>
    <t>63-6001138</t>
  </si>
  <si>
    <t>016616286</t>
  </si>
  <si>
    <t>NEW YORK DEPARTMENT  OF HEALTH</t>
  </si>
  <si>
    <t>N</t>
  </si>
  <si>
    <t>CDC</t>
  </si>
  <si>
    <t>Y</t>
  </si>
  <si>
    <t>8L97IR76985-13</t>
  </si>
  <si>
    <t>ATSDRS PROGRAM TO PROMOTE LOCALIZED EFFORTS TO REDUCE ENVIRONMENTAL
EXPOSURE (APPLETREE)</t>
  </si>
  <si>
    <t>Q</t>
  </si>
  <si>
    <t>2020-001</t>
  </si>
  <si>
    <t>Finding reference number:2020-001CFDA title and number (Federal award identification number and year):Supportive Housing for the Elderly, CFDA 14.157 (Project identification number 033-EH231 and 1988)Auditor non-compliance code:N - Reserve for replacements depositsFinding resolution status:Resolved Universe population size:The universe population is not applicable to the finding.Sample size information:The sample size information is not applicable to the finding.Noncompliance information:See statement of condition 2020-001 for noncompliance information.Statistically valid sample:N/AName of Federal agency:U.S. Department of Housing and Urban DevelopmentPass-through entity:N/AQuestioned costs:$3,248Statement of Condition 2020-001 (CFDA 14.157):The Corporation did not make the total required reserve for replacement deposits during the year ended January 31, 2020.Criteria:Pursuant to Section 5 of the Regulatory Agreement, the Property is required to make monthly deposits to the reserve for replacements fund as required by HUD.Effect:The Corporation is not in compliance with the Regulatory Agreement and the reserve for replacements is underfunded by $3,248 at January 31, 2020.Cause:The required deposits to the reserve for replacements for the year ended January 31, 2020 were $3,248 less than the amount required by HUD.Recommendation:Management should transfer $3,248 into reserve for replacements from the operating cash account.Completion date:February 7, 2020Management's response:Agree. On February 7, 2020, management transferred $3,248 from operating cash to the reserve for replacements fund.  From the presentation its clear that there is significant impact on a Federal program.</t>
  </si>
  <si>
    <t>Statement of Condition 2020-001 (CFDA 14.157):The Corporation did not make the total required reserve for replacement deposits during the year ended January 31, 2020.Recommendation:Management should transfer $3,248 into reserve for replacements from the operating cash account.Action(s) taken or planned on the finding:Agree. On February 7, 2020, management transferred $3,248 from operating cash to the reserve for replacements fund.   Multiple internal control structures are present and this need clarification.</t>
  </si>
  <si>
    <t>Significant Accounting Policies Used in Preparing the SEFA</t>
  </si>
  <si>
    <t>The schedule of expenditures of federal awards is prepared on the accrual basis of accounting.</t>
  </si>
  <si>
    <t>Change in accounting practice</t>
  </si>
  <si>
    <t>The errors in accounting will be corrected. The accounting policy suggested will be followed. The financials will be recalculated based on the revised accounting policies and submitted.</t>
  </si>
  <si>
    <t>016616288</t>
  </si>
  <si>
    <t>Finding reference number:2020-002CFDA title and number (Federal award identification number and year):Supportive Housing for the Elderly, CFDA 14.157 (Project identification number 033-EH231 and 1988)Auditor non-compliance code:B - Failure to make required residual receipts depositFinding resolution status:ResolvedUniverse population size:The universe population is not applicable to the finding.Sample size information:The sample size information is not applicable to the finding.Noncompliance information:See statement of condition 2020-002 for noncompliance information.Statistically valid sample:N/AName of Federal agency:U.S. Department of Housing and Urban DevelopmentPass-through entity:N/AQuestioned costs:$58,529Statement of Condition 2020-002 (CFDA 14.157):The Corporation did not make the required residual receipts deposit computed at January 31, 2019 in the amount of $58,529 within 90 days of fiscal year end.Criteria:Pursuant to Section 5 of the Regulatory Agreement, the residual receipts deposit due to the reserve for replacements must be deposited within 90 days of fiscal year end.Effect:The Corporation was not in compliance with the Regulatory Agreement.Cause:The Corporation did not make the required deposit within 90 days of fiscal year end.Recommendation:Management should implement a system to ensure the required residual receipts deposit is made within 90 days of fiscal year end.Completion date:August 7, 2019Management's response:Agree.Management made the required residual receipts deposit on August 7, 2019.</t>
  </si>
  <si>
    <t>2020-002</t>
  </si>
  <si>
    <t>Statement of Condition 2020-002 (CFDA 14.157):The Corporation did not make the required residual receipts deposit computed at January 31, 2019 in the amount of $58,529 within 90 days of fiscal year end.Recommendation:Management should implement a system to ensure the required residual receipts deposit is made within 90 days of fiscal year end.Action(s) taken or planned on the finding:Agree.Management made the required residual receipts deposit on August 7, 2019.  Multiple internal control structures are present and this need clarification.</t>
  </si>
  <si>
    <t>10% De Minimis Cost Rate</t>
  </si>
  <si>
    <t>The auditee did not use the de minimis cost rate.</t>
  </si>
  <si>
    <t>Cost rate Corrections</t>
  </si>
  <si>
    <t>Cost rate will be followed. The revised rate will be applied from the last audit period and the expenditure recalculated and submitted. Delay may be there in the implementation, due to administrative reasons.</t>
  </si>
  <si>
    <t>016616289</t>
  </si>
  <si>
    <t>Finding reference number:2020-003CFDA title and number (Federal award identification number and year):Supportive Housing for the Elderly, CFDA 14.157 (Project identification number 033-EH231 and 1988)Auditor non-compliance code:H - Unauthorized distribution of project assetsFinding resolution status:In processUniverse population size:The universe population is not applicable to the finding.Sample size information:The sample size information is not applicable to the finding.Noncompliance information:See statement of condition 2020-003 for noncompliance information.Statistically valid sample:N/AName of Federal agency:U.S. Department of Housing and Urban DevelopmentPass-through entity:N/AQuestioned costs:$5,800Statement of Condition 2020-003 (CFDA 14.157):During the year ended January 31, 2020, the Property paid entity expenses of $5,800 without HUD approval.Criteria:Paragraph 11(a) of the Regulatory Agreement states that income and other funds of the project shall be expended only for the purposes of the Property.Effect:The Corporation is not in compliance with the Regulatory Agreement.The Property's operating cash account has been reduced by $5,800.This amount has been considered in the surplus cash calculation for the year ended January 31, 2020.Cause:Management inadvertently paid entity expenses using project funds.Recommendation:The Sponsor should reimburse the Property's operating cash account in the amount of $5,800.Management's response:Agree.The Sponsor will reimburse the Property's operating cash account in a subsequent month.  From the presentation its clear that there is significant impact on a Federal program.</t>
  </si>
  <si>
    <t>2020-003</t>
  </si>
  <si>
    <t>Statement of condition 2020-003 (CFDA 14.157):During the year ended January 31, 2020, the Property paid entity expenses of $5,800 without HUD approvalRecommendation:The Sponsor should reimburse the Property's operating cash account in the amount of $5,800.Action(s) taken or planned on the finding:Agree.The Sponsor will reimburse the Property's operating cash account in a subsequent month. Multiple internal control structures are present and this need clarification.</t>
  </si>
  <si>
    <t>Loan/loan guarantee outstanding balances</t>
  </si>
  <si>
    <t>SUPPORTIVE HOUSING FOR THE ELDERLY (14.157) - Balances outstanding at the end of the audit period were 1611822.</t>
  </si>
  <si>
    <t>Loan accountsrecalculation</t>
  </si>
  <si>
    <t>Loan accounts will be reviewed and appropriate amendments will be made and submitted</t>
  </si>
  <si>
    <t>63-6001139</t>
  </si>
  <si>
    <t>016616290</t>
  </si>
  <si>
    <t>HEALTH RESEARCH, INC - ALBANY DIVISION</t>
  </si>
  <si>
    <t>NIH</t>
  </si>
  <si>
    <t>9T99BT76986-11</t>
  </si>
  <si>
    <t/>
  </si>
  <si>
    <t>UCI PFAS HEALTH STUDY</t>
  </si>
  <si>
    <t>This schedule of expenditures of federal awards (Schedule) includes the federal award activity of the School under programs of the federal government for the year ended April 30,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School, it is not intended to and does not present the financial position, changes in net assets or cash flows of the School.Expenditures reported on the Schedule are reported on the accrual basis of accounting.Such expenditures are recognized following the cost principles contained in the Uniform Guidance, wherein certain types of expenditures are not allowable or are limited as to reimbursement.</t>
  </si>
  <si>
    <t>016616291</t>
  </si>
  <si>
    <t>016616292</t>
  </si>
  <si>
    <t>Note 3</t>
  </si>
  <si>
    <t>There were no subrecipients during the year ended April 30, 2020.</t>
  </si>
  <si>
    <t>016616293</t>
  </si>
  <si>
    <t>Loan/Loan guarantee outstanding balances</t>
  </si>
  <si>
    <t>The School has $3,398,085 of Federal Perkins Loans (CFDA 84.038) outstanding at April 30, 2020, which are included in the School's financial statements.Loans outstanding at the beginning of the year and loans made during the year are included in the federal expenditures presented in this schedule.</t>
  </si>
  <si>
    <t>63-6001140</t>
  </si>
  <si>
    <t>016616294</t>
  </si>
  <si>
    <t>MARCH OF DIMES FOUNDATION</t>
  </si>
  <si>
    <t>FDA</t>
  </si>
  <si>
    <t>7T82HT87295-99</t>
  </si>
  <si>
    <t>CALIFORNIA CENTER OF BD-STEPS II FINDING CAUSES AND PREVENTIVES OF BIRTH DEFECTS</t>
  </si>
  <si>
    <t>The accompanying Schedule of Expenditures of Federal Awards includes the federal grant activity of Decatur-Macon County Opportunities Corporation (Corporation) and is presented on the accrual basis of accounting. The information in this schedule is presented in accordance with the requirements of Uniform Administrative Requirements, Cost Principles, and Audit Requirements for Federal Awards. Therefore, some amounts presented in this schedule may differ from amounts presented in, or used in the preparation of, the financial statements.</t>
  </si>
  <si>
    <t>016616295</t>
  </si>
  <si>
    <t>The Corporation did not elect to use the de minimis rate of 10 percent for the year ended February 29, 2020.</t>
  </si>
  <si>
    <t>055656285</t>
  </si>
  <si>
    <t>Subrecipients</t>
  </si>
  <si>
    <t>The Corporation did not provide federal awards to subrecipients during the year ended February 29, 2020. Weakness was found in monitoring subrecipients.</t>
  </si>
  <si>
    <t>055656286</t>
  </si>
  <si>
    <t>Description of Major Federal Program</t>
  </si>
  <si>
    <t>The major federal program of the Corporation is the U.S. Department of Health and Human ServicesHead Start (93.600). The purpose of the Head Start program is to promote school readiness by enhancing the social and cognitive development of low-income children, including children on federally recognized reservations and children of migratory farm works, through the provision of comprehensive health, educational, nutritional, social and other services; and to involve parents in their childrens learning and to help parents make progress toward their educational, literacy and employment goals. Head Start also emphasizes the significant involvement of parents in the administration of their local Head Start programs.</t>
  </si>
  <si>
    <t>061616281</t>
  </si>
  <si>
    <t>Non-Cash Assistance, Loans Outstanding and Insurance</t>
  </si>
  <si>
    <t>The Corporation did not receive any federal non-cash assistance, federal loans or federal insurance for the year ended February 29, 2020.</t>
  </si>
  <si>
    <t>63-6001141</t>
  </si>
  <si>
    <t>061616284</t>
  </si>
  <si>
    <t>ICAHN SCHOOL  OF MEDICINE AT MOUNT SINAI</t>
  </si>
  <si>
    <t>ACF</t>
  </si>
  <si>
    <t>4T90HT90841-42</t>
  </si>
  <si>
    <t>BEHAVIORAL RISK FACTOR SURVEILLANCE SYSTEM (BRFSS) FOR CALIFORNIA</t>
  </si>
  <si>
    <t>Expenditures reported on the Schedule are reported on the accrual basis of accounting. Such expenditures arerecognized following the cost principles contained in the Uniform Guidance wherein certain types of expendituresare not allowable or are limited as to reimbursement. Negative amounts shown on the Schedule representadjustments or credits made in the normal course of business to amounts reported as expenditures in prior years.There were no negative amounts reported on the Schedule.</t>
  </si>
  <si>
    <t>061616285</t>
  </si>
  <si>
    <t>4T90HT90899-42</t>
  </si>
  <si>
    <t>BEHAVIORAL RISK FACTOR SURVEILLANCE SYSTEM (BRFSS) FOR CALIFORNIA - Subrecipient</t>
  </si>
  <si>
    <t>264753017</t>
  </si>
  <si>
    <t>63-6221141</t>
  </si>
  <si>
    <t>No</t>
  </si>
  <si>
    <t>Yes</t>
  </si>
  <si>
    <t>Federal guidance on accounting practices followed. The rates used are as per permisible limits. Financial reports included.</t>
  </si>
  <si>
    <t>Deminimis cost rate not used</t>
  </si>
  <si>
    <t>63-6001142</t>
  </si>
  <si>
    <t>061616286</t>
  </si>
  <si>
    <t>ASSOCIATION  OF AMERICA, INC</t>
  </si>
  <si>
    <t>1M31CS90744-99</t>
  </si>
  <si>
    <t>ENHANCING PUBLIC HEALTH SURVEILLANCE OF AUTISM SPECTRUM DISORDER THROUGH THE AUTISM AND DEVELOPMENTAL DISABILITIES
MONITORING (ADDM) IN SAN DIEGO COUNTY</t>
  </si>
  <si>
    <t>The accompanying schedule of expenditures of federal and state awards is presented using the accrual basis of accounting, whereby revenues are recognized following the cost principals contained in Title 2 U.S. Code of Federal Regulations Part 200, Uniform Administrative Requirements, Cost Principles, and Audit Requirements for Federal Awards, wherein certain types of expenditures are not allowable or are limited as to reimbursement. The Organization has elected not to use the 10-percent de minimis indirect cost rate as allowed under Uniform Guidance. Pass through entity numbers are presented where available. The Organization applies all Financial Accounting Standards Board pronouncements in accounting and reporting.</t>
  </si>
  <si>
    <t>061616288</t>
  </si>
  <si>
    <t>061616289</t>
  </si>
  <si>
    <t xml:space="preserve">Basis of Presentation </t>
  </si>
  <si>
    <t>The accompanying schedule of expenditures of federal and state awards includes the federal and state grant activity of Kenosha Community Health Center, Inc. under programs of the federal and state government for the year ended February 29, 2020. The information in this schedule is presented in accordance with the requirements of Title 2 U.S. Code of Federal Regulations Part 200, Uniform Administrative Requirements, Cost Principles, and Audit Requirements for Federal Awards, and in accordance with the State Single Audit Guidelines.</t>
  </si>
  <si>
    <t>061616290</t>
  </si>
  <si>
    <t xml:space="preserve">Non-Cash Assistance, Loans and Insurance </t>
  </si>
  <si>
    <t>Kenosha Community Health Center, Inc. and Subsidiary did not receive any federal non-cash assistance, federal loans or federal insurance for the year ended February 29, 2020.</t>
  </si>
  <si>
    <t>061617291</t>
  </si>
  <si>
    <t>Kenosha Community Health Center, Inc. and Subsidiary did not provide federal awards to subrecipients during the year ended February 29, 2020.</t>
  </si>
  <si>
    <t>63-6001143</t>
  </si>
  <si>
    <t>061617292</t>
  </si>
  <si>
    <t>NATIONAL HEMOPHILIA FOUNDATION</t>
  </si>
  <si>
    <t>8H11AT87392-89</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</si>
  <si>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t>
  </si>
  <si>
    <t>061617293</t>
  </si>
  <si>
    <t>The Organization has not elected to use the 10-percent de minimis indirect cost rate as allowed under the Uniform Guidance.</t>
  </si>
  <si>
    <t>061617294</t>
  </si>
  <si>
    <t>BASIS OF PRESENTATION</t>
  </si>
  <si>
    <t>The accompanying schedule of expenditures of federal awards (the "schedule") includes the federal award activity of the Organization under the programs of the federal government for the year ended February 28, 2019.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changes in net assets, or cash flows of the Organization.</t>
  </si>
  <si>
    <t>061617295</t>
  </si>
  <si>
    <t>SUBRECIPIENTS</t>
  </si>
  <si>
    <t>The Organization did not subcontract any federal funds to subrecipients for the year ended February 29, 2020. Sub recipients are not monitored properly.</t>
  </si>
  <si>
    <t>8H11AT87399-89</t>
  </si>
  <si>
    <t>CALIFORNIA CENTER OF BD-STEPS II FINDING CAUSES AND PREVENTIVES OF BIRTH DEFECTS  - Subrecipient</t>
  </si>
  <si>
    <t>Uniform administrative guidelines followed. Cost principles adhered to. Expenditure details attached. Financial reports included.</t>
  </si>
  <si>
    <t>Accounting system maintenance practices are weak.</t>
  </si>
  <si>
    <t>064646414</t>
  </si>
  <si>
    <t>Pass Through Entity Identification Numbers</t>
  </si>
  <si>
    <t>Several of the programs, grants, and/or awards included in the schedule are missing the pass-through entity identification numbers. The missing numbers are due to the pass-through entities not providing the pass-through entity identification numbers.</t>
  </si>
  <si>
    <t>63-6001144</t>
  </si>
  <si>
    <t>064646415</t>
  </si>
  <si>
    <t>NATIONAL BLOOD CLOT ALLIANCE</t>
  </si>
  <si>
    <t>6S93HS87137-84</t>
  </si>
  <si>
    <t>CATEGORY B: PUBLIC HEALTH LAWYERS AND THEIR CLIENTS</t>
  </si>
  <si>
    <t>(1)Expenditures reported on the schedule are reported on the accrual basis of accounting. Such expenditures are recognized following the cost principles contained in the Uniform Guidance and/or OMB Circular A-122, Cost Principles for Nonprofit Organizations, wherein certain types of expenditures are not allowable or are limited as to reimbursement.(2)Pass through entity identifying numbers are presented where available.(3)Northeast Iowa Community Action Corporation has elected not to use the 10% de minimis indirect cost rate as allowed under the Uniform Guidance.</t>
  </si>
  <si>
    <t>064646416</t>
  </si>
  <si>
    <t>064646417</t>
  </si>
  <si>
    <t>HOME INVESTMENT PARTNERSHIPS PROGRAM (14.239) - Balances outstanding at the end of the audit period were 2135105.  It is observed that management is NOT adhering to the terms and conditions of Federal awards.</t>
  </si>
  <si>
    <t>6S93HS87199-84</t>
  </si>
  <si>
    <t>CATEGORY B: PUBLIC HEALTH LAWYERS AND THEIR CLIENTS  - Subrecipient</t>
  </si>
  <si>
    <t>Balances outstanding for the period were 57353. It was noted that subrecipient has significant deficiencies.</t>
  </si>
  <si>
    <t>064646418</t>
  </si>
  <si>
    <t>Subrecipients:</t>
  </si>
  <si>
    <t>There were no awards passed through to subrecipients.</t>
  </si>
  <si>
    <t>8B95AR84473-19</t>
  </si>
  <si>
    <t>63-6001145</t>
  </si>
  <si>
    <t>065656100</t>
  </si>
  <si>
    <t>COOLEYS  ANEMIA FDN INC.</t>
  </si>
  <si>
    <t>7S57BS87135-60</t>
  </si>
  <si>
    <t>COMPONENT B. NATIONAL SPINA BIFIDA PATIENT REGISTRY (NSBPR)</t>
  </si>
  <si>
    <t>The accompanying schedule of expenditures of federal awards (the Schedule) includes the federal award activity of Northwest Health Services, Inc. under programs of the federal government for the year ended January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Northwest Health Services, Inc., it is not intended to and does not present the financial position, results of operations, changes in net assets or cash flows of Northwest Health Services, Inc.</t>
  </si>
  <si>
    <t>065656285</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</si>
  <si>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reimbursement.Negative amounts shown on the Schedule, if any, represent adjustments or credits in the normal course of business to amounts reported as expenditures in prior years.Northwest Health Services, Inc. has elected not to use the 10 percent de minimis indirect cost rate allowed under the Uniform Guidance</t>
  </si>
  <si>
    <t>065656286</t>
  </si>
  <si>
    <t>Northwest Health Services, Inc. did not have any federal loan programs during the year ended January 31, 2020</t>
  </si>
  <si>
    <t>63-6001146</t>
  </si>
  <si>
    <t>065656287</t>
  </si>
  <si>
    <t>AIDS SERVICE CENTER  OF LOWER MANHATTAN</t>
  </si>
  <si>
    <t>8S21AS85967-90</t>
  </si>
  <si>
    <t>COMPONENT C. UROLOGIC MANAGEMENT TO PRESERVE INITIAL RENAL FUNCTION PROTOCOL
FOR YOUNG CHILDREN WITH SPINA BIFIDA (UMPIRE PROTOCOL)</t>
  </si>
  <si>
    <t>The accompanying schedule of expenditures of federal awards (the Schedule) includes the federal award activity of Northeast Missouri Health Council, Inc.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Northeast Missouri Health Council, Inc., it is not intended to and does not present the financial position, results of operations, changes in net assets or cash flows of Northeast Missouri Health Council, Inc. Experience of personnel who administer the Federal programs  is low.</t>
  </si>
  <si>
    <t>8S21AS85999-90</t>
  </si>
  <si>
    <t>COMPONENT C. UROLOGIC MANAGEMENT TO PRESERVE INITIAL RENAL FUNCTION PROTOCOL  - Subrecipient
FOR YOUNG CHILDREN WITH SPINA BIFIDA (UMPIRE PROTOCOL)</t>
  </si>
  <si>
    <t>Schedule presents only partial portion. Experience of personnel who administer the Federal programs is low</t>
  </si>
  <si>
    <t>065656288</t>
  </si>
  <si>
    <t>065656289</t>
  </si>
  <si>
    <t>Note 2 Continued</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</si>
  <si>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 Negative amounts shown on the Schedule, if any, represent adjustments or credits in the normal course of business to amounts reported as expenditures in the prior years.</t>
  </si>
  <si>
    <t>065656290</t>
  </si>
  <si>
    <t>Northeast Missouri Health Council, Inc. did not have any federal loan programs during the year ended March 31, 2020.</t>
  </si>
  <si>
    <t>63-6001147</t>
  </si>
  <si>
    <t>065656291</t>
  </si>
  <si>
    <t>ALBERT EINSTEIN COLLEGE  OF MEDICINE INC</t>
  </si>
  <si>
    <t>9R13IR85968-77</t>
  </si>
  <si>
    <t>LOS ANGELES COUNTY EPIDEMIOLOGY AND LABORATORY CAPACITY COOPERATIVE AGREEMENT 2019</t>
  </si>
  <si>
    <t>The accompanying schedule of expenditures of federal awards (the Schedule) includes the federal award activity of Family Health Center under programs of the federal government for the year ended February 29, 2020. The information in this Schedule is presented in accordance with the requirements of Title 2 U.S. Code of Federal Regulations Part 200,Uniform Administrative Requirements, Cost Principles, and Audit Requirements for Federal Awards (Uniform Guidance). Because the Schedule presents only a selected portion of the operations of Family Health Center, it is not intended to and does not present the financial position, results of operations, changes in net assets or cash flows of Family Health Center.</t>
  </si>
  <si>
    <t>065656292</t>
  </si>
  <si>
    <t>065656293</t>
  </si>
  <si>
    <t>2.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</si>
  <si>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065656294</t>
  </si>
  <si>
    <t>Family Health Center did not have any federal loan programs during the year ended February 29, 2020.</t>
  </si>
  <si>
    <t>63-6001148</t>
  </si>
  <si>
    <t>065656295</t>
  </si>
  <si>
    <t>BOOM!HEALTH</t>
  </si>
  <si>
    <t>8R35DR84190-19</t>
  </si>
  <si>
    <t>PHFE CDPH ELC 2019-2024</t>
  </si>
  <si>
    <t>The accompanying schedule of expenditures of federal awards (the Schedule) includes the federal award activity of Kidron, Inc.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Kidron, Inc., it is not intended to and does not present the financial position, changes in net assets, or cash flows of Kidron, Inc.Expenditures reported on the Schedule are reported on the accrual basis of accounting.Such expenditures are recognized following the cost principles contained in the Uniform Guidance, wherein certain types of expenditures are not allowable or are limited as to reimbursement.Negative amounts, if any, shown on the Schedule represent adjustments or credits made in the normal course of business to amounts reported as expenditures in prior years.</t>
  </si>
  <si>
    <t>065656296</t>
  </si>
  <si>
    <t>Kidron, Inc. has elected not to use the 10-percent de minimis indirect cost rate allowed under the Uniform Guidance.</t>
  </si>
  <si>
    <t>065656297</t>
  </si>
  <si>
    <t>The federal loan program listed subsequently is administered directly by Kidron, Inc., and the balance and transactions relating to this program is included in Kidron, Inc.s basic financial statements. Loans outstanding at the beginning of the year and loans made during the year are included in the federal expenditures presented in the Schedule. The balance of the loan outstanding at March 31, 2020, consists of: SUPPORTIVE HOUSING FOR THE ELDERLY (14.157) - Balances outstanding at the end of the audit period were 3598885.</t>
  </si>
  <si>
    <t>63-6001149</t>
  </si>
  <si>
    <t>065656298</t>
  </si>
  <si>
    <t>CICATELLI ASSOCIATES, INC</t>
  </si>
  <si>
    <t>5H66CT89998-17</t>
  </si>
  <si>
    <t>CHARACTERIZING THE COMPLICATIONS ASSOCIATED WITH THERAPEUTIC BLOOD TRANSFUSIONS FOR HEMOGLOBINOPATHIES</t>
  </si>
  <si>
    <t>Expenditures reported on the Schedule are reported on the accrual basis of accounting. Such expenditures are recognized following the cost principles contained in the Uniform Guidance, wherein certain types ofexpenditures are not allowable or are limited as to reimbursement.</t>
  </si>
  <si>
    <t>065656299</t>
  </si>
  <si>
    <t>The Center has elected not to use the 10-percent de minimis indirect cost rate allowed under the Uniform Guidance.</t>
  </si>
  <si>
    <t>069616289</t>
  </si>
  <si>
    <t>Basis of Presentation</t>
  </si>
  <si>
    <t>The accompanying schedule of expenditures of federal awards (the Schedule) includes the federal award activity of Shepherd Center, Inc. and Subsidiaries (the Center)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Center, it is not intended to and does not present the financial position, changes in net assets, or cash flows of the Center.</t>
  </si>
  <si>
    <t>069646419</t>
  </si>
  <si>
    <t>Federal Pass-through Funds</t>
  </si>
  <si>
    <t>The Center is the subrecipient of federal funds, which have been subject to testing and are reported as expenditures and listed as federal pass-through funds in the accompanying schedule. Federal awards other than these are considered direct.</t>
  </si>
  <si>
    <t>63-6001150</t>
  </si>
  <si>
    <t>097616140</t>
  </si>
  <si>
    <t>COLUMBIA UNIVERSITY, SCHOOL OF ARTS AND SCIENCES</t>
  </si>
  <si>
    <t>4S83DS89996-50</t>
  </si>
  <si>
    <t>PACKAGING AND SPREADING THE STANFORD PEDIATRIC WEIGHT CONTROL PROGRAM - A FAMILY-BASED, GROUP, BEHAVIORAL WEIGHT
CONTROL PROGRAM FOR CHILDREN WITH OBESITY AND THEIR FAMILIES</t>
  </si>
  <si>
    <t>(1) Expenditures reported on the Schedule are reported on the accrual basis of accounting.Such expenditures are recognized following the cost principles contained in Title 2 U.S. Code of Federal Regulations Part 200, Uniform Administrative Requirements, Cost Principles, and Audit Requirements for Federal Awards, wherein certain types of expenditures are not allowable or are limited as to reimbursement.(2) Pass-through entity identifying numbers are presented where available. (3) The Clinic did not elect the 10 de minimus indirect cost rate because they only request direct costs for reimbursement.</t>
  </si>
  <si>
    <t>097616141</t>
  </si>
  <si>
    <t>097616142</t>
  </si>
  <si>
    <t>The accompanying schedule of expenditures of federal awards (the Schedule) includes the federal award activity of Bland County Medical Clinic, Inc. under programs of the federal government for the year ended January 31, 2020.The information in this Schedule is presented in accordance with the requirements of Title 2 U.S. Code of Federal Regulations Part 200, Uniform Administrative Requirements, Cost Principles, and Audit Requirements for Federal Awards.Because the Schedule presents only a selected portion of the operations of Bland County Medical Clinic, Inc., it is not intended to and does not present the financial position, changes in net assets, or cash flows of Bland County Medical Clinic, Inc.</t>
  </si>
  <si>
    <t>Biennial</t>
  </si>
  <si>
    <t>63-6001151</t>
  </si>
  <si>
    <t>097616143</t>
  </si>
  <si>
    <t>COMMUNITY HEALTH ACTION OF STATEN ISLAND</t>
  </si>
  <si>
    <t>5S53DS84197-58</t>
  </si>
  <si>
    <t>ASIAN AMERICANS, NATIVE HAWAIIANS AND PACIFIC ISLANDERS NETWORK TO REACH EQUITY IN TOBACCO CONTROL AND CANCER (ASPIRE) NETWORK</t>
  </si>
  <si>
    <t xml:space="preserve">Conditions and Criteria: Monthly replacement reserve deposits are required to be made in the HUD-approved amount. In one month out of twelve tested, the monthly deposit was less than the HUD-approved amount.Effect: The replacement reserve was underfunded by $54 at year-end.Cause: The required replacement reserve deposit increased by $54 in March 2019 but the payment was not increased until the April 1 deposit was made.Auditors Recommendation: We recommend that the property make an additional deposit in the amount of the shortfall in order to properly fund the reserve.Management’s Response: Management agrees with the recommendation. The additional $54 was paid with the March 2020 payment. </t>
  </si>
  <si>
    <t>Identifying Number:2020-001: Section 223(f), HUD Insured Mortgage – CFDA 14.155 (Special Tests and Provisions) Finding:In conjunction with our audit in accordance with requirements established by the U.S. Department of Housing and Urban Development, deposits to the reserve for replacement are required to be made monthly and in the amount approved by HUD.However, in performing procedures to ascertain the accuracy of the monthly deposits, we noted one out of twelve monthly deposits were less than the HUD-approved amount.Corrective Action Taken:The issue has been resolved. An additional payment to properly fund the reserve has been made. COMMUNITY HEALTH ACTION OF STATEN ISLAND has disbursed funds through third party contracts.</t>
  </si>
  <si>
    <t xml:space="preserve">This schedule of expenditures of federal awards was prepared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 </t>
  </si>
  <si>
    <t>097616144</t>
  </si>
  <si>
    <t>The 10% de minimus indirect cost rate does not apply to the Corporation.</t>
  </si>
  <si>
    <t>097616145</t>
  </si>
  <si>
    <t>MORTGAGE INSURANCE FOR THE PURCHASE OR REFINANCING OF EXISTING MULTIFAMILY HOUSING PROJECTS (14.155) - Balances outstanding at the end of the audit period were 4827315.</t>
  </si>
  <si>
    <t>097616284</t>
  </si>
  <si>
    <t>U.S. Department of Housing and Urban Development Loan Program</t>
  </si>
  <si>
    <t>Scott Hill, Inc. has received a Section 223(f) HUD insured mortgage.The loan balance outstanding at the beginning of the year is included in the schedule of expenditures of federal awards presented above.The Corporation received no additional loans during the year.The balance of the loan outstanding at January 31, 2020 was $4,827,315.</t>
  </si>
  <si>
    <t>63-6001152</t>
  </si>
  <si>
    <t>097616285</t>
  </si>
  <si>
    <t>EXPONENTS INC.</t>
  </si>
  <si>
    <t>9S37GS89674-92</t>
  </si>
  <si>
    <t>CALIFORNIA COLON CANCER CONTROL PROGRAM</t>
  </si>
  <si>
    <t>I</t>
  </si>
  <si>
    <t>Condition: The Association’s contracts with Community Health Solutions and memorandum of agreement (MOA) with Virginia Poverty Law Center did not contain Debarment and Suspension provisions. Criteria: All contracts made by non-Federal entities under a Federal award program must contain a provision covering Debarment and Suspension (Executive Orders 12549 and 12689). Cause: The Association’s procurement policy in effect during FYE 3/31/20 did not include a Debarment and Suspension provision in the template MOA, although it was included in the body of the policy itself. Effect: Contracts could potentially be awarded to parties who have been debarred, suspended, or otherwise excluded by agencies, as well as parties declared ineligible under statutory or regulatory authority other than Executive Order 12549. Context: In two out of two vendors tested, the Debarment and Suspension provision was omitted from the governing contract and/or MOA. Questioned Costs: None. Recommendation: As of the date of this report, a new procurement policy has been drafted and is awaiting approval. This new procurement policy includes a Debarment and Suspension provision in the template MOA. We recommend that the new procurement policy be approved and implemented as soon as possible. Additionally, we recommend that all current contracts and/or MOA’s be re-drafted and re-executed to include this provision. Repeat Finding: N/A Views of Responsible Officials: Management will have the new procurement policy finalized and reviewed as soon as possible. Additionally, existing contracts under federal award programs will be reviewed to ensure compliance. See Corrective Action Plan on page 23. Competence of personnel who administer the Federal programs  is low.</t>
  </si>
  <si>
    <t>Finding: 2020-001. Agency: Virginia Primary Care Association, Inc. dba Virginia Community Healthcare Association. Name of Contact Person and Title: Janice R. Ellis, Coordinator of Operations. Anticipated Completion Date: 8/18/2020. Agency's Response: Concur. The Virginia Community Healthcare Association agrees with this finding and will implement the following: Management will have the new Procurement Policy finalized and reviewed and approved by the Board of Director's as soon as possible. Additionally, existing contracts under federal award programs will be reviewed to ensure compliance. CALIFORNIA COLON CANCER CONTROL PROGRAM has disbursed funds through third party contracts</t>
  </si>
  <si>
    <t>Expenditures reported on the Schedule are reported on the accrual basis of accounting. Such expenditures are recognized following the cost principles contained in Title 2 U.S. Code of Federal Regulations of the Uniform Guidance, wherein certain types of expenditures are not allowable or are limited as to reimbursement. The Association has not elected to use the 10% de minimis indirect cost rate as allowed in the Uniform Guidance.</t>
  </si>
  <si>
    <t>097616286</t>
  </si>
  <si>
    <t>63-6001153</t>
  </si>
  <si>
    <t>097616287</t>
  </si>
  <si>
    <t>GAY MEN`S HEALTH CRISIS, INC</t>
  </si>
  <si>
    <t>1S52CS86501-25</t>
  </si>
  <si>
    <t>CALIFORNIA COORDINATED CANCER PREVENTION &amp; CONTROL PROGRAM; CALIFORNIA COMPREHENSIVE CANCER CONTROL PROGRAM; CALIFORNIA BREAST AND CERVICAL CANCER
EARLY DETECTION PROGRAM; CALIFORNIA CANCER REGISTRY</t>
  </si>
  <si>
    <t>Note 1. Basis of PresentationThe accompanying schedule of expenditures of federal awards (Schedule) includes the federal award activityof Roane County Family Health Care, Inc. (Organization) under programs of the federal government for theyear ended January 31, 2020. The information in this Schedule is presented in accordance with therequirements of Title 2 U.S. Code of Federal Regulations (CFR) Part 200, Uniform AdministrativeRequirements, Cost Principles, and Audit Requirements for Federal Awards (Uniform Guidance). Becausethe Schedule presents only a selected portion of the operations of the Organization, it is not intended to, anddoes not, present the financial position, changes in net assets, or cash flows of the Organization.Additionally, due to the different reporting requirements of the financial statements from the above Schedule,some amounts presented may differ from amounts presented in, or used in, the financial statements.Note 2. 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reimbursement.Note 3. Indirect CostsThe Organization does not seek reimbursement of indirect costs under its federal programs. Additionally, theOrganization has never negotiated an indirect cost rate with its cognizant agency. Therefore, theOrganization has elected to use the 10% de minimis indirect cost rate.Note 4. Sub-recipientsThe Organization does not pass federal awards to sub-recipients.</t>
  </si>
  <si>
    <t>097616288</t>
  </si>
  <si>
    <t>The auditee used the de minimis cost rate.</t>
  </si>
  <si>
    <t>63-6001154</t>
  </si>
  <si>
    <t>097616289</t>
  </si>
  <si>
    <t xml:space="preserve">HEALTH RESEARCH, INC. </t>
  </si>
  <si>
    <t>6H59IT76658-58</t>
  </si>
  <si>
    <t>CALIFORNIA TRIBAL COMPREHENSIVE CANCER CONTROL PROGRAM (CTCCCP)</t>
  </si>
  <si>
    <t>L</t>
  </si>
  <si>
    <t>Finding:2020-002 Uniform Data System ReportFederal Programs: Department of Health and Human Services Health Center Program ClusterCFDA 93.224 and 93.527 Condition:The Uniform Data System report submitted to DHHS for the year ended December 31, 2019 contained incorrect data for patient revenue.The Table 9D did not include the pharmacy information. Criteria:Uniform Guidance, Special Reporting – Uniform Data SystemContext: The pharmacy charges and payments were not included on Table D of the UDS report.The charges and payments were understated by approximately $4,000,000.Cause:The above exception resulted from an error in preparing table 9D of the Uniform Data System report.Effect:The Department of Health and Human Services reviews the UDS data for financial analysis for grant recipients.Errors in this data causes incorrect financial analysis results and distorted performance indicators.Recommendation:It is recommended that a system should be developed to ensure actual charges and adjustments from all sources are reported and reconciled to the UDS report. HRSA should be informed of the error and the 2019 Table 9D should be revised and resubmitted if requested.Auditee’s Response and Corrective Action Plan:Management concurs.Efforts will be made to ensure that the revenue recorded is reconciled to the revenue on the UDS report.Contact Person: Dale Johnson, CFOAnticipated Date of Completion:June 30, 2020  From the presentation its clear that there is significant impact on a Federal program.</t>
  </si>
  <si>
    <t>Corrective Action PlanIn Finding 2020-001, a condition was noted in the reconciliation of charges and adjustments from the billing system to the general ledger not being performed in accordance with GAAP. This led to a difference between the general ledger and the billing system as well as an overstatement of receivable. Management recognizes the importance of maintaining the general ledger in accordance with Generally Accepted Accounting Principles (GAAP) and proper internal controls over financial reporting.In response to Finding 2020-001, management will reconcile all charges, adjustments, and accounts receivable on the general ledger to the year-to-date activity report on the billing system and investigate any unreconciled differences. This review will be performed by the Chief Financial Officer and completed by June 30, 2020.In Finding 2020-002, a condition was noted in the Uniform Data System report submitted to DHHS for the year ended December 31, 2019 contained incorrect data for patient revenue.The Table 9D did not include the pharmacy charge and payment information.Management recognizes the importance of complying with grant guidelines.In response to Finding 2020-002, efforts will be made to ensure that the all revenue sources recorded on the billing system is reconciled to the revenue on the UDS report. This review will be performed by the Chief Executive Officer and completed by June 30, 2020.Dale JohnsonChief Financial Officer</t>
  </si>
  <si>
    <t>Note to Schedule of Expenditures of Federal AwardsNote A- Basis of PresentationThe accompanying schedule of expenditures of federal awards includes the federal award (the Schedule) of Community Medicine Foundation, Inc. under programs of the federal government for the fiscal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Community Medicine Foundation, Inc., it is not intended to and does not present the financial position, changes in net assets, or cash flows of Community Medicine Foundation, Inc.Note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Community Medicine Foundation, Inc. has elected not to use the 10 percent de minimis indirect cost rate allowed under Uniform Guidance.Note C- SubrecipientsThe Organization provided no federal awards to subrecipients.</t>
  </si>
  <si>
    <t>097616290</t>
  </si>
  <si>
    <t>Cost rate will be followed. The revised rate will be applied from the last audit period and the expenditure recalculated and submitted.</t>
  </si>
  <si>
    <t>Pending</t>
  </si>
  <si>
    <t>63-6001155</t>
  </si>
  <si>
    <t>097616291</t>
  </si>
  <si>
    <t>IRIS HOUSE  A CENTER FOR WOMEN LIVING WITH HIV, INC.</t>
  </si>
  <si>
    <t>4S28GS77761-51</t>
  </si>
  <si>
    <t>UCLA PUBLIC HEALTH SCHOLARS TRAINING PROGRAM</t>
  </si>
  <si>
    <t>Note to Schedule of Expenditures of Federal AwardsNote A- Basis of PresentationThe accompanying schedule of expenditures of federal awards includes the federal award (the Schedule) of CareConnect Health, Inc.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CareConnect Health, Inc., it is not intended to and does not present the financial position, changes in net assets, or cash flows of CareConnect Health, Inc.Note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CareConnect Health, Inc. has elected not to use the 10 percent de minimus indirect cost rate allowed under Uniform Guidance.Note C- SubrecipientsThe Organization provided no federal awards to subrecipients.</t>
  </si>
  <si>
    <t>097616292</t>
  </si>
  <si>
    <t>63-6001156</t>
  </si>
  <si>
    <t>097616293</t>
  </si>
  <si>
    <t>LATINO COMMISSION ON AIDS</t>
  </si>
  <si>
    <t>4S28GS77761-63</t>
  </si>
  <si>
    <t>POPULATION-BASED DIABETES IN YOUTH REGISTRY. SEARCH FOR DIABETES IN YOUTH,
PHASE 4, CALIFORNIA SITE</t>
  </si>
  <si>
    <t>NOTE 2. 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</si>
  <si>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097616294</t>
  </si>
  <si>
    <t>NOTE 3. INDIRECT COST RATE MedLink Georgia, Inc. has elected not to use the 10% de minimis cost rate as allowed under the Uniform Guidance.</t>
  </si>
  <si>
    <t>097616295</t>
  </si>
  <si>
    <t>NOTE 4. LOANS OUTSTANDINGMedLink Georgia, Inc. has received two U.S. Department of Agriculture Community Facility loans. The loan balances outstanding at the beginning of the year (or the original amount borrowed during the current fiscal year) is included in the federal expenditures presented in the Schedule. MedLink Georgia, Inc. had the following balances outstanding on the loans at March 31, 2020:Program Title OutstandingFederal CFDA NumberAmount1)U.S. Department of Agriculture CommunityFacility LoanColbert Facility10.766$2,066,258Habersham Facility10.7661,264,757Total$3,331,015</t>
  </si>
  <si>
    <t>097616296</t>
  </si>
  <si>
    <t>NOTE 1. BASIS OF PRESENTATIONThe accompanying schedule of expenditures of federal awards (the "Schedule") includes the federal award activity of MedLink Georgia, Inc. under programs of the federal government for the year ended March 31, 2020. The information in the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MedLink Georgia, Inc., it is not intended to and does not present the financial position, changes in net assets, or cash flows of MedLink Georgia, Inc.</t>
  </si>
  <si>
    <t>63-6001157</t>
  </si>
  <si>
    <t>097616297</t>
  </si>
  <si>
    <t>LONG ISLAND ASSOCIATION  FOR AIDS CARE, INC.</t>
  </si>
  <si>
    <t>4H68FT82253-54</t>
  </si>
  <si>
    <t>CHRONIC DISEASE PREVENTION &amp; MANAGEMENT STRATEGY: INNOVATIVE SOLUTIONS FOR HEALTHIER COMMUNITIES</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</si>
  <si>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reimbursement.Pass-through entity identifying numbers are presented where available.</t>
  </si>
  <si>
    <t>097616298</t>
  </si>
  <si>
    <t>63-6001158</t>
  </si>
  <si>
    <t>097616299</t>
  </si>
  <si>
    <t>NEW YORK CITY DEPARTMENT  OF HEALTH</t>
  </si>
  <si>
    <t>9S90FS86003-67</t>
  </si>
  <si>
    <t>A PARTNERED EVALUATION OF UHC MEDICAID PLAN INNOVATIONS FOR DIABETES PATIENTS</t>
  </si>
  <si>
    <t>The Schedule of Expenditures of Federal Awards includes the federal award activity of Kentucky Highlands Investment Corporation and Subsidiaries and is presented on the accrual basis of accounting. Significant accounting policies used in preparing the Schedule of Expenditures of Federal Awards are the same as those used to prepare the consolidated financial statements and are disclosed in Note 1 to the consolidated financial statements (pages 11 of 44 through 15 of 44).</t>
  </si>
  <si>
    <t>097616300</t>
  </si>
  <si>
    <t>097616301</t>
  </si>
  <si>
    <t>Note 3. Loans Outstanding</t>
  </si>
  <si>
    <t>Kentucky Highlands Investment Corporation had the following loan balances (notes payable to federal agencies) outstanding at March 31, 2020.Loans made (loans receivable) from federal loan funds received during the fiscal year ended March 31, 2020, are included in the federal expenditures presented in this schedule. Beginning of year outstanding loan balances that require significant continued compliance monitoring are included in the federal expenditures presented in the Supplementary Schedule of Expenditures of Federal Awards.The proceeds of loans that were received and expended in prior years are not considered federal awards expended when the laws, regulations, and the provisions of contracts or grant agreements pertaining to such loans impose no continuing compliance requirements other than to repay the loans and have been excluded from the Supplementary Schedule of Expenditures of Federal Awards. INTERMEDIARY RELENDING PROGRAM (10.767) - Balances outstanding at the end of the audit period were 6335524. BUSINESS AND INDUSTRY LOANS (10.768) - Balances outstanding at the end of the audit period were 15781192. RURAL MICROENTREPRENEUR ASSISTANCE PROGRAM (10.870) - Balances outstanding at the end of the audit period were 1215886. COMMUNITY FACILITIES LOANS AND GRANTS (10.766) - Balances outstanding at the end of the audit period were 2147351. COMMUNITY DEVELOPMENT FINANCIAL INSTITUTIONS BOND GUARANTEE PROGRAM (21.014) - Balances outstanding at the end of the audit period were 8446994. COMMUNITY DEVELOPMENT FINANCIAL INSTITUTIONS PROGRAM (21.020) - Balances outstanding at the end of the audit period were 2000000. 7(A) LOAN GUARANTEES (59.012) - Balances outstanding at the end of the audit period were 439134. MICROLOAN PROGRAM (59.046) - Balances outstanding at the end of the audit period were 947961.</t>
  </si>
  <si>
    <t>097616302</t>
  </si>
  <si>
    <t>Note 2.  Basis of Determination of Federal Awards</t>
  </si>
  <si>
    <t>The Supplementary Schedule of Expenditures of Federal Awards includes the federal award activity of Kentucky Highlands Investment Corporation and Subsidiaries. The information in this schedule is presented in accordance with the requirements of the Uniform Guidance. Because the schedule presents only a selected portion of the operations of Kentucky Highlands Investment Corporation and Subsidiaries, it is not intended to and does not present the financial position, change in net assets, or cash flows of Kentucky Highlands Investment Corporation and Subsidiaries.</t>
  </si>
  <si>
    <t>78-8262476</t>
  </si>
  <si>
    <t>097616303</t>
  </si>
  <si>
    <t>SUNSET PARK HEALTH COUNCIL, INC.</t>
  </si>
  <si>
    <t>6H93ET88661-32</t>
  </si>
  <si>
    <t>UCLA BASED CENTRAL COORDINATING CENTER FOR THE NATURAL EXPERIMENT RESEARCH NETWORK</t>
  </si>
  <si>
    <t>NOTE A - BASIS OF PRESENTATIONThe accompanying schedule of expenditures of federal awards includes the federal agency grant activity of Big Sandy Health Care, Inc. programs of the federal government for the year ended January 31, 2020.The information in this Schedule is presented in accordance with the requirements of Title 2 U.S. Code of Federal Regulations (CFR), Uniform Administrative Requirements, Cost Principles, and Audit Requirements for Federal Awards (Uniform Guidance). Because the schedule presents only a selected portion of operations of Big Sandy Health Care, Inc., it is not intended and does not present the financial position, changes in net assets or cash flows of the Organization.NOTE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</si>
  <si>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097616304</t>
  </si>
  <si>
    <t>NOTE CINDIRECT COST RATESThe Organization has not elected to use the 10 percent de minimis indirect cost rate as allowed under the Uniform Guidance.</t>
  </si>
  <si>
    <t>78-8262477</t>
  </si>
  <si>
    <t>097616305</t>
  </si>
  <si>
    <t>UNIVERSITY OF ROCHESTER</t>
  </si>
  <si>
    <t>6H12AT82681-31</t>
  </si>
  <si>
    <t>SUPPORTING, MAINTAINING AND IMPROVING THE SURVEILLANCE SYSTEM FOR CHRONIC KIDNEY DISEASE IN THE UNITED STATES</t>
  </si>
  <si>
    <t>Note A- Basis of PresentationThe accompanying schedule of expenditures of federal awards includes the federal award (the Schedule) of Ocoee Regional Health Corporation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Ocoee Regional Health Corporation, it is not intended to and does not present the financial position, changes in net assets, or cash flows of Ocoee Regional Health Corporation.Note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Ocoee Regional Health Corporation has elected not to use the 10 percent de minimus indirect cost rate allowed under Uniform Guidance.Note C- SubrecipientsThe Organization provided no federal awards to subrecipients.</t>
  </si>
  <si>
    <t>097616306</t>
  </si>
  <si>
    <t>78-8262478</t>
  </si>
  <si>
    <t>097616307</t>
  </si>
  <si>
    <t>WILLIAM F RYAN COMMUNITY HEALTH CENTER, INC</t>
  </si>
  <si>
    <t>4R23GR90422-62</t>
  </si>
  <si>
    <t>STATE INNOVATION MODEL INITIATIVE IMPACTS ON DIABETES PREVENTION AND MANAGEMENT</t>
  </si>
  <si>
    <t>The accompanying Schedule of Expenditures of Federal Awards (the Schedule) presents the federal fund expenditures of all federal award programs of Alabama Primary Health Care Association, Inc. for the year ended March 31, 2020. The information in this Schedule is presented in accordance with the requirements of Title 2 U.S. Code of Federal Regulations (CFR) Part 200, Uniform Administrative Requirements, Cost of Principles, and Audit Requirements for Federal Awards (Uniform Guidance). Therefore, some amounts presented in this Schedule may differ from amounts presented in or used in the preparation of the Associations financial statements.During the year ended March 31, 2020, costs totaling $54,775 are reported as expenditures on the Schedule in accordance with the Uniform Guidance and reported as prepaid expenses on the statement of financial position in accordance with U.S. GAAP.Expenditures reported on the Schedule are reported on the cash basis of accounting. Such expenditures are recognized following the cost principles as found in the Uniform Guidance for federal awards. The Association has elected not to use the 10% de minimus indirect cost rate allowed under the Uniform Guidance.</t>
  </si>
  <si>
    <t>097616308</t>
  </si>
  <si>
    <t>097616309</t>
  </si>
  <si>
    <t>RELATIONSHIP TO FINANCIAL REPORTS SUBMITTED TO GRANTOR AGENCIES</t>
  </si>
  <si>
    <t>Amounts reflected in the financial reports filed with grantor agencies for the programs and the supplementary schedules may not agree because of accruals not included in the reports filed with the agencies, matching requirements not included in the Schedule of Expenditures of Federal Awards, and different program year ends.</t>
  </si>
  <si>
    <t>097616310</t>
  </si>
  <si>
    <t>FEDERALLY FUNDED INSURANCE AND FEDERALLY FUNDED LOANS</t>
  </si>
  <si>
    <t>The Association has no federally funded insurance and no federally funded loans or loan guarantees for the fiscal year ended March 31, 2020.</t>
  </si>
  <si>
    <t>097616311</t>
  </si>
  <si>
    <t>NONCASH AWARDS</t>
  </si>
  <si>
    <t>During the year ended March 31, 2020, the Association did not receive any noncash assistance.</t>
  </si>
  <si>
    <t>78-8262479</t>
  </si>
  <si>
    <t>097616312</t>
  </si>
  <si>
    <t>WOMEN'S  PRISON ASSOCIATION  AND HOME, INC.</t>
  </si>
  <si>
    <t>4S75BS90421-55</t>
  </si>
  <si>
    <t>PREVENTION AND SELF-MANAGEMENT OF HEART DISEASE, STROKE AND DIABETES</t>
  </si>
  <si>
    <t>The schedule of expenditures of federal awards (the Schedule) includes federal award activity of Access Family Health Services, Inc.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Access Family Health Services, Inc., it is not intended to and does not present the financial position, change in net assets or cash flows of Access Family Health Services, Inc. Expenditures reported on the Schedule are reported on the accrual basis of accounting. Such expenditures are recognized following the cost principles contained in the Uniform Guidance, wherein certain types of expenditures are not allowable or are limited as to reimbursement. Access Family Health Services, Inc. has elected not to use the 10% de minimis indirect cost rate allowed under the Uniform Guidance.</t>
  </si>
  <si>
    <t>097616313</t>
  </si>
  <si>
    <t>78-8262480</t>
  </si>
  <si>
    <t>097616314</t>
  </si>
  <si>
    <t>WYCKOFF HEIGHTS MEDICAL CENTER</t>
  </si>
  <si>
    <t>6S54ES90958-69</t>
  </si>
  <si>
    <t>ADVANCING CALIFORNIA S OPPORTUNITIES TO RENEW NATIVE HEALTH SYSTEMS (ACORNS)</t>
  </si>
  <si>
    <t>Note A- Basis of PresentationThe accompanying schedule of expenditures of federal awards includes the federal award (the Schedule) of Southeast Mississippi Rural Health Initiative, Inc.under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Southeast Mississippi Rural Health Initiative, Inc. , it is not intended to and does not present the financial position, changes in net assets, or cash flows of Southeast Mississippi Rural Health Initiative, Inc. 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Southeast Mississippi Rural Health Initiative, Inc.has elected not to use the 10 percent de minimus indirect cost rate allowed under Uniform Guidance.Note C- Loans OutstandingThe Organization had the following loan balances outstanding at January 31, 2020:Program TitleFederal CFDA NumberAmount OutstandingCommunity Facilities Loan10.766$439,836Community Facilities Loan10.766471,131Community Facilities Loan10.766546,179Community Facilities Loan10.76664,694</t>
  </si>
  <si>
    <t>097616315</t>
  </si>
  <si>
    <t>78-8262481</t>
  </si>
  <si>
    <t>097616316</t>
  </si>
  <si>
    <t>COLUMBIA UNIVERSITY</t>
  </si>
  <si>
    <t>4H57FT87666-30</t>
  </si>
  <si>
    <t>BUILDING CAPACITY TO REDUCE ENVIRONMENTAL EXPOSURES IN CONNECTICUT</t>
  </si>
  <si>
    <t>Note A- Basis of PresentationThe accompanying schedule of expenditures of federal awards includes the federal award (the Schedule) of Amite County Medical Services, Inc.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Amite County Medical Services, Inc., it is not intended to and does not present the financial position, changes in net assets, or cash flows of Amite County Medical Services, Inc.Note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Amite County Medical Services, Inc. has elected not to use the 10 percent de minimus indirect cost rate allowed under Uniform Guidance.Note C- SubrecipientsThe Organization provided no federal awards to subrecipients.</t>
  </si>
  <si>
    <t>161616281</t>
  </si>
  <si>
    <t>78-8262482</t>
  </si>
  <si>
    <t>161616282</t>
  </si>
  <si>
    <t>NATIONAL DEVELOPMENT  AND RESEARCH INSTITUTES,  INC</t>
  </si>
  <si>
    <t>7H69ET82592-72</t>
  </si>
  <si>
    <t>ALCOHOL SCREENING IN PLANNED PARENTHOOD TO INCREASE RESILIENCY (ASPPIRE)</t>
  </si>
  <si>
    <t>A</t>
  </si>
  <si>
    <t>CM</t>
  </si>
  <si>
    <t>Significant Deficiencies2020-01-Cash ManagementCondition:During compliance testing of CFDA 93.568 Low-Income Home Energy Assistance, wenoted NADC, Inc., as of February 29, 2020, was holding $104,704 of unexpended LiHeap funds thatwere received from prior grant years. Arkansas’ Energy Office Policy and Procedure manual regarding LiHeap specifies any unobligated and unspent funds that a Subgrantee has on hand at thetime of the close-out report, must be reimbursed to the Arkansas Energy Office no later thanDecember 31 each year.Effect:The Agency has recorded these unexpended funds in unearned revenue. Management hasprovided additional information in response to the funding that they believe should satisfy thecompliance requirement. Recommendation:We recommend management implement policies and procedures that willensure that all unobligated or unspent funds be reimbursed to the grantee.View of Responsible Officials and Planned Corrective Action:See corrective action plan.</t>
  </si>
  <si>
    <t xml:space="preserve">Management agrees with the auditor's finding of the amount of cash on hand for the LiHeap Program as of February 29, 2020. These sums have accumulated principally during years that Arkansas Office of Community Services (OCS) had been administering the grant award, (2013-2019), with the grantor subsequently moved to the Arkansas Energy Office beginning with the summer program, 2019. During the years of the cash build-up, it had been the policy of OCS to require grantees to use carryover funds for the upcoming, new grant period. Beginning in FY 2017, OCS started asking for excess funds to be returned for specific years only, and those were returned timely. OCS had not provided a mechanism to account for the un-reimbursed grant years' excesses so each year's start-up began with advances at the instruction of the grantor. Therefore, the funds were never re-programmed or returned. Without exception NADC has provided the grantees with the amounts of unexpended LiHEAP funds requested, and in some cases, as requested has provided the grantor a history by year requested of the funds available on-hand. It has been NADC's in the past to wait for instructions from the grantor because it was unknown whether they wanted the funds were to be returned. That program manual applies to the 19-20 grant year, not the 18-19 program year referred to in the finding. NADC has reached out the Arkansas Energy Office with a request for instructions on how to return the funds on hand, or re-program them, realizing that it is possible that any returns may need to be sent to different originating grantors. In future years, NADC will make a more determinable effort to see that any unexpended funds are to be returned to the grantor in accordance with the terms set forth in the relevant policy manuals. The person responsible for overseeing this correction is Staci Albert, Operations Director. </t>
  </si>
  <si>
    <t>1)Expenditures reported on the schedule are reported on the accrual basis of accounting.Such expenditures are recognized following the cost principles contained in the Uniform Guidance, wherein certain types of expenditures are not allowable or are not limited as to reimbursement.2)Pass-through identifying numbers are presented when available.3)The Agency has elected not to use the 10% de minimis indirect costs rate as allowed under the Uniform Guide.</t>
  </si>
  <si>
    <t>161616283</t>
  </si>
  <si>
    <t>78-8262483</t>
  </si>
  <si>
    <t>161616284</t>
  </si>
  <si>
    <t>PUTTING ROPS RESEARCH INTO PRACTICE: PAVING THE WAY FOR A NATIONAL PROGRAM</t>
  </si>
  <si>
    <t>4R99GR90199-82</t>
  </si>
  <si>
    <t>CONNECTICUT BEHAVIORAL RISK FACTOR SURVEILLANCE SYSTEM</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</si>
  <si>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Morehouse Community Improvement Organization, Inc. has elected not to use the 10-percent de minimis indirect cost rate allowed under the Uniform Guidance.</t>
  </si>
  <si>
    <t>161616285</t>
  </si>
  <si>
    <t>161616286</t>
  </si>
  <si>
    <t>The accompanying schedule of expenditures of federal awards includes the federal award activity of Morehouse Community Improvement Organization, Inc.,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Morehouse Community Improvement Organization, Inc., it is not intended to and does not present the financial position, changes in net assets, or cash flows of Morehouse Community Improvement Organization, Inc.</t>
  </si>
  <si>
    <t>78-8262484</t>
  </si>
  <si>
    <t>161616287</t>
  </si>
  <si>
    <t>THE NORTHEAST CENTER  FOR AGRICULTURAL HEALTH-RENEWAL</t>
  </si>
  <si>
    <t>1H78AT90194-36</t>
  </si>
  <si>
    <t>CONNECTICUT COMPREHENSIVE CANCER PREVENTION AND CONTROL PROGRAM</t>
  </si>
  <si>
    <t>LN</t>
  </si>
  <si>
    <t>Finding Reference Number:2020-001Type of Finding:FAFinding Resolution Status:ResolvedInformation on Universe Population Size:The finding was not a result of a sampling procedure.Sample Size Information:The finding was not a result of a sampling procedure.Identification of Repeat Finding and Finding Reference Number:This is not a repeat finding.Criteria:The regulatory agreement (as amended) requires monthly deposits of $13,715.Statement of Condition:Required monthly deposits to the replacement reserve are deficient in the amount of $2,011.Cause:Procedures in place to ensure that deposits are made were not followed.Effect or Potential Effect:Replacement reserve is deficient.Auditor Non-Compliance Code:NQuestioned Costs:There are no questioned costs.The finding does not relate to an undocumented transaction or unreasonable expenditure.Reporting Views of Responsible Officials:LHC was late in approving OCAF package due to insufficient government funding, however, management agrees with the finding.The replacement reserve deficiency was funded on May 8, 2020 in the amount of $2,011.Management will ensure that the replacement reserve deposits are made on a timely basis in the future.Context:Required monthly deposits to the replacement reserve are deficient in the amount of $2,011.Recommendation:Management should compare the required annual amount to the monthly deposits made to determine if the correct amount is deposited.Auditor's Summary of the Auditee's Comments on the Findings and Recommendations:Management agrees with the finding.The replacement reserve deficiency was funded on May 8, 2020 in the amount of $2,011.Management will ensure that the replacement reserve deposits are made on a timely basis in the future.Response Indicator:AgreeCompletion Date:May 8, 2020Response:Management agrees with the finding.The replacement reserve deficiency was funded on May 8, 2020 in the amount of $2,011.Management will ensure that the replacement reserve deposits are made on a timely basis in the future.</t>
  </si>
  <si>
    <t>Finding Reference Number:2020-001Concur or Do Not Concur:ConcurAgree or Disagree with Auditor Recommendations:AgreeActions Taken or Planned on the Finding:Management agrees with the finding.The replacement reserve deficiency was funded on May 8, 2020 in the amount of $2,011.Management will ensure that the replacement reserve deposits are made on a timely basis in the future.Completion Date:May 8, 2020</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</si>
  <si>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reimbursement.The Project has not elected to use the 10-percent de minimis indirect cost rate as allowed under the Uniform Guidance.</t>
  </si>
  <si>
    <t>161616288</t>
  </si>
  <si>
    <t>161616289</t>
  </si>
  <si>
    <t>MORTGAGE INSURANCE FOR THE PURCHASE OR REFINANCING OF EXISTING MULTIFAMILY HOUSING PROJECTS (14.155) - Balances outstanding at the end of the audit period were 9932764.</t>
  </si>
  <si>
    <t>78-8262485</t>
  </si>
  <si>
    <t>161616290</t>
  </si>
  <si>
    <t>LIGHTING INTERVENTIONS  TO REDUCE CIRCADIAN DISRUPTION  IN ROTATING SHIFT WORKERS</t>
  </si>
  <si>
    <t>4S62HS90893-93</t>
  </si>
  <si>
    <t>CONNECTICUT WISEWOMAN PROGRAM</t>
  </si>
  <si>
    <t>2019-001</t>
  </si>
  <si>
    <t>Finding Reference Number:2020-001Type of Finding:FAFinding Resolution Status:In ProcessInformation on Universe Population Size:The finding was not a result of a sampling procedure.Sample Size Information:The finding was not a result of a sampling procedure.Identification of Repeat Finding and Finding Reference Number:Prior year finding reference:2019-001Criteria:The regulatory agreement (as amended) requires monthly deposits of $5,627.Statement of Condition:Required monthly deposits to the replacement reserve are deficient in the amount of $227.Cause:Procedures in place to ensure that deposits are made were not followed.Effect or Potential Effect:Replacement reserve is deficient.Auditor Non-Compliance Code:NQuestioned Costs:There are no questioned costs.The finding does not relate to an undocumented transaction or unreasonable expenditure.Reporting Views of Responsible Officials:LHC was late in approving OCAF package due to insufficient government funding, however, management agrees with the finding.The replacement reserve deficiency will be funded in the amount of $227.Management will ensure that the replacement reserve deposits are made on a timely basis in the future.Context:Required monthly deposits to the replacement reserve are deficient in the amount of $227.Recommendation:Management should compare the required annual amount to the monthly deposits made to determine if the correct amount is deposited.Auditor's Summary of the Auditee's Comments on the Findings and Recommendations:Management agrees with the finding.The replacement reserve deficiency will be funded in the amount of $227.Management will ensure that the replacement reserve deposits are made on a timely basis in the future.Response Indicator:AgreeCompletion Date:May 22, 2020Response:Management agrees with the finding.The replacement reserve deficiency will be funded in the amount of $227.Management will ensure that the replacement reserve deposits are made on a timely basis in the future.</t>
  </si>
  <si>
    <t>Finding Reference Number:2020-001Concur or Do Not Concur:ConcurAgree or Disagree with Auditor Recommendations:AgreeActions Taken or Planned on the Finding:Management agrees with the finding.The replacement reserve deficiency will be funded in the amount of $227.Management will ensure that the replacement reserve deposits are made on a timely basis in the future.Completion Date:May 22, 2020</t>
  </si>
  <si>
    <t>161616291</t>
  </si>
  <si>
    <t>161616292</t>
  </si>
  <si>
    <t>MORTGAGE INSURANCE FOR THE PURCHASE OR REFINANCING OF EXISTING MULTIFAMILY HOUSING PROJECTS (14.155) - Balances outstanding at the end of the audit period were 3337368. HOME INVESTMENT PARTNERSHIPS PROGRAM (14.239) - Balances outstanding at the end of the audit period were 431068.</t>
  </si>
  <si>
    <t>78-8262486</t>
  </si>
  <si>
    <t>161616293</t>
  </si>
  <si>
    <t>STRESSORS AND CARDIO-METABOLIC DISEASE  IN POLICE: A 12-YEAR LONGITUDINAL STUDY</t>
  </si>
  <si>
    <t>2R75CR90891-89</t>
  </si>
  <si>
    <t>CONNECTICUT: IMPROVING THE HEALTH OF AMERICANS THROUGH PREVENTION AND MANAGEMENT OF DIABETES AND HEART DISEASE
AND STROKE - CDC-RFA-DP18-1815</t>
  </si>
  <si>
    <t>The accompanying schedule of expenditures of federal awards (Schedule) includes the federal award activity of Barrio Comprehensive Family Health Care Center, Inc., d/b/a CommuniCare Health Centers (Organization),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results of operations, changes in net assets or cash flows of the Organization.Expenditures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if any, represent adjustments or credits made in the normal course of business to amounts reported as expenditures in prior years.</t>
  </si>
  <si>
    <t>161616294</t>
  </si>
  <si>
    <t>161616295</t>
  </si>
  <si>
    <t>The Organization did not provide any federal awards to subrecipients during the year ended January 31, 2020.</t>
  </si>
  <si>
    <t>161616296</t>
  </si>
  <si>
    <t>Note 4</t>
  </si>
  <si>
    <t>The Organization did not have any federal loan programs during the year ended January 31, 2020.</t>
  </si>
  <si>
    <t>78-8262487</t>
  </si>
  <si>
    <t>161616297</t>
  </si>
  <si>
    <t>OCCUPATIONAL  HEALTH AND SAFETY SURVEILLANCE AND INTERVENTION IN NEW YORK STATE</t>
  </si>
  <si>
    <t>4S35HS90894-69</t>
  </si>
  <si>
    <t>CONNECTICUT: IMPROVING THE HEALTH OF AMERICANS THROUGH PREVENTION AND
MANAGEMENT OF DIABETES AND HEART DISEASE AND STROKE - CDC-RFA-DP18-1815</t>
  </si>
  <si>
    <t>NOTE A - BASIS OF PRESENTATIONThe accompanying schedule of expenditures of federal awards includes the federal award activity of Beaumont Elderly and Handicapped Housing Corporation dba Raintree Tower Apartments, HUD Project No. 114-11242,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Beaumont Elderly and Handicapped Housing Corporation dba Raintree Tower Apartments, it is not intended to and does not present the financial position, changes in net assets, or cash flows of Beaumont Elderly and Handicapped Housing Corporation dba Raintree Tower Apartments. NOTE B - 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reimbursement.Beaumont Elderly and Handicapped Housing Corporation dba Raintree Tower Apartments, HUD Project No. 114-11242, has elected not to use the 10-percent de minimis indirect cost rate allowed under the Uniform Guidance.</t>
  </si>
  <si>
    <t>161616298</t>
  </si>
  <si>
    <t>161616299</t>
  </si>
  <si>
    <t>MORTGAGE INSURANCE FOR THE PURCHASE OR REFINANCING OF EXISTING MULTIFAMILY HOUSING PROJECTS (14.155) - Balances outstanding at the end of the audit period were 2986662.</t>
  </si>
  <si>
    <t>161616300</t>
  </si>
  <si>
    <t>NOTE C - U.S. DEPARTMENT OF HOUSING AND URBAN DEVELOPMENT LOAN PROGRAM</t>
  </si>
  <si>
    <t>Beaumont Elderly and Handicapped Housing Corporation dba Raintree Tower Apartments, HUD Project No. 114-11242, has received a U.S. Department of Housing and Urban Development direct loan under Section 223(f)) of the National Housing Act.The loan balance outstanding at the beginning of the year less payments made during the year are included in the federal expenditures presented in the Schedule.Beaumont Elderly and Handicapped Housing Corporation dba Raintree Tower Apartments, HUD Project No. 114-11242, received no additional loans during the year.The balance of the loan outstanding at March 31, 2020 consists of:CFDA NumberGrant NameOutstanding Balance at April 1,2019Less Payments Made in 2020Outstanding Balance at March 31, 202014.155Section 223(f) insured loan$3,088,663$102,001$2,986,662</t>
  </si>
  <si>
    <t>78-8262488</t>
  </si>
  <si>
    <t>161616301</t>
  </si>
  <si>
    <t>TRANSGENERATIONAL WORK EXPOSURES, EDCS AND MALE FERTILITY</t>
  </si>
  <si>
    <t>1H45FT86452-43</t>
  </si>
  <si>
    <t>CONNECTICUT STATE PHYSICAL ACTIVITY AND NUTRITION PROGRAM</t>
  </si>
  <si>
    <t>Please refer to page 18 of the audit report.</t>
  </si>
  <si>
    <t>161616302</t>
  </si>
  <si>
    <t>161616303</t>
  </si>
  <si>
    <t>COMMUNITY FACILITIES LOANS AND GRANTS (10.766) - Balances outstanding at the end of the audit period were 1363844. COMMUNITY FACILITIES LOANS AND GRANTS (10.766) - Balances outstanding at the end of the audit period were 558152.</t>
  </si>
  <si>
    <t>78-8262489</t>
  </si>
  <si>
    <t>161616304</t>
  </si>
  <si>
    <t>UNIVERSITY AT BUFFALO, SUNY OCCUPATIONAL SAFETY AND HEALTH TRAINING PROJECT</t>
  </si>
  <si>
    <t>2R60CR85032-53</t>
  </si>
  <si>
    <t>CONNECTICUT STATE ACTIONS TO IMPROVE ORAL HEALTH OUTCOMES</t>
  </si>
  <si>
    <t>161616305</t>
  </si>
  <si>
    <t>169616289</t>
  </si>
  <si>
    <t>MORTGAGE INSURANCE FOR THE PURCHASE OR REFINANCING OF EXISTING MULTIFAMILY HOUSING PROJECTS (14.155) - Balances outstanding at the end of the audit period were 2598757.</t>
  </si>
  <si>
    <t>78-8262490</t>
  </si>
  <si>
    <t>169616290</t>
  </si>
  <si>
    <t>NYSDOH: THE NATIONAL SYNDROMIC SURVEILLANCE PROGRAM</t>
  </si>
  <si>
    <t>2H31HT85033-95</t>
  </si>
  <si>
    <t>PREVENTION RESEARCH IN THE DIGITAL AGE: PUBLIC AND PRIVATE PARTNERSHIPS FOR
SUSTAINABLE IMPACT AT SCALE</t>
  </si>
  <si>
    <t>Note A - Basis of PresentationThe accompanying schedule of expenditures of federal awards includes the federal award activity of Broadwater Village, HUD Project No. 093-44019-NP,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Broadwater Village, it is not intended to and does not present the financial position, changes in net assets, or cash flows of Broadwater Village.Note B - Summary of Significant Accounting PoliciesExpenditures reported on the Schedule are reported on the accrual basis of accounting.Such expenditures are recognized following the cost principles contained in the Uniform Guidance, wherein certain types of expenditures are not allowable or are limited as to reimbursement. Broadwater Village has elected not to use the 10-percent de minimis indirect cost rate allowed under the Uniform Guidance.</t>
  </si>
  <si>
    <t>281616281</t>
  </si>
  <si>
    <t>281616282</t>
  </si>
  <si>
    <t>SECTION 201 FLEXIBLE SUBSIDY LOAN (14.164) - Balances outstanding at the end of the audit period were 621542.</t>
  </si>
  <si>
    <t>78-8262491</t>
  </si>
  <si>
    <t>281616283</t>
  </si>
  <si>
    <t>HOSPITAL PREPAREDNESS PROGRAM  (HPP)  AND PUBLIC HEALTH EMERGENCY PREPAREDNESS (PHEP) ALIGNED COOPERATIVE AGREEMENTS</t>
  </si>
  <si>
    <t>7R92IR85718-39</t>
  </si>
  <si>
    <t>HARTFORD HEALTHY FAMILY INITIATIVE</t>
  </si>
  <si>
    <t>Note 1Basis of PresentationThe accompanying Schedule of Expenditures of Federal Awards (the Schedule) includes theexpenditures of Homewise, Inc. and affiliates under programs of the federal government for theyear ended March 31, 2020. The information in the Schedule is presented in accordance with therequirements of Uniform Administrative Requirements, Cost Principles, and Audit Requirementsfor Federal Awards. Therefore, some amounts presented in the Schedule may differ fromamounts presented in or used in the preparation of the basic consolidated financial statements.Note 2Summary of Significant Accounting PoliciesExpenditures reported in the Schedule are reported on the accrual basis of accounting. Suchexpenditures are recognized following cost principles contained in Uniform AdministrativeRequirements, Cost Principles, and Audit Requirements for Federal Awards, wherein certaintypes of expenditures are not allowed. Catalogue of Federal Domestic Assistance numbers(CFDA No.) are provided when available.</t>
  </si>
  <si>
    <t>281616284</t>
  </si>
  <si>
    <t>281616285</t>
  </si>
  <si>
    <t>Note 3Loans and Loan GuaranteesIn accordance with Title 2, U.S. Code of Federal Regulations Part 200, Uniform Administrative Requirements, Cost Principles and Audit Requirements of Federal Awards, Homewise discloses loans and loans guarantees. The reported amount includes new loans made during the year, plus prior year loans for which the federal government imposes continuing compliance requirements.Accordingly, the total expenditures per the Schedule of Expenditures of Federal Awards is adjusted as follows:Total expenditures per the Schedule of Expenditures of Federal Awards $ 8,404,764Loans and loan guarantees:Capital Magnet Fund (CFDA #21.011) 2,127,371CDFI Bond Guarantee Program (CFDA #21.020) 9,900,000Adjusted total expenditures per Schedule of Expenditures of Federal Awards $ 20,432,135Note 4CDFI Bond Guarantee ProgramBonds outstanding at the beginning of the year and bond funding drawn during the year are included in the federal expenditures presented in the schedule. The balance of bonds outstanding at March 31, 2020 consists of:Beginning balance, March 31, 2019 $ 9,900,000Bond funding drawn 5,100,000Less principal payments (279,611)Ending balance, March 31, 2020 $ 14,720,389</t>
  </si>
  <si>
    <t>78-8262492</t>
  </si>
  <si>
    <t>281616286</t>
  </si>
  <si>
    <t>NYC DOHMH BUDGET PERIOD  1 (07/01/2017 -
06/30/2018) HPP-PHEP APPLICATION</t>
  </si>
  <si>
    <t>1H40ET85717-96</t>
  </si>
  <si>
    <t>REACH NEW HAVEN: ACCELERATING LOCAL ACTION TO TRANSFORM COMMUNITIES FOR HEALTH EQUITY</t>
  </si>
  <si>
    <t>The schedule of expenditures of federal awards presents the activity of all federal award programs of Midtown Community Health Center, Inc. (the Center). All federal financial awards received directly from federal agencies as well as federal financial awards passed through from other government agencies are included on the schedule. The schedule shows the federal awards expended on the accrual basis of accounting as shown on the statement of activities for the year ended March 31, 2020.</t>
  </si>
  <si>
    <t>281616287</t>
  </si>
  <si>
    <t>78-8262493</t>
  </si>
  <si>
    <t>281616288</t>
  </si>
  <si>
    <t>CDC UNDERGRADUATE  PUBLIC HEALTH SCHOLARS PROGRAM</t>
  </si>
  <si>
    <t>3S89ES90239-70</t>
  </si>
  <si>
    <t>COMPONENT A (CORE SURVEILLANCE): CONNECTICUT PREGNANCY RISK ASSESSMENT
MONITORING SYSTEM (PRAMS)</t>
  </si>
  <si>
    <t>NOTE 2SUMMARY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</si>
  <si>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281616289</t>
  </si>
  <si>
    <t>281616290</t>
  </si>
  <si>
    <t>MORTGAGE INSURANCE FOR THE PURCHASE OR REFINANCING OF EXISTING MULTIFAMILY HOUSING PROJECTS (14.155) - Balances outstanding at the end of the audit period were 21476144.</t>
  </si>
  <si>
    <t>281616291</t>
  </si>
  <si>
    <t>NOTE 1  BASIS OF PRESENTATION</t>
  </si>
  <si>
    <t>The accompanying Schedule of Expenditures of Federal Awards (Schedule) includes the federal grant and loan activity of Orinda Senior Village, Inc.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Therefore, some amounts presented in this schedule may differ from amounts presented in, or used in the preparation of, the basic financial statements. The purpose of the Schedule is to present a summary of those activities of Orinda Senior Village, Inc. for the year ended January 31, 2020, which have been financed by the U.S. Government. For purposes of the Schedule, federal awards include all federal assistance entered into directly and indirectly between Orinda Senior Village, Inc. and the federal government. Orinda Senior Village, Inc. did not elect to use the 10% de minimis indirect cost rate as allowed under the Uniform Guidance.</t>
  </si>
  <si>
    <t>281616292</t>
  </si>
  <si>
    <t>NOTE 3  PRIOR YEARS EXPENDITURES</t>
  </si>
  <si>
    <t>The accompanying Schedule of Expenditures of Federal Awards includes $21,875,503 in expenditures from prior years for which continuing compliance is required.</t>
  </si>
  <si>
    <t>78-8262494</t>
  </si>
  <si>
    <t>281616293</t>
  </si>
  <si>
    <t>NEW YORK CITY DEPARTMENT  OF HEALTH AND MENTAL HYGIENE</t>
  </si>
  <si>
    <t>9R87AR86979-86</t>
  </si>
  <si>
    <t>CONNECTICUT MATERNAL MORTALITY REVIEW PROGRAM TO REDUCE CONNECTICUT MATERNAL
DEATHS</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</si>
  <si>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t>
  </si>
  <si>
    <t>281616294</t>
  </si>
  <si>
    <t>281616295</t>
  </si>
  <si>
    <t>MAJOR PROGRAM</t>
  </si>
  <si>
    <t>For consideration of the major program all grants under the same catalog of federal domestic assistance (CFDA) number are considered as one cluster of programs.</t>
  </si>
  <si>
    <t>281616296</t>
  </si>
  <si>
    <t>LOAN GUARANTEE</t>
  </si>
  <si>
    <t>The Department of Agriculture has guaranteed a loan for the Center. The original amount of the loan was $4,335,000, payable in fixed monthly installments of $22,530 for a period of 30 years at 4.41% interest.The current outstanding balance on the loan is $3,801,650. It has been determined that there are no special provisions or requirements other than to pay back the loan in a timely fashion, so the outstanding balance has not been included in the Schedule of Expenditures of Federal Awards for the year ended January 31, 2020.</t>
  </si>
  <si>
    <t>281616297</t>
  </si>
  <si>
    <t>The accompanying schedule of expenditures of federal awards (the Schedule) includes the federal award activity of United Community Health Center - Maria Auxiliadora, Inc.,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aselected portion of the operations of United Community Health Center - Maria Auxiliadora, Inc., it is not intended to and does not present the financial position, changes in net assets or cash flows of United Community Health Center - Maria Auxiliadora, Inc.</t>
  </si>
  <si>
    <t>23-7573565</t>
  </si>
  <si>
    <t>281616298</t>
  </si>
  <si>
    <t>BARNARD COLLEGE</t>
  </si>
  <si>
    <t>9H33HT86977-61</t>
  </si>
  <si>
    <t>CONNECTICUT QUITLINE INFRASTRUCTURE EXPANSION</t>
  </si>
  <si>
    <t>Expenditures reported on the Schedule are reported on the accrual basis of accounting. Such expenditures are recognized following the OMB Circular A-122, Cost Principles for Nonprofit Organizations or the cost principles contained in the Uniform Guidance, wherein certain types of expenditures are not allowable or are limited as to reimbursement.Pass through entity identifying numbers are presented where available.</t>
  </si>
  <si>
    <t>281616299</t>
  </si>
  <si>
    <t>281616300</t>
  </si>
  <si>
    <t>Loan Program</t>
  </si>
  <si>
    <t>The following is the activity of the loan payable for the year ended March 31, 2020: CFDA Number: 14.157, Program Name: Supportive Housing for the Elderly (Section 202), Loan Outstanding March 31, 2019: $1,097,180, Loans Awarded for the Year Ended March 31, 2020: $0, Loan Principal Repaid for the Year Ended March 31, 2020: $286,232, Loan Outstanding March 31, 2020: $810,948.</t>
  </si>
  <si>
    <t>23-7573566</t>
  </si>
  <si>
    <t>281616301</t>
  </si>
  <si>
    <t>BARRON ASSOCIATES, INC.</t>
  </si>
  <si>
    <t>5S15DS86867-75</t>
  </si>
  <si>
    <t>TOBACCO CONTROL PROGRAM</t>
  </si>
  <si>
    <t>Expenditures reported on the Schedule are reported on the accrual basis of accounting. Such expenditures are recognized following the OMB Circular A-122, Cost Principles for Nonprofit Organizations or the cost principles contained in the Uniform Guidance, wherein certain types of expenditures are not allowable or are limited as to reimbursement, pass through entity identifying numbers are presented where available.</t>
  </si>
  <si>
    <t>281616302</t>
  </si>
  <si>
    <t>The Corporation has elected to use the 10-percent de minimis indirect cost rate as allowed under Uniform Guidance.</t>
  </si>
  <si>
    <t>281616303</t>
  </si>
  <si>
    <t>The following is the activity of the loan payable for the year ended March 31, 2020: CFDA Number: 14.155, Program Name: Mortgage Insurance for the Purchase or Refinancing of Existing Multifamily Housing Projects - Section 223(f), Loans Outstanding March 31, 2019: $795,861, Loans Awarded for the Year Ended March 31, 2020: $0, Loan Principal Repaid for the Year Ended March 31, 2020: $468,756, Loans Outstanding March 31, 2020: $327, 105</t>
  </si>
  <si>
    <t>23-7573567</t>
  </si>
  <si>
    <t>281616304</t>
  </si>
  <si>
    <t>BARUCH S. BLUMBERG INSTITUTE</t>
  </si>
  <si>
    <t>7R47IR86869-67</t>
  </si>
  <si>
    <t>STATE OF CONNECTICUT DEPARTMENT OF PUBLIC HEALTH EPIDEMIOLOGY AND LABORATORY CAPACITY FOR PREVENTION AND
CONTROL OF EMERGING INFECTIOUS DISEASES</t>
  </si>
  <si>
    <t>P</t>
  </si>
  <si>
    <t>Finding reference number: 2020-001CFDA title and number (Federal award identification number and year): Mortgage Insurance for the Purchase or Refinancing of Existing Multifamily Housing Projects, CFDA 14.155 (136-11103 and 2019)Auditor non-compliance code: Z - OtherFinding resolution status:ResolvedUniverse population size:The universe population size is not applicable to the finding.Sample size information:The sample size information is not applicable to the finding.Statistically valid sample:NoName of Federal Agency:U.S. Department of Housing and Urban DevelopmentPass-through entity: N/A Questioned costs: $11,009Statement of Condition 2020-001(CFDA 14.155):During the year ended February 29, 2020, the property inadvertently reimbursed RHFFI for costs related to the refinancing that were previously reimbursed. As of February 29, 2020, RHFFI owes the Property $11,009.Criteria:Paragraph 14(c) of the Regulatory Agreement, states that owners shall not without the prior written approval of the Secretary, pay out any funds except from surplus cash, except for reasonable operating expenses and necessary repairs.Effect or potential effect:The Corporation is not in compliance with the Regulatory Agreement. The Property's operating cash account has been reduced by $11,009. This amount has been considered in the surplus cash calculation for the year ended February 29, 2020.Cause:RHFFI was inadvertently reimbursed during the refinance closing for costs previously reimbursed.Recommendation:RHFFI should reimburse the Property's operating cash account in the amount of $11,009. Completion Date: March 9, 2020Management Response: Agree. On March 9, 2020, RHFFI reimbursed the Property's operating cash account.</t>
  </si>
  <si>
    <t>Statement of Condition 2020-001(CFDA 14.155):During the year ended February 29, 2020, the property inadvertently reimbursed RHFFI for costs related to the refinancing that were previously reimbursed. As of February 29, 2020, RHFFI owes the Property $11,009.Recommendation:RHFFI should reimburse the Property's operating cash account in the amount of $11,009.Action(s) taken or planned on the finding:Agree. On March 9, 2020, RHFFI reimbursed the Property's operating cash account.</t>
  </si>
  <si>
    <t>281616305</t>
  </si>
  <si>
    <t>281616306</t>
  </si>
  <si>
    <t>MORTGAGE INSURANCE FOR THE PURCHASE OR REFINANCING OF EXISTING MULTIFAMILY HOUSING PROJECTS (14.155) - Balances outstanding at the end of the audit period were 4058679. SUPPORTIVE HOUSING FOR THE ELDERLY (14.157) - Balances outstanding at the end of the audit period is $-0-.</t>
  </si>
  <si>
    <t>Loan accounts will be reviewed and appropriate amendments will be made and submitted. Delay may be there in the implementation, due to administrative reasons.</t>
  </si>
  <si>
    <t>23-7573568</t>
  </si>
  <si>
    <t>281616307</t>
  </si>
  <si>
    <t>BASE PAIR BIOTECHNOLOGIES, INC.</t>
  </si>
  <si>
    <t>2H82IT86871-84</t>
  </si>
  <si>
    <t>STATE OF CONNECTICUT DEPARTMENT OF PUBLIC HEALTH EPIDEMIOLOGY AND
LABORATORY CAPACITY FOR PREVENTION AND CONTROL OF EMERGING INFECTIOUS DISEASES</t>
  </si>
  <si>
    <t>281616308</t>
  </si>
  <si>
    <t>333636333</t>
  </si>
  <si>
    <t>SUPPORTIVE HOUSING FOR THE ELDERLY (14.157) - Balances outstanding at the end of the audit period were 1173807.</t>
  </si>
  <si>
    <t>23-7573569</t>
  </si>
  <si>
    <t>333636334</t>
  </si>
  <si>
    <t>BASE2 GENOMICS, LLC</t>
  </si>
  <si>
    <t>6H56CT88524-58</t>
  </si>
  <si>
    <t>PREVENTIVE HEALTH AND HEALTH SERVICES BLOCK GRANT</t>
  </si>
  <si>
    <t>333636335</t>
  </si>
  <si>
    <t>334636434</t>
  </si>
  <si>
    <t>SUPPORTIVE HOUSING FOR THE ELDERLY (14.157) - Balances outstanding at the end of the audit period were 2347600.</t>
  </si>
  <si>
    <t>23-7573570</t>
  </si>
  <si>
    <t>334636435</t>
  </si>
  <si>
    <t>BASEPAIR, INC.</t>
  </si>
  <si>
    <t>2H39FT89899-34</t>
  </si>
  <si>
    <t>334636436</t>
  </si>
  <si>
    <t>334636437</t>
  </si>
  <si>
    <t>SUPPORTIVE HOUSING FOR THE ELDERLY (14.157) - Balances outstanding at the end of the audit period were 1480632.</t>
  </si>
  <si>
    <t>23-7573571</t>
  </si>
  <si>
    <t>334636438</t>
  </si>
  <si>
    <t>BATANDCAT, INC.</t>
  </si>
  <si>
    <t>4H70DT84819-51</t>
  </si>
  <si>
    <t>NEW YORK STATE'S PROGRAM TO REDUCE ENVIRONMENTAL EXPOSURES AT TARGETED
SITES</t>
  </si>
  <si>
    <t>334636439</t>
  </si>
  <si>
    <t>334636440</t>
  </si>
  <si>
    <t>MORTGAGE INSURANCE FOR THE PURCHASE OR REFINANCING OF EXISTING MULTIFAMILY HOUSING PROJECTS (14.155) - Balances outstanding at the end of the audit period were 5166259.</t>
  </si>
  <si>
    <t>13-8735535</t>
  </si>
  <si>
    <t>334636441</t>
  </si>
  <si>
    <t>BATES COLLEGE</t>
  </si>
  <si>
    <t>5R87IR84479-77</t>
  </si>
  <si>
    <t>A HEALTH STUDY OF NEW YORK STATE COMMUNITIES EXPOSED TO PFAS CONTAMINATED DRINKING WATER</t>
  </si>
  <si>
    <t>334636442</t>
  </si>
  <si>
    <t>334636443</t>
  </si>
  <si>
    <t>MORTGAGE INSURANCE FOR THE PURCHASE OR REFINANCING OF EXISTING MULTIFAMILY HOUSING PROJECTS (14.155) - Balances outstanding at the end of the audit period were 1680748.</t>
  </si>
  <si>
    <t>13-8735536</t>
  </si>
  <si>
    <t>334636444</t>
  </si>
  <si>
    <t>BATTELLE CENTERS/PUB HLTH RES &amp; EVALUATN</t>
  </si>
  <si>
    <t>2C98HS84464-73</t>
  </si>
  <si>
    <t>NEW YORK STATE COMPONENT A: BD-STEPS II CORE</t>
  </si>
  <si>
    <t>Finding reference number: 2020-001CFDA title and number (Federal award identification number and year): Mortgage Insurance for the Purchase or Refinancing of Existing Multifamily Housing Projects, CFDA 14.155 (Project identification number 103-11083 and 2017)Auditor non-compliance code: M - Security DepositsFinding resolution status: ResolvedUniverse population size: 12 monthsSample size information: 3 monthsStatistically valid sample: YesName of Federal agency: U.S. Department of Housing and Urban DevelopmentPass-through entity: N/AQuestioned costs: $130Statement of condition 2020-001 (CFDA 14.155): The resident security deposit account did not have adequate funds to cover the security deposits collected at January 31, 2020.Criteria: Pursuant to Section 12 of the Regulatory Agreement, resident security deposits are required to be funded in a separate account in an amount which shall at all times equal or exceed the aggregate of all outstanding obligations.Effect: The Corporation is not in compliance with the Regulatory Agreement. Failure to fund resident security deposits could result in the inability of the Corporation to return security deposits to residents upon termination of a resident’s lease.Cause: The resident security deposit account did not have adequate funds to cover the security deposits collected at January 31, 2020.Recommendation: Management should reconcile the security deposit listing on a monthly basis and transfer funds from the operating cash account to ensure the resident security deposit account is adequately funded.Completion date: April 27, 2020Management's response: Agree. Management transferred $130 from the operating cash account on April 27, 2020.</t>
  </si>
  <si>
    <t>Statement of condition 2020-001 (CFDA 14.155): The resident security deposit account did not have adequate funds to cover the security deposits collected at January 31, 2020.Recommendation: Management should transfer funds from the operating cash account to ensure the resident security deposit account is adequately funded.Action(s) taken or planned on the finding: Agree. Management transferred $130 from the operating cash account on April 27, 2020.</t>
  </si>
  <si>
    <t>334636445</t>
  </si>
  <si>
    <t>971616140</t>
  </si>
  <si>
    <t>MORTGAGE INSURANCE FOR THE PURCHASE OR REFINANCING OF EXISTING MULTIFAMILY HOUSING PROJECTS (14.155) - Balances outstanding at the end of the audit period were 2414745.</t>
  </si>
  <si>
    <t>13-8735537</t>
  </si>
  <si>
    <t>971616141</t>
  </si>
  <si>
    <t>BATTELLE MEMORIAL INSTITUTE</t>
  </si>
  <si>
    <t>2C94BS84466-70</t>
  </si>
  <si>
    <t>SURVEILLANCE OF CONGENITAL HEART DEFECTS AMONG CHILDREN, ADOLESCENTS &amp; ADULTS</t>
  </si>
  <si>
    <t>Expenditures reported on the Schedule are reported on the modified accrual basis of accounting. Such expenditures are recognized following the cost principles contained in the Uniform Guidance wherein certain types of expenditures are not allowable or are limited as to reimbursement. The Board has not elected to use the 10% de minimis indirect cost rate as allowed in the UniformGuidance.</t>
  </si>
  <si>
    <t>971616142</t>
  </si>
  <si>
    <t>13-8735538</t>
  </si>
  <si>
    <t>971616143</t>
  </si>
  <si>
    <t>BATTELLE PACIFIC NORTHWEST LABORATORIES</t>
  </si>
  <si>
    <t>8C18HS84802-74</t>
  </si>
  <si>
    <t>DOCUMENTATION AND USE OF FOLLOW-UP DIAGNOSTIC AND INTERVENTION SERVICES DATA THROUGH THE MAINTENANCE AND ENHANCEMENT OF THE NEW YORK EARLY
HEARING DETECTION AND INTERVENTION INFORMATION SYSTEM</t>
  </si>
  <si>
    <t>Note 1Basis of PresentationThe accompanying Schedule of Expenditures of Federal Awards (the "Schedule")includes the federal award activity of the Housing Authority of the City of Elwood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Housing Authority of the City of Elwood, it is not intended to and does not present the financial position, changes in net position or cash flow of Housing Authority of the City of Elwood.</t>
  </si>
  <si>
    <t>971616144</t>
  </si>
  <si>
    <t>13-8735539</t>
  </si>
  <si>
    <t>971616145</t>
  </si>
  <si>
    <t>BAY AREA TUMOR INSTITUTE</t>
  </si>
  <si>
    <t>9C50AS77014-77</t>
  </si>
  <si>
    <t>NYS IMPROVING THE HEALTH OF PEOPLE WITH MOBILITY LIMITATIONS AND INTELLECTUAL DISABILITIES THROUGH STATE-BASED PUBLIC
HEALTH PROGRAMS</t>
  </si>
  <si>
    <t>1.The Schedule of Expenditures of Federal Awards includes the federal grant activity for the year ended March 31, 2020 and is presented in accordance with generally accepted accountingprinciples.The information in this schedule is presented in accordance with the requirementsof Title 2 U.S. Code of Federal Regulations Part 200, Uniform Administrative Requirements,Costs Principles, and Audit Requirements for Federal Awards (Uniform Guidance).</t>
  </si>
  <si>
    <t>971616146</t>
  </si>
  <si>
    <t>13-8735540</t>
  </si>
  <si>
    <t>971616147</t>
  </si>
  <si>
    <t>BAYESIC TECHNOLOGIES, LLC</t>
  </si>
  <si>
    <t>2C98HS86731-78</t>
  </si>
  <si>
    <t>BASIS OF PRESENTATION- The accompanying schedule of expenditures of federal awards presents the activity of federal financial assistance programs administered by the Central New York Regional Transportation Authority and Subsidiaries (the Authority). The schedule of expenditures of federal awards has been prepared on the accrual basis of accounting in accordance with generally accepted accounting principles.</t>
  </si>
  <si>
    <t>971616148</t>
  </si>
  <si>
    <t>971616149</t>
  </si>
  <si>
    <t>EXPENDITURES OF FEDERAL REVENUE</t>
  </si>
  <si>
    <t>The amounts reported as expenditures of federal revenue were obtained from the accounting records utilized to record activity for the applicable program and periods. These accounting records are periodically reconciled to the appropriate federal financial reports for each program. The schedule of expenditures of federal awards has been prepared on the accrual basis of accounting in accordance with generally accepted accounting principles.</t>
  </si>
  <si>
    <t>971616150</t>
  </si>
  <si>
    <t>MATCHING COSTS</t>
  </si>
  <si>
    <t>Matching costs, i.e., the Authority's or New York State's share of certain program costs, are not included in the reported expenditures.</t>
  </si>
  <si>
    <t>971616151</t>
  </si>
  <si>
    <t>INDIRECT COSTS</t>
  </si>
  <si>
    <t>Indirect costs may be included in the reported expenditures, to the extent they are included in the federal financial reports used as the source for the data presented. The Authority did not elect to use the 10 percent de minimus indirect cost rate as allowed under the Uniform Guidance.</t>
  </si>
  <si>
    <t>13-8735541</t>
  </si>
  <si>
    <t>971616152</t>
  </si>
  <si>
    <t>BAYLOR COLLEGE OF MEDICINE</t>
  </si>
  <si>
    <t>3B85IR86775-68</t>
  </si>
  <si>
    <t>Expenditures reported on the Schedule are reported on the accrual basis of accounting.Such expenditure are recognized following the cost principles contained in the Uniform Guidance, wherein certain types of expenditures are not allowable or are limited as to reimbursement.</t>
  </si>
  <si>
    <t>971616153</t>
  </si>
  <si>
    <t>971616154</t>
  </si>
  <si>
    <t>SUPPORTIVE HOUSING FOR THE ELDERLY (14.157) - Balances outstanding at the end of the audit period were 1444177.</t>
  </si>
  <si>
    <t>13-8735542</t>
  </si>
  <si>
    <t>971616155</t>
  </si>
  <si>
    <t>BAYLOR RESEARCH INSTITUTE</t>
  </si>
  <si>
    <t>2D78CT89251-44</t>
  </si>
  <si>
    <t>SEATTLE CHILDREN'S UROLOGIC MANAGEMENT TO PRESERVE INITIAL RENAL FUNCTION PROTOCOL FOR YOUNG CHILDREN WITH SPINA
BIFIDA (UMPIRE PROTOCOL) (COMPONENT C)</t>
  </si>
  <si>
    <t>C</t>
  </si>
  <si>
    <t>Finding Reference Number:2020-001Type of Finding:FAFinding Resolution Status:In Process Information on Universe Population Size:The finding was not a result of a sampling procedure.Sample Size Information:The finding was not a result of a sampling procedure.Identification of Repeat Finding and Finding Reference Number:This is not a repeat finding. Criteria:Per Notice H-2012-14, "Residual Receipts account balances in excess of $250 per unit must be applied on a monthly basis to offset Section 8 HAP payments up to the full amount of the monthly subsidy request, depending upon the amount of Residual Receipts available for the offset.Monthly offsets must continue until the Residual Receipts account reaches the Retained Balance level of $250 per unit."Statement of Condition:The project did not offset the monthly Section 8 Housing Assistance Payments.Cause:Residual Receipts account balance was not monitored.Effect or Potential Effect:Residual Receipts account was not used to offset project operating costs.Auditor Non-Compliance Code:RQuestioned Costs:There are no questioned costs.The finding does not relate to an undocumented transaction or unreasonable expenditure.Reporting Views of Responsible Officials:Management agrees with the finding.The excess funds were accrued to offset future Section 8 HAP requests.Context:The project did not offset the monthly Section 8 Housing Assistance Payments.Recommendation:Management should monitor the Residual Receipts account balance and apply excess deposits against Section 8 HAP requests.Auditor's Summary of the Auditee's Comments on the Findings and Recommendations:Management agrees with the finding.The excess funds were accrued to offset future Section 8 HAP requests.Response Indicator:Agree Completion Date:May 27, 2020Response:Management agrees with the finding.The excess funds were accrued to offset future Section 8 HAP requests.</t>
  </si>
  <si>
    <t>Finding Reference Number:2020-001Concur or Do Not Concur:ConcurAgree or Disagree with Auditor Recommendations:Agree Actions Taken or Planned on the Finding:Management agrees with the finding.The excess funds were accrued to offset future Section 8 HAP requests.Completion Date:May 27, 2020</t>
  </si>
  <si>
    <t>971616156</t>
  </si>
  <si>
    <t>971616157</t>
  </si>
  <si>
    <t>MORTGAGE INSURANCE FOR THE PURCHASE OR REFINANCING OF EXISTING MULTIFAMILY HOUSING PROJECTS (14.155) - Balances outstanding at the end of the audit period were 2404922.</t>
  </si>
  <si>
    <t>13-8735543</t>
  </si>
  <si>
    <t>971616158</t>
  </si>
  <si>
    <t>BAYLOR UNIVERSITY</t>
  </si>
  <si>
    <t>9C31BS89816-25</t>
  </si>
  <si>
    <t>DOCUMENTATION AND USE OF FOLLOW-UP DIAGNOSTIC AND INTERVENTION SERVICES DATA THROUGH THE MAINTENANCE AND ENHANCEMENT OF THE EARLY HEARING
DETECTION AND INTERVENTION INFORMATION SYSTEM (EHDI-IS)</t>
  </si>
  <si>
    <t>Expenditures reported on the Schedule of Expenditures of Federal Awards are reported on theaccrual basis of accounting. Such expenditures are recognized following the cost principlescontained in Title 2 U.S. Code of Federal Regulations (CFR) Part 200, Uniform AdministrativeRequirements, Cost Principles, and Audit Requirements for Federal Awards, wherein certaintypes of expenditures are not allowable or are limited to reimbursement. Pass-throughidentifying numbers are presented where available.</t>
  </si>
  <si>
    <t>971616159</t>
  </si>
  <si>
    <t>971616160</t>
  </si>
  <si>
    <t>SUPPORTIVE HOUSING FOR THE ELDERLY (14.157) - Balances outstanding at the end of the audit period were 3277300.</t>
  </si>
  <si>
    <t>13-8735544</t>
  </si>
  <si>
    <t>971616161</t>
  </si>
  <si>
    <t>BAYSTATE MEDICAL CENTER</t>
  </si>
  <si>
    <t>8C54DS88995-36</t>
  </si>
  <si>
    <t>WASHINGTON'S NOVEL APPROACH:  IMPROVING ARTHRITIS MANAGEMENT AND REDUCING ARTHRITIS BURDEN USING A MULTI-TIERED
APPROACH.</t>
  </si>
  <si>
    <t>Note 1.OrganizationThe Police Department of Kansas City, Missouri, (the Department) is the recipient of several federal awards. The accompanying schedule of expenditures of federal awards presents the activity of all federal awards programs of the Department for the year ended April 30, 2020. All federal awards received directly from federal agencies, as well as federal awards passed through other government agencies, are included on the schedule.Note 2.Basis of PresentationThe accompanying schedule of expenditures of federal awards includes the federal grant activity of the Department and is presented on the modified accrual basis of accounting. The information presented in this schedule is in accordance with the requirements of Title 2 U.S. Code of Federal Regulations Part 200, Uniform Administrative Requirements, Cost Principles, and Audit Requirements for Federal Awards (Uniform Guidance). Therefore, some amounts presented in this schedule may differ from amounts presented in, or used in the preparation of, the basic financial statements.Note 3.Local Government ContributionsLocal cost sharing, as defined by Title 2 U.S. Code of Federal Regulations Part 200, is required by certain federal grants. The amount of cost sharing varies with each program. Only the federal share of expenditures is presented in the Schedule of Expenditures of Federal Awards.Note 4.Additional AuditsGrantor agencies reserve the right to conduct additional audits of the Departments grant programs for economy and efficiency and program results which may result in disallowed costs to the Department.However, management does not believe such audits would result in any disallowed costs that would be material to the Departments financial position at April 30, 2020.</t>
  </si>
  <si>
    <t>971616162</t>
  </si>
  <si>
    <t>13-8735545</t>
  </si>
  <si>
    <t>971616163</t>
  </si>
  <si>
    <t>BB MEDICAL SURGICAL, INC.</t>
  </si>
  <si>
    <t>4C87ES89617-58</t>
  </si>
  <si>
    <t>SPIPA NATIVE WOMEN'S WELLNESS
PROJECTSPIPA COMPREHENSIVE CANCER CONTROL PROJECT</t>
  </si>
  <si>
    <t>Finding reference number:2020-001CFDA title and number (Federal award identification number and year):Supportive Housing for the Elderly, CFDA 14.157 (Project identification number 112-EH109 and 1990)Auditor non-compliance code:Q - Failure to make Mortgage PaymentsFinding resolution status:Resolved Universe population size:The universe population is not applicable to the finding.Sample size information:The sample size information is not applicable to the finding.Noncompliance information:See statement of condition 2020-001 for noncompliance information.Statistically valid sample:N/AName of Federal agency:U.S. Department of Housing and Urban DevelopmentPass-through entity:N/ARepeat Finding: Yes, see Finding 2019-001.Questioned costs:$486Statement of Condition 2020-001 (CFDA 14.157):As of February 29, 2020, the Corporation is delinquent $486 on the mortgage note.Criteria:Pursuant to Section 1 of the Regulatory Agreement, the Corporation is required to make all payments due under the mortgage.Effect:The Corporation is not in compliance with the terms of the Regulatory Agreement.The mortgage is in default in the amount of $486 at February 29, 2020.Cause:The mortgage payment for the month of February 2020 was not made in full.The monthly mortgage payments are deducted from the monthly HAP subsidy received, however, the HAP subsidy received for February 2020 was $486 less than the monthly mortgage payment.Recommendation:Management should pay the delinquent mortgage note payment of $486 immediately.Completion date:March 16, 2020Management's response:Agree. Management paid down the mortgage note to $80,000 with proceeds from a new HUD mortgage note on March 16, 2020. Experience of personnel who administer the Federal programs  is low.</t>
  </si>
  <si>
    <t>Statement of Condition 2020-001 (CFDA 14.157):As of February 29, 2020, the Corporation is delinquent $486 on the mortgage note.Recommendation:Management should pay the delinquent mortgage note payment of $486 immediately.Actions taken or planned on the finding:Management paid down the mortgage note to $80,000 with proceeds from a new HUD mortgage note on March 16, 2020.</t>
  </si>
  <si>
    <t>971616164</t>
  </si>
  <si>
    <t>971616165</t>
  </si>
  <si>
    <t>SUPPORTIVE HOUSING FOR THE ELDERLY (14.157) - Balances outstanding at the end of the audit period were 646631.</t>
  </si>
  <si>
    <t>13-8735546</t>
  </si>
  <si>
    <t>971616166</t>
  </si>
  <si>
    <t>BBC ENTREPRENUERIAL TRAINING AND CONSULTING, LLC</t>
  </si>
  <si>
    <t>4C54DS88712-85</t>
  </si>
  <si>
    <t>HEALTH PROMOTION AND DISEASE PREVENTION RESEARCH CENTER</t>
  </si>
  <si>
    <t>The accompanying Schedule of Expenditures of Federal Awards includes the federal grant activity of Lucile Page Manor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Lucile Page Manor, it is not intended to and does not present the financial position, changes in net assets, or cash flows of Lucile Page Manor.</t>
  </si>
  <si>
    <t>971616167</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</si>
  <si>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Lucile Page Manor has elected not to use the 10 per cent de minimis indirect cost rate as allowed under the Uniform Guidance.</t>
  </si>
  <si>
    <t>971616168</t>
  </si>
  <si>
    <t>SUPPORTIVE HOUSING FOR THE ELDERLY (14.157) - Balances outstanding at the end of the audit period were 3592400.</t>
  </si>
  <si>
    <t>971616169</t>
  </si>
  <si>
    <t>Determination of Major and Nonmajor Programs</t>
  </si>
  <si>
    <t>The determination of the Type A (major) federal financial assistance program is based upon both the balance of the Capital Advance and the Project Rental Assistance Contract payments received during the period as HUD considers both elements the same program as they fall under the same CFDA number. For the year ended April 30, 2020, the Capital Advance and Project Rental Assistance programs exceeded the $750,000 major program determination limit. Accordingly, the U.S. Department of Housing and Urban Development Section 202 Capital Advance and Project Rental Assistance Contract under CFDA Number 14.157 constitutes the major program for the year ended April 30, 2020. There were no nonmajor programs for the year ended April 30, 2020.</t>
  </si>
  <si>
    <t>28-8723452</t>
  </si>
  <si>
    <t>971616170</t>
  </si>
  <si>
    <t>BCN BIOSCIENCES, LLC</t>
  </si>
  <si>
    <t>2C56ES86702-12</t>
  </si>
  <si>
    <t>PREGNANCY RISK ASSESSMENT MONITORING SYSTEM (PRAMS)RFA-DP-16-001</t>
  </si>
  <si>
    <t>The schedule of expenditures of federal awards is prepared on the accrual basis ofaccounting</t>
  </si>
  <si>
    <t>971616171</t>
  </si>
  <si>
    <t>971616172</t>
  </si>
  <si>
    <t>SUPPORTIVE HOUSING FOR THE ELDERLY (14.157) - Balances outstanding at the end of the audit period were 865411.</t>
  </si>
  <si>
    <t>28-8723453</t>
  </si>
  <si>
    <t>971616173</t>
  </si>
  <si>
    <t>University of Quensland</t>
  </si>
  <si>
    <t>1C79IS86705-29</t>
  </si>
  <si>
    <t>REDUCES THE BURDEN OF CANCER IN WASHINGTON STATE.  THIS GRANT CREATES A STRUCTURE FOR THE COORDINATION AND COLLABORATION ACROSS THREE CANCER
COMPONENTS &amp; WITH OTHER CHRONIC DISEASE PROGRAMS.</t>
  </si>
  <si>
    <t>971616174</t>
  </si>
  <si>
    <t>971616175</t>
  </si>
  <si>
    <t>SUPPORTIVE HOUSING FOR THE ELDERLY (14.157) - Balances outstanding at the end of the audit period were 724459.</t>
  </si>
  <si>
    <t>28-8723454</t>
  </si>
  <si>
    <t>971616176</t>
  </si>
  <si>
    <t>MONELL CHEMICAL SENSES CENTER</t>
  </si>
  <si>
    <t>3C79HS85446-67</t>
  </si>
  <si>
    <t>THE CDC CANCER GENOMICS PROGRAM: TRANSLATING RESEARCH INTO PUBLIC HEALTH
PRACTICE</t>
  </si>
  <si>
    <t>The Schedule of Expenditures of Federal and State Awards (the "Schedule") includes the federal and state grant activity of Rock-Walworth Comprehensive Family Services, Inc. under programs of the federal and state governments for the year ended January 31, 2020.The information in this schedule is presented in accordance with the requirements of Title 2 U.S. Code of Federal Regulations Part 200, Uniform Administrative Requirements, Cost Principles, and Audit Requirements for Federal Awards (Uniform Guidance) and the State Single Audit Guidelines issued by the Wisconsin Department of Administration.Because the schedule presents only a selected portion of the operations of Rock-Walworth Comprehensive Family Services, Inc., it is not intended to and does not present the financial position, changes in net assets or cash flows of Rock-Walworth Comprehensive Family Services, Inc.Expenditures reported on the Schedule are reported on the accrual basis of accounting.Such expenditures are recognized following the cost principles contained in the Uniform Guidance, wherein certain types of expenditures are not allowable or are limited as to reimbursement.</t>
  </si>
  <si>
    <t>971616177</t>
  </si>
  <si>
    <t>971616178</t>
  </si>
  <si>
    <t>No federal grant awards were passed through to subrecipients during the year ended January 31, 2020.</t>
  </si>
  <si>
    <t>28-8723455</t>
  </si>
  <si>
    <t>971616179</t>
  </si>
  <si>
    <t>MONOMERCHEM, INC.</t>
  </si>
  <si>
    <t>9C93ES85453-28</t>
  </si>
  <si>
    <t>PINOLEVILLE POMO NATION GHWIC PROJECT</t>
  </si>
  <si>
    <t>The accompanying schedule of expenditures of federal awards includes the federal award activity of Cicero Housing Development Fund Company, Inc. (Sacred Heart Apartments), FHA Project No. 014-11192,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Sacred Heart Apartments, it is not intended to and does not</t>
  </si>
  <si>
    <t>971616180</t>
  </si>
  <si>
    <t>971616181</t>
  </si>
  <si>
    <t>MORTGAGE INSURANCE FOR THE PURCHASE OR REFINANCING OF EXISTING MULTIFAMILY HOUSING PROJECTS (14.155) - Balances outstanding at the end of the audit period were 1428996.</t>
  </si>
  <si>
    <t>971616182</t>
  </si>
  <si>
    <t>Note 3 - Subrecipients</t>
  </si>
  <si>
    <t>Sacred Heart Apartments did not pass any federal funds to subrecipients for the year ended March 31, 2020.  Weakness was found in monitoring subrecipients.</t>
  </si>
  <si>
    <t>9C93ES85499-28</t>
  </si>
  <si>
    <t>PINOLEVILLE POMO NATION GHWIC PROJECT  - Subrecipient</t>
  </si>
  <si>
    <t>Accounting doesn’t reflect for all funds received.   It was noted that subrecipient has significant deficiencies.</t>
  </si>
  <si>
    <t>28-8723456</t>
  </si>
  <si>
    <t>971616183</t>
  </si>
  <si>
    <t>MONON BIOVENTURES, LLC</t>
  </si>
  <si>
    <t>3C93AS87217-80</t>
  </si>
  <si>
    <t>THE EPIDEMIOLOGY OF INTERSTITIAL CYSTITIS IN A NATIONWIDE MULTIETHNIC VA COHORT</t>
  </si>
  <si>
    <t>971616184</t>
  </si>
  <si>
    <t>971616185</t>
  </si>
  <si>
    <t>SUPPORTIVE HOUSING FOR THE ELDERLY (14.157) - Balances outstanding at the end of the audit period were 954550.</t>
  </si>
  <si>
    <t>28-8723457</t>
  </si>
  <si>
    <t>971616186</t>
  </si>
  <si>
    <t>MONTANA CANCER CONSORTIUM</t>
  </si>
  <si>
    <t>3D14DT89532-49</t>
  </si>
  <si>
    <t>BASIS OF PRESENTATIONThe accompanying Schedule of Expenditures of Federal Awards (Schedule) includes the federal insured loan and grant activity of Ascension Housing, Inc., HUD Project No. 067-EE022,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 portion of the operations of Ascension Housing, Inc., it is not intended to and does not present the financial position, changes in net assets, or cash flows of Ascension Housing, Inc.SIGNIFICANT ACCOUNTING POLICIESExpenditures reported on the Schedule are reported on the accrual basis of accounting.Such expenditures are recognized following the cost principles contained in the Uniform Guidance, wherein certain types of expenditures are not allowable or are limited as to reimbursement.Ascension Housing, Inc. has elected not to use the 10-percent de minimis indirect cost rate allowed under the Uniform Guidance. It is observed that management is NOT adhering to Federal statutes, regulations.</t>
  </si>
  <si>
    <t>3D14DT89599-49</t>
  </si>
  <si>
    <t>Changes in financial positions, net assests and cahflows don’t match. Accounting system maintenance practices are weak.</t>
  </si>
  <si>
    <t>971616187</t>
  </si>
  <si>
    <t>971616188</t>
  </si>
  <si>
    <t>SUPPORTIVE HOUSING FOR THE ELDERLY (14.157) - Balances outstanding at the end of the audit period were 3633200.</t>
  </si>
  <si>
    <t>06163422</t>
  </si>
  <si>
    <t>HUD Capital Advance</t>
  </si>
  <si>
    <t>U.S. DEPARTMENT OF HOUSING AND URBAN DEVELOPMENT CAPITAL ADVANCEAscension Housing, Inc. received a HUD Capital Advance under Section 202 of the National Housing Act in 1995.The loan balance does not require repayment unless the regulatory agreement is not complied with wherein HUD may require repayment. Ascension Housing, Inc. received no additional loans or capital advances during the year.The capital advance balance was the same at beginning and end of the fiscal year ended March 31, 2020.</t>
  </si>
  <si>
    <t>28-8723458</t>
  </si>
  <si>
    <t>MONTANA MOLECULAR, LLC</t>
  </si>
  <si>
    <t>6B76CR76999-40</t>
  </si>
  <si>
    <t>MORTGAGE INSURANCE FOR THE PURCHASE OR REFINANCING OF EXISTING MULTIFAMILY HOUSING PROJECTS (14.155) - Balances outstanding at the end of the audit period were 3966995.</t>
  </si>
  <si>
    <t>28-8723459</t>
  </si>
  <si>
    <t>MONTANA STATE UNIVERSITY - BOZEMAN</t>
  </si>
  <si>
    <t>4D87AT76998-10</t>
  </si>
  <si>
    <t>CALIFORNIA STROKE REGISTRY/CALIFORNIA COVERDELL PROGRAM</t>
  </si>
  <si>
    <t>E</t>
  </si>
  <si>
    <t>2019-002</t>
  </si>
  <si>
    <t>Finding No. 2020-001: Mortgage Insurance – Multifamily Housing Projects[Section 207/223(f)], CFDA No. 14.155a.Statement of Condition:In six instances of twelve tenant files tested, certain documentation required by HUD was missing.Five move-in/move-out inspection forms were missing from the files of new tenants documenting the condition of the apartment upon move in and one HUD Form 50059 was not signed by the tenant.b.Criteria:The refund of the tenant’ security deposit is based on the condition of the apartment upon move-out and the tenant rent is determined by the information included on the HUD Form 50059.c.Effects of Condition:The condition of the apartment at move-in has not been documented, which could result in Bishop Harrison Apartments not being secured against property damages upon tenant move-out.Also the tenant rent has not been verified and could potentially be in error.d.Cause of Condition:Procedures are in place for the required documentation to be obtained by the property manager for each tenant.These procedures were not followed for the files selected for testing.e.Recommendation:Bishop Harrison Apartments should inspect the apartments and document the condition of the apartments at both move-in and move-out.Bishop Harrison should also have the HUD Form 50059 signed by the tenant.f.Views of Responsible Officials and Planned Corrective Action: Bishop Harrison Apartments agrees with the finding and the auditor’s recommendations will be adopted. Experience of personnel who administer the Federal programs  is low.</t>
  </si>
  <si>
    <t>Finding No. 2020-001: Mortgage Insurance – Multifamily Housing Projects[Section 207/223(f)], CFDA No. 14.155Condition:In six instances of twelve tenant files tested, certain documentation required by HUD was missing.Five move-in/move-out inspection forms were missing from the files of new tenants documenting the condition of the apartment upon move in and one HUD Form 50059 form was not signed by the tenant.Recommendation:Bishop Harrison Apartments should inspect the apartments and document the condition of the apartments at both move-in and move-out.Bishop Harrison should also have the HUD Form 50059 signed by the tenant.Action Taken:The manger will inspect and document the condition of the five apartments using the tenant move-in/move-out inspection forms.Bishop Harrison will also have the HUD Form 50059 signed by the tenant.</t>
  </si>
  <si>
    <t>The accompanying schedule of expenditures of federal awards includes the federal award activity of Pond Street Housing Development Fund Company, Inc. (Bishop Harrison Apartments), FHA Project No. 014-11248,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Bishop Harrison Apartments, it is not intended to and does not present the financial position, changes in net assets, or cash flows of Bishop Harrison Apartments.</t>
  </si>
  <si>
    <t>MORTGAGE INSURANCE FOR THE PURCHASE OR REFINANCING OF EXISTING MULTIFAMILY HOUSING PROJECTS (14.155) - Balances outstanding at the end of the audit period were 1977117.</t>
  </si>
  <si>
    <t>Bishop Harrison Apartments did not pass any federal funds to subrecipients for the year ended March 31, 2020.</t>
  </si>
  <si>
    <t>Audit findings Adherance</t>
  </si>
  <si>
    <t>The audit comments will be followed. The financials will be redrawn and resubmitted.</t>
  </si>
  <si>
    <t>28-8723460</t>
  </si>
  <si>
    <t>MONTANA TECH OF THE UNIVOF MONTANA</t>
  </si>
  <si>
    <t>8C93DS80092-64</t>
  </si>
  <si>
    <t>INNOVATIVE STATE AND LOCAL PUBLIC HEALTH STRATEGIES TO PREVENT AND MANAGE DIABETES AND HEART DISEASE AND STROKE</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</si>
  <si>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Lasker Village Apartments (a Texas Non-Profit Corporation) had elected not to use the 10-percent de minimis indirect cost rate allowed under Uniform Guidance.</t>
  </si>
  <si>
    <t>SUPPORTIVE HOUSING FOR PERSONS WITH DISABILITIES (14.181) - Balances outstanding at the end of the audit period were 1141400.</t>
  </si>
  <si>
    <t>28-8723461</t>
  </si>
  <si>
    <t>MONTCLAIR STATE UNIVERSITY</t>
  </si>
  <si>
    <t>NOTE A - Basis of PresentationThe accompanying schedule of expenditures of federal awards includes the federal grant activity ofTalladega Presbyterian Apartments, Inc. HUD Project No. 062-EH165, and is presented on the accrualbasis of accounting. The information in this schedule is presented in accordance with the requirements ofTitle 2 U. S. Code of Federal Regulations Part 200, Uniform Administrative Requirements, Cost principles,and Audit Requirements for Federal Awards (Uniform Guidance). Because the Schedule presents only aselected portion of the operations of Talladega Presbyterian Apartments, Inc., it is not intended to and doesnot present the financial position, changes in net assets, or cash flows of Talladega PresbyterianApartments, Inc.NOTE BSummary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 Talladega Presbyterian Apartments,Inc. has elected not to use the 10 percent de minimis indirect cost rate as allowed under the UniformGuidance. Accounting system maintenance practices are weak.</t>
  </si>
  <si>
    <t>8B95AR84499-19</t>
  </si>
  <si>
    <t>CHRONIC DISEASE PREVENTION &amp; MANAGEMENT STRATEGY: INNOVATIVE SOLUTIONS FOR HEALTHIER COMMUNITIES  - Subrecipient</t>
  </si>
  <si>
    <t>Some expenditures are not allowable.  It was noted that subrecipient has significant deficiencies.</t>
  </si>
  <si>
    <t>SUPPORTIVE HOUSING FOR THE ELDERLY (14.157) - Balances outstanding at the end of the audit period were 732647.</t>
  </si>
  <si>
    <t>`</t>
  </si>
  <si>
    <t>28-8723462</t>
  </si>
  <si>
    <t>MONTEFIORE MEDICAL CENTER (BRONX, NY)</t>
  </si>
  <si>
    <t>7B92IR89516-71</t>
  </si>
  <si>
    <t>THE LOS ANGELES COUNTY SODIUM REDUCTION INITIATIVE, 2016-2021</t>
  </si>
  <si>
    <t>SUPPORTIVE HOUSING FOR PERSONS WITH DISABILITIES (14.181) - Balances outstanding at the end of the audit period were 1217400. HOME INVESTMENT PARTNERSHIPS PROGRAM (14.239) - Balances outstanding at the end of the audit period were 232606. COMMUNITY DEVELOPMENT BLOCK GRANTS/ENTITLEMENT GRANTS (14.218) - Balances outstanding at the end of the audit period were 146547.</t>
  </si>
  <si>
    <t>The accompanying Schedule of Expenditures of Federal Awards (Schedule) includes the federal grant and loan activity of Oak Hill Apartments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Therefore, some amounts presented in this schedule may differ from amounts presented in, or used in the preparation of, the basic financial statements. The purpose of the Schedule is to present a summary of those activities of Oak Hill Apartments for the year ended February 29, 2020, which have been financed by the U.S. Government. For purposes of the Schedule, federal awards include all federal assistance entered into directly and indirectly between Oak Hill Apartments and the federal government. Oak Hill Apartments did not elect to use the 10% de minimis indirect cost rate as allowed under the Uniform Guidance.</t>
  </si>
  <si>
    <t>The accompanying Schedule includes $1,596,553 in expenditures from prior years for which continuing compliance is required.</t>
  </si>
  <si>
    <t>28-8723463</t>
  </si>
  <si>
    <t>MONTREAL HEART INSTITUTE</t>
  </si>
  <si>
    <t>1B69AR89609-97</t>
  </si>
  <si>
    <t>HEALTHY WORKS: INNOVATIVE PUBLIC HEALTH
STRATEGIES TO PREVENT AND MANAGE DIABETES AND HEART DISEASE AND STROKE</t>
  </si>
  <si>
    <t>FINDING No. 2020-001: Section 202 Supportive Housing for the Elderly, CFDA 14.157 Finding Resolution Status:Unresolved.Information on Universe Population Size:Seventy-four tenants.Sample Size Information:Ten tenants.Identification of Repeat Finding and Finding Reference Number:No.Criteria:HUD requires timely verification of tenant’s initial income through the use of Enterprise Income Verification (EIV) reports.Statement of Condition:Of the tenant files selected, two tenant’s EIV reports were not completed for the initial certification and three tenant’s EIV reports were not completed for the most recent annual recertification.Cause:The Project did not perform the income verification through the use of EIV reports.Effect or Potential Effect:Unable to verify tenant eligibility and cost of assistance and residency may be disallowed.Auditor Non-Compliance Code:R – Section 8 Program Admin.Reporting Views of Responsible Officials:The Project agrees with the finding and the auditor’s recommendations will be adopted.Recommendation:Implement procedures to ensure that the Project verifies eligibility by obtaining all required documentation for potential tenants and adequately maintains tenant files.Response Indicator:Agree.Completion Date:3/31/2021Response:Management has provided staff with additional HUD training and implemented procedures where regional directors will make periodic site visits inclusive of file reviews.</t>
  </si>
  <si>
    <t>Oversight Agency for AuditNational Steelworkers Oldtimers Community Urban Development Company of Canton Two, Inc. respectfully submits the following corrective action plan for the year ended March 31, 2020.Name and address of independent public accounting firm: Bellows Associates, P.A., 7890 Peters Road, Suite G-102, Plantation, Florida 33324Audit period:April 1, 2019 through March 31, 2020The finding from the March 31, 2020 schedule of findings and questioned costs is discussed below. The finding is numbered consistently with the number in the schedule.FINDINGS AND QUESTIONED COSTS – MAJOR FEDERAL AWARD PROGRAMS AUDITFINDING NO. 2020-001: Section 202 Supportive Housing for the Elderly, CFDA 14.157Recommendation: Implement procedures to ensure that the Project verifies eligibility by obtaining all required documentation for potential tenants and adequately maintains tenant files. Action Taken: Management has provided staff with additional HUD training and implemented procedures where regional directors will make periodic site visits inclusive of file reviews.If the Oversight Agency for Audit has questions regarding these plans, please call Christine Harris at 954-835-9200.Sincerely yours,Christine HarrisAssistant to Vice President of Accounting and Finance</t>
  </si>
  <si>
    <t>NOTE ABASIS OF PRESENTATION The accompanying schedule of expenditures of federal awards includes the federal award activity of National Steelworkers Oldtimers Community Urban Development Company of Canton Two, Inc., operating as Mayfield Manor II, HUD Project No. 042-EE027,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National Steelworkers Oldtimers Community Urban Development Company of Canton Two, Inc., it is not intended to and does not present the financial position, changes in net assets, or cash flows of National Steelworkers Oldtimers Community Urban Development Company of Canton Two, Inc. NOTE BSUMMARY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</si>
  <si>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National Steelworkers Oldtimers Community Urban Development Company of Canton Two, Inc. has elected not to use the 10-percent de minimis indirect cost rate allowed under the Uniform Guidance.</t>
  </si>
  <si>
    <t>NOTE CU.S. DEPARTMENT OF HOUSING AND URBAN DEVELOPMENT CAPITAL ADVANCE National Steelworkers Oldtimers Community Urban Development Company of Canton Two, Inc. has received a HUD capital advance under Section 202 of the National Housing Act. The capital advance balance outstanding at the beginning of the year is included in the federal expenditures presented in the schedule. National Steelworkers Oldtimers Community Urban Development Company of Canton Two, Inc. received no additional loans during the year. The balance of the capital advance outstanding at March 31, 2020 is $4,274,700.</t>
  </si>
  <si>
    <t>28-8723464</t>
  </si>
  <si>
    <t>MOONLIGHT THERAPEUTICS, INC.</t>
  </si>
  <si>
    <t>3B25IR83588-86</t>
  </si>
  <si>
    <t>NOTE A - BASIS OF PRESENTATION The accompanying schedule of expenditures of federal awards includes the federal award activity of Senior Citizens Housing Development Fund Corporation of Steuben County, operating as Clyde F. Simon Lakeview Apartments, HUD Project No. 014-11247,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Senior Citizens Housing Development Fund Corporation of Steuben County, it is not intended to and does not present the financial position, changes in net assets, or cash flows of Senior Citizens Housing Development Fund Corporation of Steuben County.NOTE B - 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</si>
  <si>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Senior Citizens Housing Development Fund Corporation of Steuben County has elected not to use the 10-percent de minimis indirect cost rate allowed under the Uniform Guidance.</t>
  </si>
  <si>
    <t>NOTE C - U.S. DEPARTMENT OF HOUSING AND URBAN DEVELOPMENT REFINANCE LOAN</t>
  </si>
  <si>
    <t>Senior Citizens Housing Development Fund Corporation of Steuben County received a HUD mortgage insurance for the refinancing of existing multifamily housing projects loan under section 207 of the National Housing Act. The loan balance outstanding at the beginning of the year is included in the federal expenditures presented in the Schedule. Senior Citizens Housing Development Fund Corporation of Steuben County received no additional loans during the year. The balance of the loan outstanding at March 31, 2020 was $6,656,256.</t>
  </si>
  <si>
    <t>28-8723465</t>
  </si>
  <si>
    <t>MOREHOUSE COLLEGE</t>
  </si>
  <si>
    <t>7D52GT86985-13</t>
  </si>
  <si>
    <t>The accompanying schedule of expenditures of federal awards includes the federal award activity of Tyson Place Housing Development Fund Company, Inc. (St. Joseph Manor Apartments), HUD Project No. 014-EE032/NY06-S921-010,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St. Joseph Manor Apartments, it is not intended to and does not present the financial position, changes in net assets, or cash flows of St. Joseph Manor Apartments.</t>
  </si>
  <si>
    <t>SUPPORTIVE HOUSING FOR THE ELDERLY (14.157) - Balances outstanding at the end of the audit period were 2473100.</t>
  </si>
  <si>
    <t>St. Joseph Manor Apartments did not pass any federal funds to subrecipients for the year ended March 31, 2020.</t>
  </si>
  <si>
    <t>28-8723466</t>
  </si>
  <si>
    <t>MOREHOUSE SCHOOL OF MEDICINE</t>
  </si>
  <si>
    <t>5D75GT86984-53</t>
  </si>
  <si>
    <t>Summary of Significant Accounting Policies - Expenditures reported on the Schedule are reported on the accrual basis of accounting.Such expenditures are recognized following the cost principles contained in the Uniform Guidance, wherein certain types of expenditures are not allowable or are limited as to reimbursement.</t>
  </si>
  <si>
    <t>MORTGAGE INSURANCE FOR THE PURCHASE OR REFINANCING OF EXISTING MULTIFAMILY HOUSING PROJECTS (14.155) - Balances outstanding at the end of the audit period were 3189224.</t>
  </si>
  <si>
    <t>Basis of Presentation - The accompanying schedule of expenditures of federal awards includes the federal award activity of Luther Senior Center, HUD Project No. 171-11057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of Federal Awards (Uniform Guidance).Because the Schedule presents only a selected portion of the operations of Luther Senior Center, it is not intended to and does not present the financial position, change in net assets, or cash flows of Luther Senior Center.</t>
  </si>
  <si>
    <t>5D75GT8699-53</t>
  </si>
  <si>
    <t>Financial sheet presents only partial amount of expenditures and is incomplete. Auditor inputs are needed.</t>
  </si>
  <si>
    <t>28-8723467</t>
  </si>
  <si>
    <t>MORGAN STATE UNIVERSITY</t>
  </si>
  <si>
    <t>9B40IR89239-22</t>
  </si>
  <si>
    <t>SUPPORTIVE HOUSING FOR THE ELDERLY (14.157) - Balances outstanding at the end of the audit period were 2368100.</t>
  </si>
  <si>
    <t>28-8723468</t>
  </si>
  <si>
    <t>MORGRIDGE INSTITUTE FOR RESEARCH, INC.</t>
  </si>
  <si>
    <t>6B44ER89114-20</t>
  </si>
  <si>
    <t>PACIFIC ISLANDER - DIABETES PREVENTION PROGRAM (PI-DPP)</t>
  </si>
  <si>
    <t>NOTE 1 - This schedule of expenditures of federal awards includes the federal grant activity of North Florida Medical Centers, Inc.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Guidance).Therefore, some amounts presented in this schedule may differ from amounts presented in, or used in the preparation of, the basic financial statements.Because this schedule presents only a selected portion of the operations of North Florida Medical Centers, Inc., it is not intended to and does not present the financial position, changes in net assets or cash flows of North Florida Medical Centers, Inc.</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</si>
  <si>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t>
  </si>
  <si>
    <t>28-8723469</t>
  </si>
  <si>
    <t>MOTHER'S MILK IS BEST, INC.</t>
  </si>
  <si>
    <t>2B94CR89539-33</t>
  </si>
  <si>
    <t>EPIDEMIOLOGY OF LUPUS:  LONGITUDINAL STUDIES IN POPULATION-BASED COHORTS - 2019</t>
  </si>
  <si>
    <t>NOTE AGENERALThe accompanying schedule of expenditures of federal awards presents the activity of all federal award programs of Dolores County Health Association dba Frontier Community Health Clinic. The information in the schedule is presented in accordance with the requirements of Title 2 U.S. Code of Federal Regulations Part 200, Uniform Administrative Requirements, Cost Principles, and Audit Requirements for Federal Awards. Therefore, some amounts presented in the schedule may differ from amounts presented in, or used in the preparation of the financial statements. The Clinic did not elect to use the 10% de minimus indirect cost rate.NOTE BBASIS OF ACCOUNTINGThe accompanying schedule of expenditures of federal awards is presented using the accrual basis of accounting.</t>
  </si>
  <si>
    <t>28-8723470</t>
  </si>
  <si>
    <t>MOUNT DESERT ISLAND BIOLOGICAL LAB</t>
  </si>
  <si>
    <t>3B65DR83224-52</t>
  </si>
  <si>
    <t>CALIFORNIA STATE PHYSICAL ACTIVITY &amp; NUTRITION (CALSPAN) PROGRAM</t>
  </si>
  <si>
    <t>NOTE A - BASIS OF PRESENTATION The accompanying schedule of expenditures of federal awards includes the federal award activity of Senior Citizens Housing Development Fund Corporation of Steuben County Two, Inc., HUD Project No. 014-EE043,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Senior Citizens Housing Development Fund Corporation of Steuben County Two, Inc., it is not intended to and does not present the financial position, changes in net assets, or cash flows of Senior Citizens Housing Development Fund Corporation of Steuben County Two, Inc.NOTE B - 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</si>
  <si>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Senior Citizens Housing Development Fund Corporation of Steuben County Two, Inc. has elected not to use the 10-percent de minimis indirect cost rate allowed under the Uniform Guidance.</t>
  </si>
  <si>
    <t>NOTE C - U.S. DEPARTMENT OF HOUSING AND URBAN DEVELOPMENT CAPITAL ADVANCE</t>
  </si>
  <si>
    <t>Senior Citizens Housing Development Fund Corporation of Steuben County Two, Inc. has received a HUD capital advance under Section 202 of the National Housing Act. The capital advance balance outstanding at the beginning of the year is included in the federal expenditures presented in the schedule. Senior Citizens Housing Development Fund Corporation of Steuben County Two, Inc. received no additional loans during the year. The balance of the capital advance outstanding at March 31, 2020 was $2,695,400.</t>
  </si>
  <si>
    <t>28-8723471</t>
  </si>
  <si>
    <t>MOUNT HOLYOKE COLLEGE</t>
  </si>
  <si>
    <t>5C59FS86250-77</t>
  </si>
  <si>
    <t>LAUSD IS APPLYING FOR COMPONENT 1: SCHOOL- BASED SURVEILLANCE, AND COMPONENT 1: SCHOOL-BASED HIV/STD PREVENTION IN ORDER TO REDUCE HIV AND STD INFECTIONS AMONG
ADOLESCENTS AS WELL AS TEEN PREGNANCY.</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</si>
  <si>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Villa OKeefe, Inc. (a Texas Non-Profit Corporation) dba Villa OKeefe Apartments had elected not to use the 10-percent de minimis indirect cost rate allowed under Uniform Guidance.</t>
  </si>
  <si>
    <t>SUPPORTIVE HOUSING FOR THE ELDERLY (14.157) - Balances outstanding at the end of the audit period were 716558.</t>
  </si>
  <si>
    <t>28-8723472</t>
  </si>
  <si>
    <t>MSM PROTEIN TECHNOLOGIES, INC</t>
  </si>
  <si>
    <t>6C64HS87176-58</t>
  </si>
  <si>
    <t>UCSF PREVENTION RESEARCH CENTER</t>
  </si>
  <si>
    <t>The schedule of expenditures of federal awards includes the federal grant activities of GIBB GulfCoast Village, Inc. and is presented on the accrual basis of accounting. The information in thisschedule is presented in accordance with the requirements of Title 2 U.S. Code of FederalRegulations (CFR) Part 200, Uniform Administrative Requirements, Cost Principles, and AuditRequirements for Federal Awards (Uniform Guidance). Therefore, some amounts presented inthis schedule may differ from amounts presented in, or used in the preparation of, the basicfinancial statements.</t>
  </si>
  <si>
    <t>28-8723473</t>
  </si>
  <si>
    <t>MU THERAPEUTICS, INC.</t>
  </si>
  <si>
    <t>6D84AT89365-47</t>
  </si>
  <si>
    <t>The schedule of expenditures of federal awards includes the federal grant activities of GIBBMabry Village, Inc. and is presented on the accrual basis of accounting. The information in thisschedule is presented in accordance with the requirements of Title 2 U.S. Code of FederalRegulations (CFR) Part 200, Uniform Administrative Requirements, Cost Principles, and AuditRequirements for Federal Awards (Uniform Guidance). Therefore, some amounts presented inthis schedule may differ from amounts presented in, or used in the preparation of, the basicfinancial statements.</t>
  </si>
  <si>
    <t>28-8723474</t>
  </si>
  <si>
    <t>MUCOMMUNE, LLC</t>
  </si>
  <si>
    <t>9D24FT89526-50</t>
  </si>
  <si>
    <t>The schedule of expenditures of federal awards includes the federal grant activities of GIBBOakridge Village, Inc. and is presented on the accrual basis of accounting. The information inthis schedule is presented in accordance with the requirements of Title 2 U.S. Code of FederalRegulations (CFR) Part 200, Uniform Administrative Requirements, Cost Principles, and AuditRequirements for Federal Awards (Uniform Guidance). Therefore, some amounts presented inthis schedule may differ from amounts presented in, or used in the preparation of, the basicfinancial statements.</t>
  </si>
  <si>
    <t>SECTION 8 HOUSING ASSISTANCE PAYMENTS PROGRAM (14.195) - Balances outstanding at the end of the audit period were 773958.</t>
  </si>
  <si>
    <t>28-8723475</t>
  </si>
  <si>
    <t>MUHIMBILI UNIVERSITY/ ALLIED HLTH SCIS</t>
  </si>
  <si>
    <t>7B50CR90191-30</t>
  </si>
  <si>
    <t>The schedule of expenditures of federal awards includes the federal grant activities of GIBBThomasville Village, Inc. and is presented on the accrual basis of accounting. The information inthis schedule is presented in accordance with the requirements of Title 2 U.S. Code of FederalRegulations (CFR) Part 200, Uniform Administrative Requirements, Cost Principles, and AuditRequirements for Federal Awards (Uniform Guidance). Therefore, some amounts presented inthis schedule may differ from amounts presented in, or used in the preparation of, the basicfinancial statements.</t>
  </si>
  <si>
    <t>28-8723476</t>
  </si>
  <si>
    <t>MU-JHU CARE</t>
  </si>
  <si>
    <t>8B13IR90159-19</t>
  </si>
  <si>
    <t>TRIBAL PRACTICES FOR WELLNESS IN INDIAN COUNTRY</t>
  </si>
  <si>
    <t>The accompanying schedule of expenditures of federal awards includes the federal grant activity of Willow Estates, HUD Project No. 084-EE011-WAH (the Organization), and is presented on the accrual basis of accounting. The information presented in this schedule is in accordance with the requirements of Title 2 U.S. Code of Federal Regulations (CFR) Part 200, Uniform Administrative Requirements, Cost Principles, and Audit Requirements for Federal Awards. Therefore some amounts presented in this schedule may differ from amounts presented in, or used in the preparation of, the financial statements.</t>
  </si>
  <si>
    <t>The Organization is charged indirect costs by West Central Missouri Community Action Agency (the Agency) using the Agencys approved indirect cost rate.The maximum approved rate coincides with the Agencys fiscal year end of August 31 and is 18.00% and 15.60%, respectively for the years ended August 31, 2020 and 2019. For the year ended August 31, 2019, the Agency charged 15.00%, rather than the maximum allowed rate of 15.60%.</t>
  </si>
  <si>
    <t>Capital Advance</t>
  </si>
  <si>
    <t>Willow Estates is financed by a HUD Section 202 Capital Advance Mortgage Note in the amount of $2,395,600. As long as the apartments are rented to qualifying very low income elderly and disabled tenants, and meet other HUD requirements, no payments are required to be made on the note. If these requirements are met for a period of 40 years, the note will be forgiven.</t>
  </si>
  <si>
    <t>Additional Audits</t>
  </si>
  <si>
    <t>HUD reserves the right to conduct additional audits of the Organizations grant program for economy and efficiency and program results that may result in disallowed costs to the Organization.However, management does not believe such audits would result in any disallowed costs that would be material to the Organizations financial position at March 31, 2020.</t>
  </si>
  <si>
    <t>28-8723477</t>
  </si>
  <si>
    <t>MULTIFUNCTIONAL IMAGING, INC.</t>
  </si>
  <si>
    <t>1B19DR90171-55</t>
  </si>
  <si>
    <t>CAPACITY BUILDING FOR PUBLIC HEALTH PARTNERSHIPS</t>
  </si>
  <si>
    <t>The accompanying schedule of expenditures of federal awards includes the federal grant activity of Prairie Estates, HUD Project No. 084-EH139-L8-WAH (the Organization), and is presented on the accrual basis of accounting. The information presented in this schedule is in accordance with the requirements of Title 2 U.S. Code of Federal Regulations (CFR) Part 200, Uniform Administrative Requirements, Cost Principles, and Audit Requirements for Federal Awards. Therefore some amounts presented in this schedule may differ from amounts presented in, or used in the preparation of, the financial statements.</t>
  </si>
  <si>
    <t>Mortgage Note Payable</t>
  </si>
  <si>
    <t>The project is financed by a mortgage loan from the United States Department of Housing and Urban Development in the original amount of $1,615,600.The loan bears interest at 9.0% and matures in 2030 with monthly principal and interest payments of $12,462.As of March 31, 2020, the outstanding loan balance was $973,568.</t>
  </si>
  <si>
    <t>28-8723478</t>
  </si>
  <si>
    <t>MULTIVARIATE SYSTEMS, INC.</t>
  </si>
  <si>
    <t>4D78ET89202-48</t>
  </si>
  <si>
    <t>CALIFORNIA RACIAL AND ETHNIC APPROACHES TO COMMUNITY HEALTH (CALREACH)PROGRAM</t>
  </si>
  <si>
    <t>The accompanying schedule of expenditures of federal awards includes the federal grant activity of Greenleaf Estates, HUD Project No. 084-EH087-L8-WAH (the Organization), and is presented on the accrual basis of accounting. The information presented in this schedule is in accordance with the requirements of Title 2 U.S. Code of Federal Regulations (CFR) Part 200, Uniform Administrative Requirements, Cost Principles, and Audit Requirements for Federal Awards. Therefore some amounts presented in this schedule may differ from amounts presented in, or used in the preparation of, the financial statements.</t>
  </si>
  <si>
    <t>The project is financed by a mortgage loan from the United States Department of Housing and Urban Development in the original amount of $1,241,400.The loan bears interest at 9.25% and matures in 2027 with monthly principal and interest payments of $9,814.As of March 31, 2020, the outstanding loan balance was $600,024.</t>
  </si>
  <si>
    <t>28-8723479</t>
  </si>
  <si>
    <t>MULTNOMAH COUNTY HEALTH DEPARTMENT</t>
  </si>
  <si>
    <t>9D29HT89201-84</t>
  </si>
  <si>
    <t>Note 2:Summary of Significant Accounting Policies - Expenditures reported on the Schedule are reported on the accrual basis of accounting.Such expenditures are recognized following the cost principles contained in the Uniform Guidance, wherein certain types of expenditures are not allowable or are limited as to reimbursement.</t>
  </si>
  <si>
    <t>SUPPORTIVE HOUSING FOR THE ELDERLY (14.157) - Balances outstanding at the end of the audit period were 1262000.</t>
  </si>
  <si>
    <t>The accompanying schedule of expenditures of federal awards includes the federal award activity of Post Falls Terrace, HUD Project No. 124-EE002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of Federal Awards (Uniform Guidance).Because the Schedule presents only a selected portion of the operations of Post Falls Terrace, it is not intended to and does not present the financial position, change in net assets, or cash flows of Post Falls Terrace.</t>
  </si>
  <si>
    <t>28-8723480</t>
  </si>
  <si>
    <t>MURDOCH CHILDREN'S RESEARCH INSTITUTE</t>
  </si>
  <si>
    <t>6D95DT89175-88</t>
  </si>
  <si>
    <t>CALIFORNIA TRIBAL EPIDEMIOLOGY CENTER
BUILDING PUBLIC HEALTH INFRASTRUCTURE INITIATIVE</t>
  </si>
  <si>
    <t>Note 1Basis of PresentationThe accompanying Schedule of Expenditures of Federal Awards (the "Schedule")includes the federal award activity of the Campbellsville Housing Authority under programs of the federal government for the year ended March 31, 2020. The information in this Schedule is presented in accordance with the requirements of Title 2 U.S. Code of Federal Regulations Part 200, Uniform Administrative Requirements, Cost Principals, and Audit Requirements for Federal Awards (Uniform Guidance). Because the Schedule presents only a selected portion of the operations of Campbellsville Housing Authority, it is not intended to and does not present the financial position, changes in net position or cash flow of Campbellsville Housing Authority.</t>
  </si>
  <si>
    <t>28-8723481</t>
  </si>
  <si>
    <t>MURTY PHARMACEUTICALS, INC.</t>
  </si>
  <si>
    <t>2B71HR88428-22</t>
  </si>
  <si>
    <t>INDIAN HEALTH CENTERS TRIBAL PRACTICES FOR WELLNESS IN INDIAN COUNTRY</t>
  </si>
  <si>
    <t>(a) Expenditures reported on the Schedule are reported on the accrual basis of accounting. Suchexpenditures are recognized following the cost principles contained in the Uniform Guidance,wherein certain types of expenditures are not allowable or are limited as to reimbursement.(b) The Corporation has elected not to use the 10 percent de minimis indirect cost rate as allowedunder the Uniform Guidance.(c) The outstanding balance of loan and loan guarantee programs at March 31, 2020 with continuingcompliance requirements which are reported as federal expenditures on the accompanying scheduleof expenditures of federal awards was $4,237,994.</t>
  </si>
  <si>
    <t>MORTGAGE INSURANCE FOR THE PURCHASE OR REFINANCING OF EXISTING MULTIFAMILY HOUSING PROJECTS (14.155) - Balances outstanding at the end of the audit period were 4237994.</t>
  </si>
  <si>
    <t>28-8723482</t>
  </si>
  <si>
    <t>MY MUSIC MACHINES, INC.</t>
  </si>
  <si>
    <t>3C81FS84863-41</t>
  </si>
  <si>
    <t>B</t>
  </si>
  <si>
    <t>FINDING No. 2020-001:Section 207/223(f) Mortgage Refinancing, CFDA 14.155 Finding Resolution Status:Unresolved.Information on Universe Population Size:All management fee expenses.Sample Size Information:All management fee expenses.Identification of Repeat Findingand Finding Reference Number:Yes, 2019-001.Criteria:As required by HUD, the Project shall only use funds as specified in the Regulatory Agreement and owes the management company fees at the rate specified in the Project Owner’s/Management Agent’s Certification (Form HUD-9839-B).Statement of Condition:As a result of an expired Form HUD-9839-B, the Project has been overcharged management fees, resulting in an unauthorized loan to the management company.Cause:The Project’s Form HUD-9839-B expired and a new one was not prepared nor approved by HUD.Effect or Potential Effect:The Project has made an unauthorized loan to the management company as a result of overpaying management fees of $15,687.Auditor Non-Compliance Code:J – Unauthorized Management Fees.Reporting Views of Responsible Officials:The Project agrees with the finding and the auditor’s recommendations will be adopted.Recommendation:The Project should implement procedures to monitor the expiration of HUD required documents to ensure timely preparation and approval.Response Indicator:Agree.Completion Date:3/31/2021Response:Management submitted an owner signed form HUD-9839-B renewal to HUD on February 25, 2020 and is awaiting approval.</t>
  </si>
  <si>
    <t>Oversight Agency for Audit,Vernon Senior Citizens Housing Development Corporation, operating as Sunshine Center Apartments, respectfully submits the following corrective action plan for the year ended March 31, 2020.Name and address of independent public accounting firm: Bellows Associates, P.A., 7890 Peters Rd., G-102, Plantation, Florida 33324Audit period:April 1, 2019 through March 31, 2020The findings from the March 31, 2020 schedule of findings and questioned costs are discussed below. The findings are numbered consistently with the numbers assigned in the schedule. FINDINGS AND QUESTIONED COSTS – MAJOR FEDERAL AWARD PROGRAMS AUDITFINDING No. 2020-001: Section 207/223(f) Mortgage Refinancing, CFDA 14.155Recommendation: The Project should implement procedures to monitor the expiration of HUD required documents to ensure timely preparation and approval.Action Taken: Management submitted an owner signed 9839-B renewal to HUD on February 25, 2020 and is awaiting approval.If the audit Oversight Agency for Audit has questions regarding these plans, please call Christine Harris at 954-835-9200.Sincerely yours,Christine HarrisAssistant to the Vice President of Finance and Accounting</t>
  </si>
  <si>
    <t>NOTE ABASIS OF PRESENTATIONThe accompanying schedule of expenditures of federal awards includes the federal grant activity of Vernon Senior Citizens Housing Development Corporation, operating as Sunshine Center Apartments, HUD Project No. 064-11138,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Vernon Senior Citizens Housing Development Corporation, it is not intended to and does not present the financial position, changes in net assets, or cash flows of Vernon Senior Citizens Housing Development Corporation.NOTE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</si>
  <si>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FINDING No. 2020-002:Section 207/223(f) Mortgage Refinancing, CFDA 14.155 Finding Resolution Status:Unresolved.Information on Universe Population Size:Forty-nine tenants.Sample Size Information:Five tenants.Identification of Repeat Findingand Finding Reference Number:No.Criteria:HUD regulation requires: •All tenants to have background checks performed prior to acceptance as residents.•Timely verification of tenant’s current and initial income through the use of Enterprise Income Verification (EIV) reports.Statement of Condition:Of the tenant files selected: •One tenant background check was not run in a timely manner.•Three tenant files did not contain verification of initial income through the use of EIV reports. Cause:The Project did not perform nor maintain income verification, background checks, and signed form HUD-50059 certifications.Effect or Potential Effect:Unable to verify tenant eligibility and cost of assistance and residency may be disallowed.Auditor Non-Compliance Code:R – Section 8 Program Admin.Reporting Views of Responsible Officials:The Project agrees with the finding and the auditor’s recommendation will be adopted.Recommendation: The Project should implement procedures to ensure the Project verifies eligibility by obtaining all required documents for potential tenants and adequately maintains tenant files. Response Indicator:Agree.Completion Date:3/31/2021Response:Management has provided all staff with additional HUD training and implemented new procedures where Regional Directors will now be making period site visits with file reviews. Experience of personnel who administer the Federal programs  is low.</t>
  </si>
  <si>
    <t>Oversight Agency for Audit,Vernon Senior Citizens Housing Development Corporation, operating as Sunshine Center Apartments, respectfully submits the following corrective action plan for the year ended March 31, 2020.Name and address of independent public accounting firm: Bellows Associates, P.A., 7890 Peters Rd., G-102, Plantation, Florida 33324Audit period:April 1, 2019 through March 31, 2020The findings from the March 31, 2020 schedule of findings and questioned costs are discussed below. The findings are numbered consistently with the numbers assigned in the schedule. FINDINGS AND QUESTIONED COSTS – MAJOR FEDERAL AWARD PROGRAMS AUDITFINDING No. 2020-002: Section 207/223(f) Mortgage Refinancing, CFDA 14.155Recommendation: The Project should implement procedures to ensure the Project verifies eligibility by obtaining all required documents for potential tenants and adequately maintains tenant files.Action Taken: Management has provided all staff with additional HUD training and implemented new procedures where Regional Directors will now be making period site visits with file reviews.If the audit Oversight Agency for Audit has questions regarding these plans, please call Christine Harris at 954-835-9200.Sincerely yours,Christine HarrisAssistant to the Vice President of Finance and Accounting</t>
  </si>
  <si>
    <t>Vernon Senior Citizens Housing Development Corporation has elected not to use the 10-percent de minimis indirect cost rate allowed under the Uniform Guidance.</t>
  </si>
  <si>
    <t>FINDING No. 2020-003:Section 207/223(f) Mortgage Refinancing, CFDA 14.155 Finding Resolution Status:Resolved.Information on Universe Population Size:All replacement reserve deposits for the year ended March 31, 2020.Sample Size Information:Required replacement reserve deposits for the year ended March 31, 2020.Identification of Repeat Findingand Finding Reference Number:Yes, 2019-002.Criteria:In accordance with HUD, required monthly deposits must be made to the Project’s reserve for replacement account.Statement of Condition:The Project overfunded the account by $171.Cause:Management erroneously duplicated the correction of the prior year underfunding.Effect or Potential Effect:Overfunded reserve for replacement account.Auditor Non-Compliance Code:N – Deficiently funded replacement reserves.Reporting Views of Responsible Officials:The Project agrees with the finding and the auditor’s recommendation will be adopted.Recommendation:The Project should implement procedures to ensure that the correct amount is deposited in the replacement reserve account each month. An approved form HUD-9250 should be obtained to remove excess funds.Response Indicator:Agree.Completion Date:4/2/2020Response:Management inadvertently duplicated a prior year underfunding correction. However, management had submitted a HUD-9250 request on March 1, 2020 to withdraw the $171 and received an approval onApril 1, 2020. Said approval was processed.</t>
  </si>
  <si>
    <t>Oversight Agency for Audit,Vernon Senior Citizens Housing Development Corporation, operating as Sunshine Center Apartments, respectfully submits the following corrective action plan for the year ended March 31, 2020.Name and address of independent public accounting firm: Bellows Associates, P.A., 7890 Peters Rd., G-102, Plantation, Florida 33324Audit period:April 1, 2019 through March 31, 2020The findings from the March 31, 2020 schedule of findings and questioned costs are discussed below. The findings are numbered consistently with the numbers assigned in the schedule. FINDINGS AND QUESTIONED COSTS – MAJOR FEDERAL AWARD PROGRAMS AUDITFINDING No. 2020-003: Section 207/223(f) Mortgage Refinancing, CFDA 14.155Recommendation: The Project should implement procedures to ensure that the correct amount is deposited in the replacement reserve account each month. A HUD approved form 9250 should be obtained to remove excess funds.Action Taken: Management inadvertently duplicated a prior year underfunding correction. However, management had submitted a HUD 9250 request on March 1, 2020 to withdraw the $171 and received an approval on April 1, 2020. Said approval was processed.If the audit Oversight Agency for Audit has questions regarding these plans, please call Christine Harris at 954-835-9200.Sincerely yours,Christine HarrisAssistant to the Vice President of Finance and Accounting</t>
  </si>
  <si>
    <t>NOTE C  U.S. DEPARTMENT OF HOUSING AND URBAN DEVELOPMENT REFINANCE LOAN</t>
  </si>
  <si>
    <t>Vernon Senior Citizens Housing Development Corporation received a HUD mortgage insurance for the refinancing of existing multifamily housing projects under Section 207 of the National Housing Act. The loan balance outstanding at the beginning of the year is included in the federal expenditures presented in the Schedule. Vernon Senior Citizens Housing Development Corporation received no additional loans during the year. The balance of the loan outstanding at March 31, 2020 was $1,288,174.</t>
  </si>
  <si>
    <t>28-8723483</t>
  </si>
  <si>
    <t>MYOGENE BIO, LLC</t>
  </si>
  <si>
    <t>6C50CS87456-53</t>
  </si>
  <si>
    <t>CULTURAL PATH TO WELLNESS - HEALING FROM TRAUMA AND GRIEF</t>
  </si>
  <si>
    <t xml:space="preserve">Finding reference number:2020-001CFDA title and number (Federal award identification number and year):LIHPRHA Capital Grant, CFDA 14.122-44104CG9705 and 1972)Auditor non-compliance code:B - Failure to make required residual receipts depositFinding resolution status:Resolved Universe population size:The universe population is not applicable to the finding.Sample size information:The sample size information is not applicable to the finding.Noncompliance information:See statement of condition 2020-001 for noncompliance information.Statistically valid sample:N/AName of Federal agency:U.S. Department of Housing and Urban DevelopmentPass-through entity:N/AQuestioned costs:$12,364Statement of Condition 2020-001 (CFDA 14.122-44104CG9705):The Corporation did not make the required residual receipts deposit computed at February 28, 2019, in the amount of $12,364 within 90 days of fiscal year end.Criteria:Pursuant to paragraph 2(c) of the Regulatory Agreement, the residual receipts deposit due to the residual receipts reserve must be deposited within 90 days of fiscal year end.Effect:The Corporation was not in compliance with the Regulatory Agreement.Cause:The Corporation did not make the required deposit within 90 days of fiscal year end.Recommendation:Management should implement a system to ensure the required deposit to the residual receipts is made within 90 days of fiscal year end.Completion date:July 5, 2019Management's response:Agree. Management made the required residual receipts deposit on July 5, 2019. </t>
  </si>
  <si>
    <t>Statement of Condition 2020-001 (CFDA 14.122-44104CG9705):The Corporation did not make the required residual receipts deposit computed at February 28, 2019, in the amount of $12,364 within 90 days of fiscal year end.Recommendation:Management should implement a system to ensure the required deposit to the residual receipts is made within 90 days of fiscal year end.Action(s) taken or planned on the finding:Agree. On July 5, 2019, management transferred $12,364 from operating cash to the residual receipts account.</t>
  </si>
  <si>
    <t>LIHPRHA CAPITAL GRANT (14.122) - Balances outstanding at the end of the audit period were 1142244.</t>
  </si>
  <si>
    <t>28-8723484</t>
  </si>
  <si>
    <t>MYOLEX, INC.</t>
  </si>
  <si>
    <t>8C82BS89008-96</t>
  </si>
  <si>
    <t>HEALTHY OAKLAND TEENS: PROMOTING ADOLESCENT SEXUAL HEALTH IN FULL SERVICE
COMMUNITY SCHOOLS</t>
  </si>
  <si>
    <t>FINDINGS AND QUESTIONED COSTS – MAJOR FEDERAL AWARD PROGRAMS AUDITFINDING No. 2020-001:Section 207/223(f) Mortgage Insurance for the Refinancing of Existing Multifamily Housing Projects, CFDA 14.155Finding Resolution Status:Unresolved.Information on Universe Population Size:Sixty-two tenants.Sample Size Information:Sixty-two tenants.Identification of Repeat Finding and Finding Reference Number:No.Criteria:In accordance with HUD, tenants in properties subsidized through the Section 8 program must pay a minimum total tenant payment (TTP) of $25. In any property in which the utility allowance is greater than the $25, the full TTP is applied toward the utility allowance, and the amount the allowance exceeds $25 is reimbursed to the tenant as a utility reimbursement.Statement of Condition:The Project did not account for the $25 required TTP in providing utility reimbursements to applicable tenants.Cause:The Project remitted the entire utility allowance to applicable tenants.Effect or Potential Effect:Such costs are considered disallowed.Auditor Non-Compliance Code:R – Section 8 Program Admin.Reporting Views of Responsible Officials:The Project agrees with the finding and the auditor’s recommendations will be adopted.Recommendation:Management should implement procedures to ensure proper adherence to Section 8 program administration by either collecting the required $25 TTP absent a utility allowance or reducing utility reimbursements paid to applicable tenants by the required $25 TTP.Response Indicator:Agree.Completion Date:3/31/2021Response:Management has provided additional training on HUD guidelines inclusive of the required minimum rent for Section 8 subsidized units. We have also implemented a procedure where regional directors will make periodic site visits and file reviews.</t>
  </si>
  <si>
    <t>Oversight Agency for Audit,Mamou Elderly Housing Development Corporation respectfully submits the following corrective action plan for the year ended March 31, 2020. Name and address of independent public accounting firm: Bellows Associates, P.A., 7890 Peters Road, Suite G-102, Plantation, Florida 33324Audit period:April 1, 2019 through March 31, 2020The finding from the March 31, 2020 schedule of findings and questioned costs is discussed below. The finding is numbered consistently with the number assigned in the schedule.FINDINGS AND QUESTIONED COSTS – MAJOR FEDERAL AWARD PROGRAMS AUDITFINDING No. 2020-001: Section 207/223(f) Mortgage Insurance for the Refinancing of Existing Multifamily Housing Projects, CFDA 14.155Recommendation:Management should implement procedures to ensure proper adherence to Section 8 program administration by either collecting the required $25 TTP absent a utility allowance or reducing utility reimbursements paid to applicable tenants by the required $25 TTP.Action Taken: Management has provided additional training on HUD guidelines inclusive of the required minimum rent for Section 8 subsidized units. We have also implemented a procedure where regional directors will make periodic site visits and file reviews.If the Oversight Agency for Audit has questions regarding these plans, please call Christine Harris at 954-835-9200.Sincerely yours,Christine HarrisAssistant to Vice President of Finance and Accounting</t>
  </si>
  <si>
    <t>NOTE ABASIS OF PRESENTATION The accompanying schedule of expenditures of federal awards includes the federal grant activity of Mamou Elderly Housing Development Corporation, operating as Savoy Heights Apartments, HUD Project No. 064-11117,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Mamou Elderly Housing Development Corporation, it is not intended to and does not present the financial position, changes in net assets, or cash flows of Mamou Elderly Housing Development Corporation. 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</si>
  <si>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Mamou Elderly Housing Development Corporation has elected not to use the 10-percent de minimis indirect cost rate allowed under the Uniform Guidance.</t>
  </si>
  <si>
    <t>NOTE CU.S. DEPARTMENT OF HOUSING AND URBAN DEVELOPMENT REFINANCE PROGRAMMamou Elderly Housing Development Corporation has received a U.S. Department of Housing and Urban Development mortgage restructuring under Section 207/223(f) of the National Housing Act. The loan balance outstanding at the beginning of the year is included in the federal expenditures presented in the Schedule. Mamou Elderly Housing Development Corporation received no additional loans during the year. The balance of the loan outstanding at March 31, 2020 was $2,174,377.</t>
  </si>
  <si>
    <t>28-8723485</t>
  </si>
  <si>
    <t>MYOS, INC.</t>
  </si>
  <si>
    <t>7B58IR84816-80</t>
  </si>
  <si>
    <t>The accompanying schedule of expenditures of federal awards has been prepared inconformity with accounting principles generally accepted in the United States of America. Such expenditures are recognized following the cost principles contained in the Uniform Guidance wherein certain types of expenditures are not allowable or limited as to reimbursement. Negative amounts shown on the Schedule represent adjustments or credits made in the normal course of business to amounts reported as expenditures in prior years. The Authority has elected not to use the 10 percent de minimis indirect cost rate as allowed under the Uniform Guidance.Draft-</t>
  </si>
  <si>
    <t>28-8723486</t>
  </si>
  <si>
    <t>N2 BIOMEDICAL, LLC</t>
  </si>
  <si>
    <t>9B40CR89083-88</t>
  </si>
  <si>
    <t>STRENGTHENING LOCAL COALITIONS TO REDUCE HEALTH DISPARITIES RELATED TO NUTRITION, PHYSICAL ACTIVITY, AND OBESITY PREVENTION</t>
  </si>
  <si>
    <t>Expenditures reported on the Schedule are reported on the accrual basis of accounting.Such expenditures are recognized following the cost principles contained in Uniform Guidance, wherein certain types of expenditures are not allowable or are limited as to reimbursement.</t>
  </si>
  <si>
    <t>The Foundation has elected not to use the 10% de minimis indirect cost rate allowed under the Uniform Guidance</t>
  </si>
  <si>
    <t>Program Income from Closed Award</t>
  </si>
  <si>
    <t>During the year ended March 31, 2019, grant award F19AP00101 was issued by the U.S. Fish and Wildlife Service.This award relates to program income from closed award F13AC00158.Under the terms of award F19AP00101, the Foundation is asked to spend $209,833 related to prior years program income.Amounts must be spent between December 1, 2018 and January 31, 2020.During the years ended March 31, 2020 and 2019, the Foundation spent down $109,833 and $100,000, respectively.</t>
  </si>
  <si>
    <t>The accompanying schedule of expenditures of federal awards (the Schedule) includes the federal grant activity of Recreational Boating and Fishing Foundation (Foundation) under programs of the federal government for the year ended March 31, 2020.The information in this Schedule is presented in accordance with requirements of Title 2 U.S. Code of Federal Regulations (CFR) Part 200, Uniform Administrative Requirements, Cost Principles, and Audit Requirements for Federal Awards (Uniform Guidance).Because the Schedule presents only a selected portion of the operations of the Foundation, it is not intended to and does not present the financial position, changes in net assets, or cash flows of the Foundation.</t>
  </si>
  <si>
    <t>28-8723487</t>
  </si>
  <si>
    <t>NAJIT TECHNOLOGIES, INC.</t>
  </si>
  <si>
    <t>5B89AR89766-62</t>
  </si>
  <si>
    <t>WITHIN OUR REACH</t>
  </si>
  <si>
    <t>SUPPORTIVE HOUSING FOR THE ELDERLY (14.157) - Balances outstanding at the end of the audit period were 4537100.</t>
  </si>
  <si>
    <t>28-8723488</t>
  </si>
  <si>
    <t>NAMI THERAPEUTICS CORP.</t>
  </si>
  <si>
    <t>4D67CT86557-61</t>
  </si>
  <si>
    <t>CATEGORY B: CHRONIC DISEASE SPECIALISTS</t>
  </si>
  <si>
    <t>Note A - Basis of PresentationThe accompanying schedule of expenditures of federal awards (the Schedule) includes the federal grant activity of Lord Howe Estates Housing Development Fund Corporation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Lord Howe Estates Housing Development Fund Corporation, it is not intended to and does not present the financial position, changes in net assets, or cash flows of Lord Howe Estates Housing Development Fund Corporation.Note B - Summary of Significant Accounting PoliciesExpenditures reported on the Schedule are reported on the accrual basis of accounting.</t>
  </si>
  <si>
    <t>MORTGAGE INSURANCE_RENTAL HOUSING FOR THE ELDERLY (14.138) - Balances outstanding at the end of the audit period were 1455244.</t>
  </si>
  <si>
    <t>28-8723489</t>
  </si>
  <si>
    <t>NANGIOTX, INC.</t>
  </si>
  <si>
    <t>5C36DS86556-87</t>
  </si>
  <si>
    <t>THE HEALING WAYS PROJECT</t>
  </si>
  <si>
    <t>The accompanying schedule of expenditures of federal awards includes the federal award activity of St. Marks Tower, HUD Project No. 105-EH-002-L8-NP,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St. Marks Tower, it is not intended to and does not present the financial position, changes in net assets, or cash flows of the Project.</t>
  </si>
  <si>
    <t>MORTGAGE INSURANCE_RENTAL HOUSING (14.134) - Balances outstanding at the end of the audit period were 2276175.</t>
  </si>
  <si>
    <t>28-8723490</t>
  </si>
  <si>
    <t>NANO BIOTHERAPEUTICS, INC.</t>
  </si>
  <si>
    <t>2C72ES77009-58</t>
  </si>
  <si>
    <t>SAN DIEGO REACH</t>
  </si>
  <si>
    <t>SUPPORTIVE HOUSING FOR THE ELDERLY (14.157) - Balances outstanding at the end of the audit period were 2291500.</t>
  </si>
  <si>
    <t>28-8723491</t>
  </si>
  <si>
    <t>NANOAFFIX SCIENCE, LLC</t>
  </si>
  <si>
    <t>8B62BR85797-70</t>
  </si>
  <si>
    <t>CONDUCT SCHOOL-BASED SURVEILLANCE VIA COMPONENT 1 AND PROVIDE SCHOOL-BASED HIV/STD PREVENTION VIA COMPONENT 2, WHICH INCLUDES SUPPORTS FOR STUDENTS, DISTRICT
STAFF, AND PARENTS.</t>
  </si>
  <si>
    <t>NOTE A - Basis of PresentationThe accompanying schedule of expenditures of federal awards includes the federal grant activity ofEphesus Urban Ministries HUD Project No. 062-EE032, and is presented on the accrual basis ofaccounting. The information in this schedule is presented in accordance with the requirements of Title 2U. S. Code of Federal Regulations Part 200, Uniform Administrative Requirements, Cost principles, andAudit Requirements for Federal Awards (Uniform Guidance). Because the Schedule presents only aselected portion of the operations of Ephesus Urban Ministries, it is not intended to and does not presentthe financial position, changes in net assets, or cash flows of Ephesus Urban Ministries.NOTE BSummary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 Ephesus Urban Ministries has electednot to use the 10 percent de minimis indirect cost rate as allowed under the Uniform Guidance.</t>
  </si>
  <si>
    <t>SUPPORTIVE HOUSING FOR THE ELDERLY (14.157) - Balances outstanding at the end of the audit period were 3666300.</t>
  </si>
  <si>
    <t>28-8723492</t>
  </si>
  <si>
    <t>NANOBIO CORPORATION</t>
  </si>
  <si>
    <t>3C83AS84549-70</t>
  </si>
  <si>
    <t>SAN FRANCISCO UNIFIED SCHOOL DISTRICT (SFUSD) IS SUBMITTING A GRANT APPLICATION FOR THE NOFO PROMOTING ADOLESCENT
HEALTH THROUGH SCHOOL-BASED HIV PREVENTION</t>
  </si>
  <si>
    <t>Expenditures reported on the Schedule are reported on the basis of accounting generally accepted in the United States of America (U.S. GAAP). Such expenditures are recognized following the costs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The Project was subject to Part 3.1 of the Uniform Guidance.</t>
  </si>
  <si>
    <t>CAPITAL ADVANCE</t>
  </si>
  <si>
    <t>In 2000, HUD issued a capital advance to the project owner totaling $1,036,000. This amount is included in the federal expenditures presented in the Schedule and is included in total net assets with donor restrictions in the financial statements. The capital advance agreement requires the owner to maintain the project for 40 years.</t>
  </si>
  <si>
    <t>NATURE OF ORGANIZATION</t>
  </si>
  <si>
    <t>Alpha Homes, Inc. (the Project) is a not-for-profit corporation organized under the laws of the State of Missouri, for the purpose of developing and operating the Lewella Estes Apartments, a 16-unit project located in Jefferson City, Missouri. The Project operates under two provisions of Section 221(d)(4) of the National Housing Act, with mortgage insurance provided by the Federal Housing Administration (FHA) and the Department of Housing and Urban Development (HUD). The Projects major program is its Section 811 Capital Advance.</t>
  </si>
  <si>
    <t>BASIS OF ACCOUNTING</t>
  </si>
  <si>
    <t>The financial statements have been prepared on the accrual basis of accounting. Accordingly, revenue is recognized when earned and expenses are recognized when incurred.</t>
  </si>
  <si>
    <t>28-8723493</t>
  </si>
  <si>
    <t>NANOCELLECT BIOMEDICAL, INC.</t>
  </si>
  <si>
    <t>8D88HT84703-15</t>
  </si>
  <si>
    <t>IMPLEMENTATION OF TRIBAL PRACTICES AND CULTURAL TRADITIONS TO REDUCE HEALTH RISK FACTORS AND STRENGTHEN COMMUNITY HEALTH
AND WELLNESS</t>
  </si>
  <si>
    <t>Questioned Costs: $998Information on Universe and Population Size: N/ASample Size Information: N/ANoncompliance Information: The Project did not make all the required deposits to the reserve for replacements (“RFR”) account during the year ended March 31, 2020.Condition: The Project did not make the required number of deposits to the RFR account during the year ended March 31, 2020 resulting in the account being short $998 for the year ended March 31, 2020.Criteria: HUD regulations and the HUD regulatory agreement require the Project to make monthly deposits to the RFR account unless a waiver of deposits is approved by HUD.Cause: The Project did not make the March 2020 deposit in the amount of $998 due to a clerical error. Effect or Potential Effect: The RFR account is short $998 in deposits as of March 31, 2020.Recommendation: The Project should make the required deposit.Reporting Views of Responsible Officials: Management agrees with the finding and has made the required deposit on April 9, 2020. The finding is cleared.Competence of personnel who administer the Federal programs  is low.</t>
  </si>
  <si>
    <t>1.Finding 2020-001a.Comments on the Finding and Each RecommendationThose charged with governance agree with the finding and the recommendation.b.Action Taken or Planned on the FindingResponsible individuals of the Project have made the required deposit as of April 9, 2020.</t>
  </si>
  <si>
    <t>Note ABasis of PresentationThe accompanying Schedule of Expenditures of Federal Awards (the Schedule) includes the federal awards activity of Highland Terrace Housing Corporation (the Project) under programs of the federal government for the year ended March 31, 2020.The information in this Schedule is presented in accordance with the requirements of Title 2 U.S. Code of Federal Regulations Part 200, Uniform Administrative Requirements, Cost Principals, and Audit Requirements for Federal Awards (the Uniform Guidance).Because the Schedule presents only a selected portion of the operations of the Project, it is not intended to and does not present the balance sheet, changes in net assets or cash flows of the Project.Note BSummary of Signification Accounting PoliciesExpenditures reported on the Schedule are reported on the accrual basis of accounting.Such expenditures are recognized following the cost principles contained in the Uniform Guidance, wherein certain types of expenditures are not allowable or are limited as to reimbursement.The Project has not elected to use the 10% de Minimis indirect cost rate as allowed under the Uniform Guidance since the Project is a single purpose entity that only incurs costs based on the reasonable and necessary costs for one single project. Federal loan programs with continuing program compliance requirements are presented on the Schedule with the beginning of the year loan balance. The ending balance is $2,530,300.</t>
  </si>
  <si>
    <t>SUPPORTIVE HOUSING FOR THE ELDERLY (14.157) - Balances outstanding at the end of the audit period were 2530300.</t>
  </si>
  <si>
    <t>28-8723494</t>
  </si>
  <si>
    <t>NANOCOMPOSIX, INC.</t>
  </si>
  <si>
    <t>9B18AR86185-73</t>
  </si>
  <si>
    <t>Basis of Presentation - The Schedule of Expenditures of Federal Awards includes the federal grant activity of River Hills Community Health Center, Inc. and is presented on the accrual basis of accounting.The information on this schedule is presented in accordance with the requirements of the Uniform Guidance.Therefore, some amounts presented in this schedule may differ from the amounts presented in, or used in the preparation of, the basic financial statements.Indirect Cost Rate - The Schedule of Expenditures of Federal Awards includes amounts claimed as an indirect cost recovery using an approved indirect cost rate.</t>
  </si>
  <si>
    <t>28-8723495</t>
  </si>
  <si>
    <t>NANOENGINEERING CORPORATION</t>
  </si>
  <si>
    <t>2C33GS86640-76</t>
  </si>
  <si>
    <t>CALIFORNIA PREGNANCY ASSOCIATED MORTALITY REVIEW: A DEEPER LOOK AT MATERNAL DEATHS</t>
  </si>
  <si>
    <t>BASIS OF PRESENTATIONThe accompanying schedule of expenditures of federal awards includes the federal grant activity of St. Theresas, Inc. and is presented on the accrual basis of accounting. The information in this schedule is presented in accordance with the requirements of the Uniform Guidance.</t>
  </si>
  <si>
    <t>SUPPORTIVE HOUSING FOR THE ELDERLY (14.157) - Balances outstanding at the end of the audit period were 1059503.</t>
  </si>
  <si>
    <t>28-8723496</t>
  </si>
  <si>
    <t>NANOFIBER SOLUTIONS, LLC</t>
  </si>
  <si>
    <t>7B90CR86641-30</t>
  </si>
  <si>
    <t>SAN FRANCISCO SUDDEN UNEXPECTED INFANT DEATH (SUID) AND SUDDEN DEATH IN THE YOUNG
(SDY) CASE REGISTRY: SUID CORE COMPONENT 2 AND SDY OPTIONAL COMPONENT 2</t>
  </si>
  <si>
    <t>1.The accompanying Schedule of Expenditures of Federal Awards includes the federal grant activity of Autumn Village, Inc., HUD Project 103-EE019-NP-WAH and is presented on the accrual basis of accounting.The information in this schedule is presented in accordance with the requirements of Title 2 U.S. Code of Federal Regulations Part 200, Uniform Administrative Requirements, Costs Principles, and Audit Requirements for Federal Awards (Uniform Guidance).</t>
  </si>
  <si>
    <t>SUPPORTIVE HOUSING FOR THE ELDERLY (14.157) - Balances outstanding at the end of the audit period were 877500.</t>
  </si>
  <si>
    <t>28-8723497</t>
  </si>
  <si>
    <t>NANOHMICS, INC.</t>
  </si>
  <si>
    <t>1B74BR86074-89</t>
  </si>
  <si>
    <t>Finding No. 2020-001:Section 202 Supportive Housing for the Elderly,CFDA 14.157Finding Resolution Status:Resolved. Information on Universe Population Size:113 tenants.Sample Size Information:20 tenants.Identification of Repeat Finding and Finding Reference Number:Yes, 2019-001.Criteria:HUD regulation requires:•All tenants to have background checks performed prior to acceptance as residents. •Timely verification of tenant’s current and initial income through the use of Enterprise Income Verification (EIV) reports.Statement of Condition:Of the tenant files selected:•One tenant background check was not run prior to acceptance as a resident. •One tenant file did not contain verification of initial income through the use of EIV reports. Cause:The Project did not adhere to HUD regulations for initial eligibility. Effect or Potential Effect:Unable to verify tenant eligibility and cost of assistance and residency may be disallowed. Auditor Non-Compliance Code:R – Section 8 Program AdministrationReporting Views of Responsible Officials:The Project agrees with the finding and the auditor’s recommendations will be adopted. Recommendation:The Project should implement procedures to ensure the Project verifies eligibility by obtaining all required documents for potential tenants and adequately maintains tenant files. Response Indicator:Agree. Completion Date:08/08/2019 Response:Management has provided staff with additional HUD training, inclusive of EIV reporting and file maintenance. Management has also established policy where the regional directors will be making periodic site visits inclusive of file reviews.</t>
  </si>
  <si>
    <t>Oversight Agency for Audit,Bayamón Senior Citizens Housing Company, Inc., respectfully submits the following corrective action plan for the year ended March 31, 2020.Name and address of independent public accounting firm: Bellows Associates, P.A., 7890 Peters Rd., Suite G-102, Plantation, Florida 33324Audit period:April 1, 2019 through March 31, 2020The finding from the March 31, 2020 schedule of findings and questioned costs is discussed below. The finding is numbered consistently with the number assigned in the schedule. FINDINGS AND QUESTIONED COSTS – MAJOR FEDERAL AWARD PROGRAMS AUDITFINDING No. 2020-001: Section 202 Supportive Housing for the Elderly, CFDA 14.157Recommendation: The Project should implement procedures to ensure the Project verifies eligibility by obtaining all required documents for potential tenants and adequately maintains tenant files.Action Taken:Management has provided staff with additional HUD training, inclusive of EIV reporting and file maintenance. Management has also established policy where the regional directors will be making periodic site visits inclusive of file reviews. If the audit Oversight Agency has questions regarding these plans, please call Christine Harris at 954-835-9200.Sincerely yours,Christine HarrisAssistant to Vice President of Finance and Accounting</t>
  </si>
  <si>
    <t>NOTE ABASIS OF PRESENTATION The accompanying schedule of expenditures of federal awards includes the federal grant activity of Bayam≤n Senior Citizens Housing Company, Inc., operating as Torre Jesus Sanchez Erazo Apartments, HUD Project 056-EH035,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Bayam≤n Senior Citizens Housing Company, Inc., it is not intended to and does not present the financial position, changes in net assets, or cash flows of Bayam≤n Senior Citizens Housing Company, Inc.NOTE BSUMMARY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</si>
  <si>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Bayam≤n Senior Citizens Housing Company, Inc. has elected not to use the 10-percent de minimis indirect cost rate allowed under the Uniform Guidance.</t>
  </si>
  <si>
    <t>NOTE C  U.S. DEPARTMENT OF HOUSING AND URBAN DEVELOPMENT LOAN PROGRAMS</t>
  </si>
  <si>
    <t>Bayam≤n Senior Citizens Housing Company, Inc. has received a U.S. Department of Housing and Urban Development direct loan under Section 202 of the National Housing Act and a flexible subsidy loan under Section 201. The loan balances outstanding at the beginning of the year are included in the federal expenditures presented in the schedule. Bayam≤n Senior Citizens Housing Company, Inc. received no additional loans during the year. The balances of the loans outstanding at March 31, 2020 consist of:Program TitleCFDA NumberOutstanding BalanceSection 202 Supportive Housing for the Elderly 14.157$1,187,450Section 201 Flexible Subsidy Loan Program14.164 $370,767</t>
  </si>
  <si>
    <t>28-8723498</t>
  </si>
  <si>
    <t>NANOMAG, LLC</t>
  </si>
  <si>
    <t>1B37HR86840-79</t>
  </si>
  <si>
    <t>NOTE A - Basis of PresentationThe accompanying schedule of expenditures of federal awards includes the federal grant activity of St.Mary's Woods of Columbus, Inc. HUD Project No. 061-EE061, and is presented on the accrual basis ofaccounting. The information in this schedule is presented in accordance with the requirements of Title 2U. S. Code of Federal Regulations Part 200, Uniform Administrative Requirements, Cost principles, andAudit Requirements for Federal Awards (Uniform Guidance). Because the Schedule presents only aselected portion of the operations of St. Mary's Woods of Columbus, Inc., it is not intended to and does notpresent the financial position, changes in net assets, or cash flows of St. Mary's Woods of Columbus, Inc.NOTE BSummary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 St. Mary's Woods of Columbus, Inc.has elected not to use the 10 percent de minimis indirect cost rate as allowed under the Uniform Guidance.</t>
  </si>
  <si>
    <t>SUPPORTIVE HOUSING FOR THE ELDERLY (14.157) - Balances outstanding at the end of the audit period were 2732100.</t>
  </si>
  <si>
    <t>28-8723499</t>
  </si>
  <si>
    <t>NANOMEDTRIX, LLC</t>
  </si>
  <si>
    <t>1B41BR89048-30</t>
  </si>
  <si>
    <t>PPHF 2014: TOBACCO USE PREVENTION PUBLIC
HEALTH APPROACHES FOR ENSURING QUITLINE CAPACITY</t>
  </si>
  <si>
    <t>Finding No. 2020-001:Supportive Housing for the Elderly (Section 202) – CFDA No. 14.157a.Statement of Condition:In one instance of four files tested, tenant medical expense was overstated by $1,626.b.Criteria:The tenant’s adjusted rent is calculated based on income and allowances.c.Effect of Condition:The tenant’s share of yearly rent was understated by $480 and the subsidy was overstated by $480.d.Cause of Condition:Procedures are in place for calculating tenant rent.The medical expense was added in error.e.Recommendation:Barrett Dewitt Apartments should recalculate the tenant rent and make adjustments.Procedures for calculating tenant rent should be reviewed.f.Views of Responsible Officials and Planned Corrective Actions:Barrett Dewitt Apartments agrees with the finding and the auditor’s recommendations have been adopted.</t>
  </si>
  <si>
    <t>Finding No. 2020-001:Section 202 Supportive Housing for the Elderly – (Capital Advance) – CFDA No. 14.157Condition:In one instance of four files tested, tenant medical expense was overstated by $1,626.Recommendation:Barrett Dewitt Apartments should recalculate the tenant rent and make adjustments.Procedures for calculating tenant rent should be reviewed.Action Taken:The manager recalculated the tenant rent and made the appropriate adjustments.</t>
  </si>
  <si>
    <t>The accompanying schedule of expenditures of federal awards includes the federal award activity of Barrett Dewitt Housing Development Fund Company, Inc. (Barrett Dewitt Apartments), FHA Project No. 014-EE154/NY06-S971-010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Barrett Dewitt Apartments, it is not intended to and does not present the financial position, changes in net assets, or cash flows of Barrett Dewitt Apartments.</t>
  </si>
  <si>
    <t>SUPPORTIVE HOUSING FOR THE ELDERLY (14.157) - Balances outstanding at the end of the audit period were 2937400.</t>
  </si>
  <si>
    <t>Barrett Dewitt Apartments did not pass any federal funds to subrecipients for the year ended March 31, 2020.</t>
  </si>
  <si>
    <t>28-8723500</t>
  </si>
  <si>
    <t>NAVEGA THERAPEUTICS, INC.</t>
  </si>
  <si>
    <t>9B81DR86044-85</t>
  </si>
  <si>
    <t>SUPPORTIVE HOUSING FOR THE ELDERLY (14.157) - Balances outstanding at the end of the audit period were 3158400.</t>
  </si>
  <si>
    <t>28-8723501</t>
  </si>
  <si>
    <t>NAVIDEA BIOPHARMACEUTICALS, INC.</t>
  </si>
  <si>
    <t>7D57BT86045-89</t>
  </si>
  <si>
    <t>FINDING No. 2020-001:Section 207/223(f) Mortgage Insurance for the Refinancing of Existing Multifamily Rental Housing Projects, CFDA 14.155Finding Resolution Status:Unresolved.Information on Universe Population Size:One hundred and seventeen tenants.Sample Size Information:Twenty tenants.Identification of Repeat Finding and Finding Reference Number:No.Criteria:HUD regulation requires timely verification of tenant’s income through the use of Enterprise Income Verification (EIV) reports, requires accurate reporting of tenant income, and requires all tenants meet the very low income threshold upon move in.Statement of Condition:Of the tenant files selected: 1) One tenant file did not contain initial verification of annual income through the use of an EIV report. 2) One tenant’s EIV reported income higher than reported on form 50059 resulting in an underpayment of rent. 3) One tenant did not meet the very low income threshold upon move in. Cause:The Project did not perform income verification through the use of EIV reports.Effect or Potential Effect:Differences between actual and reported income of approximately $1,200 that could result in errors of the amounts charged to tenants and HUD, and tenants that may not be eligible to receive HUD assistance.Auditor Non-Compliance Code:R- Section 8 Program AdminReporting Views of Responsible Officials:The Project agrees with the findings and the auditor’s recommendation will be adopted.Recommendation:The Project should verify eligibility timely and adequately maintain tenant files. Income verification must be accurate in order to reflect the correct rental charges to tenants.Response Indicator:Agree.Completion Date:3/31/2021Response:Management has provided staff with additional HUD training, inclusive of EIV reporting and file maintenance. Management has also established policy where the regional directors will be making periodic site visits inclusive of file reviews.  Accounting system maintenance practices are weak.</t>
  </si>
  <si>
    <t>Oversight Agency for Audit,Jacksonville Towers, Inc., respectfully submits the following corrective action plan for the year ended March 31, 2020.Name and address of independent public accounting firm: Bellows Associates, P.A., 7890 Peters Road, Suite G-102, Plantation, Florida 33324.Audit period:April 1, 2019 through March 31, 2020The findings from the March 31, 2020 schedule of findings and questioned costs are discussed below. The findings are numbered consistently with the numbers assigned in the schedule. FINDINGS AND QUESTIONED COSTS – MAJOR FEDERAL AWARD PROGRAMS AUDITFINDING No. 2020-001: Section 207/223(f) Mortgage Insurance for the Refinancing of Existing Multifamily Rental Housing Projects, CFDA 14.155 Recommendation:The Project should verify eligibility timely and adequately maintain tenant files. Income verification must be accurate in order to reflect the correct rental charges to tenants.Action Taken: Management has provided staff with additional HUD training, inclusive of EIV reporting and file maintenance. Management has also established policy where the regional directors will be making periodic site visits inclusive of file reviews.If the Oversight Agency for Audit has questions regarding the plan please call Christine Harris at 954-835-9200.Sincerely yours,Christine HarrisAssistant to Vice President of Accounting and Finance</t>
  </si>
  <si>
    <t>NOTE ABASIS OF PRESENTATION The accompanying schedule of expenditures of federal awards includes the federal award activity of Jacksonville Towers, Inc., HUD Project No. 082-11090,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Jacksonville Towers, Inc., it is not intended to and does not present the financial position, changes in net assets, or cash flows of Jacksonville Towers, Inc. NOTE BSUMMARY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 Experience of personnel who administer the Federal programs  is low.</t>
  </si>
  <si>
    <t>7D57BT86099-89</t>
  </si>
  <si>
    <t>ADVANCING CALIFORNIA S OPPORTUNITIES TO RENEW NATIVE HEALTH SYSTEMS (ACORNS)  - Subrecipient</t>
  </si>
  <si>
    <t>Some expenditures are not allowable. Experience of personnel who administer the Federal programs  is low.</t>
  </si>
  <si>
    <t>FINDING No. 2020-002:Section 207/223(f) Mortgage Insurance for the Refinancing of Existing Multifamily Rental Housing Projects, CFDA 14.155Finding Resolution Status:Resolved.Information on Universe Population Size:All management fee expenses.Sample Size Information:All management fee expenses.Identification of Repeat Findingand Finding Reference Number:Yes, 2019-002Criteria:As required by HUD, the Project shall only use funds as specified in the Regulatory Agreement and shall owe the management company fees at the rate specified in the Project Owner’s/Management Agent’s Certification (Form HUD-9839-B).Statement of Condition:As a result of an expired Form HUD-9839-B, the Project has been overcharged management fees, resulting in an unauthorized loan to the Management Company.Cause:The Project’s Form HUD-9839-B expired and a new one is awaiting approval from HUD.Effect or Potential Effect:The Project has made an unauthorized loan to the management company as a result of overpaying management fees of $50,949.Auditor Non-Compliance Code:J – Unauthorized Management Fees.Reporting Views of Responsible Officials:The Project agrees with the finding and the auditor’s recommendation will be adopted.Recommendation:The Project should implement procedures to monitor the expiration of HUD required documents to ensure timely preparation and approval.Response Indicator:Agree.Completion Date:5/20/2020Response:On May 20, 2020 HUD approved a new Management Certification for the period of March 1, 2020 through February 28, 2021. Questioned Costs – Department of Housing and Urban Development$50,949</t>
  </si>
  <si>
    <t>Oversight Agency for Audit,Jacksonville Towers, Inc., respectfully submits the following corrective action plan for the year ended March 31, 2020.Name and address of independent public accounting firm: Bellows Associates, P.A., 7890 Peters Road, Suite G-102, Plantation, Florida 33324.Audit period:April 1, 2019 through March 31, 2020The findings from the March 31, 2020 schedule of findings and questioned costs are discussed below. The findings are numbered consistently with the numbers assigned in the schedule. FINDINGS AND QUESTIONED COSTS – MAJOR FEDERAL AWARD PROGRAMS AUDITFINDING No. 2020-002: Section 207/223(f) Mortgage Insurance for the Refinancing of Existing Multifamily Rental Housing Projects, CFDA 14.155 Recommendation: The Project should implement procedures to monitor the expiration of HUD required documents to ensure timely preparation and approval.Action Taken: On May 20, 2020 HUD approved a new Management Certification for the period of March 1, 2020 through February 28, 2021.If the Oversight Agency for Audit has questions regarding the plan please call Christine Harris at 954-835-9200.Sincerely yours,Christine HarrisAssistant to Vice President of Accounting and Finance</t>
  </si>
  <si>
    <t>Jacksonville Towers, Inc. has elected not to use the 10-percent de minimis indirect cost rate allowed under the Uniform Guidance.</t>
  </si>
  <si>
    <t>NOTE C  U.S. DEPARTMENT OF HOUSING AND URBAN DEVELOPMENT MORTGAGE REFINANCE</t>
  </si>
  <si>
    <t>Jacksonville Towers, Inc. has received a U.S. Department of Housing and Urban Development mortgage insurance for the refinancing of existing multifamily rental housing projects loan under section 207/223(f) of the National Housing Act. The loan balance outstanding at the beginning of the year is included in the federal expenditures presented in the schedule. Jacksonville Towers, Inc. received no additional loans during the year. The balance of the loan outstanding at March 31, 2020 was $3,382,222.</t>
  </si>
  <si>
    <t>28-8723502</t>
  </si>
  <si>
    <t>NAVIGEN, INC.</t>
  </si>
  <si>
    <t>9B84HR89548-41</t>
  </si>
  <si>
    <t>NOTE - BASIS OF PRESENTATION The accompanying schedule of expenditures of federal awards includes the federal award activity of Appalachian Homes for Elderly, Inc., Friendship Manor Apartments,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 in net assets, or cash flows of the Project.</t>
  </si>
  <si>
    <t>28-8723503</t>
  </si>
  <si>
    <t>NE SCIENTIFIC, LLC</t>
  </si>
  <si>
    <t>8B89DR89260-92</t>
  </si>
  <si>
    <t>ASIAN LANGUAGE TOBACCO QUITLINE</t>
  </si>
  <si>
    <t>Note A- Basis of PresentationThe accompanying schedule of expenditures of federal awards includes the federal award (the Schedule) of Perry County Medical Center, Inc.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Perry County Medical Center, Inc., it is not intended to and does not present the financial position, changes in net assets, or cash flows of Perry County Medical Center, Inc.Note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Perry County Medical Center, Inc. has elected not to use the 10 percent de minimus indirect cost rate allowed under Uniform Guidance.Note C- Loans OutstandingPerry County Medical Center, Inc. had the following loan balances outstanding at March 31, 2020.Program TitleFederal CFDA NumberAmount OutstandingCommunity Facilities Loan10.766$427,429</t>
  </si>
  <si>
    <t>28-8723504</t>
  </si>
  <si>
    <t>NECTAGEN, INC.</t>
  </si>
  <si>
    <t>2B66HR84008-37</t>
  </si>
  <si>
    <t>EPIDEMIOLOGY AND LABORATORY CAPACITY FOR INFECTIOUS DISEASES (ELC) - BUILDING AND STRENGTHENING EPIDEMIOLOGY, LABORATORY AND HEALTH INFORMATION SYSTEMS CAPACITY
IN STATE AND LOCAL HEALTH DEPARTMENTS</t>
  </si>
  <si>
    <t>FINDING No. 2020-001:Section 202 Supportive Housing for the Elderly, CFDA No. 14.157Finding Resolution Status:Resolved.Information on Universe Population Size:One hundred forty-nine tenants.Sample Size Information:Twenty tenants. Identification of Repeat Finding and Finding Reference Number:No.Criteria:HUD regulation requires timely verification and retention of tenant’s income through the use of Enterprise Income Verification (EIV) reports.Statement of Condition:Of the tenant files selected, two tenant files did not contain verification of initial income, one tenant file did not containverification of initial income through the use of EIV reports,and one tenant file did not contain EIV report at the time of recertification.Cause:The Project did not perform and maintained income verification in a timely manner.Effect or Potential Effect:Unable to verify tenant eligibility and cost of assistance may be disallowed.Auditor Non-Compliance Code:R – Section 8 Program Admin.Reporting Views of Responsible Officials:The Project agrees with the finding and the auditor’s recommendations will be adopted.Recommendation:Management should implement procedures to ensure that eligibility is verified utilizing EIV reports and documentation is adequately maintained.Response Indicator:Agree.Completion Date:10/01/19Response:Management has provided staff with additional training on HUD guidelines and implemented a policy where regional directors conduct periodic file reviews.</t>
  </si>
  <si>
    <t>Oversight Agency for Audit,Senior Citizens Housing Development Corporation of Fontana respectfully submits the following corrective action plan for the period from July 1, 2019 through August 1, 2019. Name and address of independent public accounting firm: Bellows Associates, P.A., 7890 Peters Road, Suite G-102, Plantation, Florida 33324Audit period:July 1, 2019 through August 1, 2019The findings from the July 1, 2019 through August 1, 2019 schedule of findings and questioned costs are discussed below. The findings are numbered consistently with the numbers in the schedule.FINDINGS AND QUESTIONED COSTS – MAJOR FEDERAL AWARD PROGRAMS AUDITFINDING No. 2020-001:Section 202 Supportive Housing for the Elderly, CFDA 14.157Recommendation: Management should implement procedures to ensure that eligibility is verified utilizing EIV reports and documentation is adequately maintained.Action Taken: Management has provided staff with additional training on HUD guidelines and implemented a policy where regional directors conduct periodic file reviews.If the Oversight Agency for Audit has questions regarding these plans, please call Christine Harris at 954-835-9200.Sincerely yours,Christine HarrisAssistant to Vice President of Finance &amp; Accounting</t>
  </si>
  <si>
    <t>NOTE ABASIS OF PRESENTATION The accompanying schedule of expenditures of federal awards includes the federal award activity of Senior Citizens Housing Development Corporation of Fontana, operating as Dino Papavero Senior Centre, HUD Project No.122-EH019,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Senior Citizens Housing Development Corporation of Fontana, it is not intended to and does not present the financial position, changes in net assets, or cash flows of Senior Citizens Housing Development Corporation of Fontana.NOTE BSUMMARY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</si>
  <si>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Senior Citizens Housing Development Corporation of Fontana has elected not to use the 10-percent de minimis indirect cost rate allowed under the Uniform Guidance.</t>
  </si>
  <si>
    <t>NOTE C  U.S. DEPARTMENT OF HOUSING AND URBAN DEVELOPMENT DIRECT LOAN PROGR</t>
  </si>
  <si>
    <t>Senior Citizens Housing Development Corporation of Fontana has received a U.S. Department of Housing and Urban Development direct loan under Section 202 of the National Housing Act. The loan balance outstanding at the beginning of the year is included in the federal expenditures presented in the Schedule. Senior Citizens Housing Development Corporation of Fontana received no additional loans during the year. The balance of the loan outstanding at August 1, 2019 was $740,849.</t>
  </si>
  <si>
    <t>28-8723505</t>
  </si>
  <si>
    <t>NEMAMETRIX, INC.</t>
  </si>
  <si>
    <t>2B20AR88759-19</t>
  </si>
  <si>
    <t>SUPPORTIVE HOUSING FOR THE ELDERLY (14.157) - Balances outstanding at the end of the audit period were 1993700.</t>
  </si>
  <si>
    <t>28-8723506</t>
  </si>
  <si>
    <t>NEMOURS CHILDREN'S CLINIC</t>
  </si>
  <si>
    <t>9B52ER86229-71</t>
  </si>
  <si>
    <t>CALIFORNIA ELC 2014</t>
  </si>
  <si>
    <t xml:space="preserve">Finding reference number: #2020-001CFDA title and number (federal award identification number and year): Mortgage Insurance for the Purchase or Refinancing of Existing Multifamily Housing Projects, CFDA No. 14.155 (Project identification number 042-11226, April 2013) and Section 8 Housing Assistance Payments Contract CFDA No. 14.195Auditor non-compliance code: N-Special Tests and ProvisionsFinding resolution status: ResolvedUniverse population size: The universe population size is not applicable to the finding.Sample size information: The sample size is not applicable to the finding.Statistically valid sample: Not applicableName of federal agency: U.S. Department of Housing and Urban DevelopmentPass-through entity: N/AQuestioned costs: N/AWas the sampling statistically valid: N/AStatement of condition #2020-001 (CFDA No. 14.155): For the year ended March 31, 2019, the Corporation did not submit audited financial statements to the Federal Audit Clearinghouse within 30 calendar days after receipt of the auditor's report on July 1, 2019. The audited financial statements were submitted to the Federal Audit Clearinghouse on September 3, 2019.Criteria: Pursuant to 2 CFR 200.512(a), the Corporation is required to electronically submit audited financial statements to the Federal Audit Clearinghouse within the earlier of 30 calendar days after receipt of the auditor's report or nine months after the end of the audit period.Effect or potential effect: The Corporation is not in compliance with the federal reporting requirements.Cause: Management oversight.Recommendation: The Corporation should submit audited financial statements to the Federal Audit Clearinghouse within the time frames required.Completion date: September 3, 2019Reporting response: Management concurs with the finding and agrees with the auditor's recommendation. The audited financial statements have been submitted to the Federal Audit Clearinghouse. No further action required. </t>
  </si>
  <si>
    <t>Finding 2020-001: For the year ended March 31, 2019, the Corporation did not submit audited financial statements to the Federal Audit Clearinghouse within 30 calendar days after receipt of the auditor's report on July 1, 2019. The audited financial statements were submitted to the Federal Audit Clearinghouse on September 3, 2019. The Corporation should submit audited financial statements to the Federal Audit Clearinghouse within the time frames required.Action(s) taken or planned on the findingManagement concurs with the finding and agrees with the auditor's recommendation. The audited financial statements have been submitted to the Federal Audit Clearinghouse. No further action required.</t>
  </si>
  <si>
    <t xml:space="preserve">Finding reference number: #2020-002CFDA title and number (federal award identification number and year): Mortgage Insurance for the Purchase or Refinancing of Existing Multifamily Housing Projects, CFDA No. 14.155 (Project identification number 042-11226, April 2013)Auditor non-compliance code: N-Special Tests and ProvisionsFinding resolution status: ResolvedUniverse population size: 12Sample size information: 12Statistically valid sample: Three deposits did not include the required deposit increaseName of federal agency: U.S. Department of Housing and Urban DevelopmentPass-through entity: N/AQuestioned costs: $123Was the sampling statistically valid: YesStatement of condition #2020-002 (CFDA No. 14.155): Effective January 1, 2020, monthly deposits into the reserve for replacements account increased from $1,859 to $1,900; however the Corporation did not make the required deposits from January to March. As of March 31, 2020, the reserve for replacement account was underfunded by $123.Criteria: The Regulatory Agreement requires monthly deposits into a separate reserve for replacements account.Effective January 1, 2020, the monthly required deposit increased from $1,859 to $1,900.Effect or potential effect: The Corporation is not in compliance with the terms of the Regulatory Agreement.Cause: The Lender did not update their records for the new deposit amount and the prior reserve for replacement monthly deposit amount was made. Recommendation: Management should transfer $123 from the operating account to the reserve for replacements account.In addition, Management should ensure that the lender updates the monthly reserve for replacements deposit amount when deposits are changed in the future. Completion date: May 15, 2020Reporting response: Agreed. The Corporation made an additional deposit of $123 to the reserve for replacement account on May 15, 2020. No further action required. </t>
  </si>
  <si>
    <t xml:space="preserve">Finding 2020-002:Effective January 1, 2020, monthly deposits into the reserve for replacements account increased from $1,859 to $1,900; however, the Corporation did not make the required deposits from January to March. As of March 31, the reserve for replacement account was underfunded by $123. Management should transfer $123 from the operating account to the reserve for replacements account.In addition, Management should ensure that the lender updates the monthly reserve for replacements deposit amount when deposits are changed in the future. Action(s) taken or planned on the findingAgreed. The Corporation made an additional deposit of $123 to the reserve for replacement account on May 15, 2020. No further action required. </t>
  </si>
  <si>
    <t>Finding reference number: #2020-003CFDA title and number (federal award identification number and year): Mortgage Insurance for the Purchase or Refinancing of Existing Multifamily Housing Projects, CFDA No. 14.155 (Project identification number 042-11226, April 2013)Auditor non-compliance code: N-Special Tests and ProvisionsFinding resolution status: ResolvedUniverse population size: The universe population size is not applicable to the finding.Sample size information: The sample size is not applicable to the finding.Statistically valid sample: Not applicableName of federal agency: U.S. Department of Housing and Urban DevelopmentPass-through entity: N/AQuestioned costs: $63,384Was the sampling statistically valid: N/AStatement of condition #2020-003 (CFDA No. 14.155): The required deposit of $63,384, per the March 31, 2019 Computation of Surplus Cash, Distribution and Residual Receipts, was not deposited into the Residual Receipts Fund within 90 days of the fiscal year end. Criteria: Pursuant to Section 11 of the Regulatory Agreement Surplus Cash, as defined by HUD, is to be deposited into the Residual Receipts Fund within 90 days of the fiscal year end. Effect or potential effect: The Corporation is not in compliance with Section 11 of the Regulatory Agreement.Cause: Management did not make the required deposit into the Residual Receipts Funds within 90 days of fiscal year end based on the Computation of Surplus Cash, Distributions and Residual Receipts as of March 31, 2019.Recommendation: Management should monitor the Surplus Cash position and make required deposits to the Residual Receipts Fund within 90 days of fiscal year end. Completion date: July 16, 2019Reporting response: Agreed. Management concurs with the finding and the auditor's recommendation.The required deposit was made on July 16, 2019. No further action required.</t>
  </si>
  <si>
    <t xml:space="preserve">Finding 2020-003:The required deposit of $63,384, per the March 31, 2019 Computation of Surplus Cash, Distribution and Residual Receipts, was not deposited into the Residual Receipts Fund within 90 days of the fiscal year end. Management should monitor the Surplus Cash position and make required deposits to the Residual Receipts Fund within 90 days of fiscal year end. Action(s) taken or planned on the findingAgreed. Management concurs with the finding and the auditor's recommendation.The required deposit was made on July 16, 2019. No further action required. </t>
  </si>
  <si>
    <t>MORTGAGE INSURANCE FOR THE PURCHASE OR REFINANCING OF EXISTING MULTIFAMILY HOUSING PROJECTS (14.155) - The balance of the mortgage loan payable at March 31, 2020 is $865,802.</t>
  </si>
  <si>
    <t>28-8723507</t>
  </si>
  <si>
    <t>NEOKERA, LLC</t>
  </si>
  <si>
    <t>4D31GT89234-76</t>
  </si>
  <si>
    <t>NOTE A - BASIS OF PRESENTATION The accompanying schedule of expenditures of federal awards includes the federal award activity of Morse Elderly Housing Corporation, HUD Project No. 064-EE066, and is presented on the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Morse Elderly Housing Corporation, it is not intended to and does not present the financial position, changes in net assets, or cash flows of Morse Elderly Housing Corporation. NOTE B - SUMMARY OF SIGNIFICANT ACCOUNTING POLICIES 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</si>
  <si>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Morse Elderly Housing Corporation has elected not to use the 10-percent de minimis indirect cost rate allowed under the Uniform Guidance.</t>
  </si>
  <si>
    <t>Morse Elderly Housing Corporation has received a HUD capital advance under Section 202 of the National Housing Act. The capital advance balance outstanding at the beginning of the year is included in the federal expenditures presented in the schedule. Morse Elderly Housing Corporation received no additional loans during the year. The balance of the capital advance outstanding at March 31, 2020 was $1,083,400.</t>
  </si>
  <si>
    <t>28-8723508</t>
  </si>
  <si>
    <t>NEONC TECHNOLOGIES, INC.</t>
  </si>
  <si>
    <t>2D14DT89912-52</t>
  </si>
  <si>
    <t>GH16-1719, TITLED GLOBAL EMERGENCY RESPONSE AND RECOVERY PARTNER ENGAGEMENT: EXPANDING EFFORTS AND STRATEGIES TO IMPROVE RAPID RESPONSE TO
PUBLIC HEALTH EMERGENCIES GLOBALLY</t>
  </si>
  <si>
    <t>1. The schedule of expenditures of federal awards includes the federal award activity of the Corporation.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Corporation, it is not intended to and does not present the financial position, changes in net assets, or cash flows of the Corporation.2. Expenditures reported on the Schedule are reported on the accrual basis of accounting.Such expenditures are recognized following the cost principles contained in the Uniform Guidance, wherein certain types of expenditures are not allowable or are limited as to reimbursement.The Corporation has elected not to use the 10 percent de-minimis indirect cost rate allowed under the Uniform Guidance.3. The Corporation received loans directly or indirectly from the U.S. Department of Housing and Urban Development which are included above.If there were no current year advances on the loan, the loan balance above reflects the beginning of the year balance.If there were advances on the loan, the loan balance above reflects the highest balance during the year.4.Certain grants, while fully expended, contain continuing compliance requirements and are thus included in the Schedule.</t>
  </si>
  <si>
    <t>MORTGAGE INSURANCE FOR THE PURCHASE OR REFINANCING OF EXISTING MULTIFAMILY HOUSING PROJECTS (14.155) - Balances outstanding at the end of the audit period were 606030.</t>
  </si>
  <si>
    <t>28-8723509</t>
  </si>
  <si>
    <t>NEOVATIVE, INC.</t>
  </si>
  <si>
    <t>7C29GS89914-42</t>
  </si>
  <si>
    <t>The accompanying schedule of expenditures of federal awards (the Schedule) includes the federal grant activity of Phoenix Villa, Inc. HUD Project No. 075-11046-REF under the programs of the federal government for the year ended March 31, 2020. The information in the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Phoenix Villa, Inc. HUD Project No. 075-11046-REF, it is not intended to and does not present the financial position, changes in net assets or cash flows of Phoenix Villa, Inc. HUD Project No. 075-11046-REF.(1) Expenditures reported on the Schedule are reported on the accrual basis of accounting. Such expenditures are recognized following the cost principles contained in the Uniform Guidance,áwherein certain types of expenditures are not allowable or are limited as to reimbursement.</t>
  </si>
  <si>
    <t>MORTGAGE INSURANCE_RENTAL HOUSING (14.134) - Balances outstanding at the end of the audit period were 8890907.</t>
  </si>
  <si>
    <t>28-8723510</t>
  </si>
  <si>
    <t>NEOVAXSYN, INC.</t>
  </si>
  <si>
    <t>1C39IS90679-33</t>
  </si>
  <si>
    <t>The accompanying schedule of expenditures of federal awards presents the activity of all federal award programs of Uncompahgre Combined Clinics. The information in the schedule is presented in accordance with the requirements of Title 2 U.S. Code of Federal Regulations (CFR) Part 200, Uniform Administrative Requirements, Cost Principles, and Audit Requirements for Federal Awards. Therefore, some amounts presented in the schedule may differ from amounts presented in, or used in the preparation of the financial statements. The Clinic did not elect to use the 10% de minimis indirect cost rate.The accompanying schedule of expenditures of federal awards is presented using the accrual basis of accounting.</t>
  </si>
  <si>
    <t>31-4234734</t>
  </si>
  <si>
    <t>NEPHROPATHOLOGY ASSOCIATES</t>
  </si>
  <si>
    <t>1C80CS88903-28</t>
  </si>
  <si>
    <t>STRENGTHENING GLOBAL PUBLIC HEALTH WORKFORCE CAPACITY IN PARTNERSHIP WITH
ACADEMIA</t>
  </si>
  <si>
    <t>The accompanying schedule of expenditures of federal awards (the Schedule) includes the federal award activity of Douglas County Public Health Services Group, Inc., d/b/a Missouri Ozarks Community Health, under programs of the federal government for the year ended February 29,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Douglas County Public Health Services Group, Inc., d/b/a Missouri Ozarks Community Health, it is not intended to and does not present the financial position, results of operations, changes in net assets or cash flows of Douglas County Public Health Services Group, Inc., d/b/a Missouri Ozarks Community Health.</t>
  </si>
  <si>
    <t>Note 2a.</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</si>
  <si>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reimbursement.Douglas County Public Health Services Group, Inc., d/b/a Missouri Ozarks Community Health, has elected not to use the 10 percent de minimis indirect cost rate allowed under the Uniform Guidance.</t>
  </si>
  <si>
    <t xml:space="preserve">Note 3. </t>
  </si>
  <si>
    <t>Douglas County Public Health Services Group, Inc., d/b/a Missouri Ozarks Community Health, did not have any federal loan programs during the year ended February 29, 2020.</t>
  </si>
  <si>
    <t>31-4234735</t>
  </si>
  <si>
    <t>NEURAMEDICA, LLC</t>
  </si>
  <si>
    <t>5C70ES88902-78</t>
  </si>
  <si>
    <t>The accompanying schedule of expenditures of federal awards (the Schedule) includes thefederal award activity of The Community Place of Greater Rochester, Inc. (The CommunityPlace) under programs of the federal government for the year ended March 31, 2020. Theinformation in this Schedule is presented in accordance with the requirements of Title 2 U.S.Code of Federal Regulations Part 200, Uniform Administrative Requirements, Cost Principles,and Audit Requirements for Federal Awards (Uniform Guidance). Because the Schedulepresents only a selected portion of the operations of The Community Place, it is not intended toand does not present the financial position, changes in net assets, or cash flows of TheCommunity Place.Expenditures reported on the Schedule are reported on the accrual basis of accounting. Suchexpenditures are recognized following the cost principles contained in the Uniform Guidance,wherein certain types of expenditures are not allowable or are limited as to reimbursement.</t>
  </si>
  <si>
    <t>31-4234736</t>
  </si>
  <si>
    <t>NEURANO BIOSCIENCE</t>
  </si>
  <si>
    <t>6C66CS86068-27</t>
  </si>
  <si>
    <t>BASIS OF PRESENTATIONThe accompanying schedule of expenditures of federal awards includes the federal grant activity of Kaplan Housing Corporation and is presented on the accrual basis of accounting. The information in this schedule is presented in accordance with the requirements of the Uniform Guidance.</t>
  </si>
  <si>
    <t>SUPPORTIVE HOUSING FOR PERSONS WITH DISABILITIES (14.181) - Balances outstanding at the end of the audit period were 1287600.</t>
  </si>
  <si>
    <t>31-4234737</t>
  </si>
  <si>
    <t>NEURO DEVICES, INC.</t>
  </si>
  <si>
    <t>3D95IT90888-38</t>
  </si>
  <si>
    <t>NOTE A - BASIS OF PRESENTATIONThe accompanying schedule of expenditures of federal awards includes the federal award activity of SNHSGreenfield Elderly Housing, Inc., HUD Project No. 024-EE044, and is presented on the accrual basis ofaccounting. The information in this schedule is presented in accordance with the requirements of Title 2U.S. Code of Federal Regulations Part 200, Uniform Administrative Requirements, Cost Principles, andAudit Requirements for Federal Awards (Uniform Guidance). Because the Schedule presents only aselected portion of the operations of SNHS Greenfield Elderly Housing, Inc., it is not intended to and doesnot present the financial position, changes in net deficit, or cash flows from SNHS Greenfield ElderlyHousing, Inc.</t>
  </si>
  <si>
    <t>NOTE B - SUMMARY OF SIGNIFICANT ACCOUNTING POLICIESExpenditures are recognized following the cost principles contained in Uniform Guidance, wherein certaintypes of expenditures are not allowable or are limited as to reimbursement. SNHS Greenfield ElderlyHousing, Inc., has elected not to use the 10 percent de minimis indirect cost rate as allowed under theUniform Guidance.</t>
  </si>
  <si>
    <t>NOTE C - U.S. DEPARTMENT OF HOUSING AND URBAN DEVELOPMENT LOAN PROGRAMSNHS Greenfield Elderly Housing, Inc. has received a U.S. Department of Housing and UrbanDevelopment direct loan under Section 202 of the National Housing Act. The loan balance outstanding atthe beginning of the year is included in the federal expenditures presented in the Schedule. SNHSGreenfield Elderly Housing, Inc. received no additional loans during the year. SUPPORTIVE HOUSING FOR THE ELDERLY (14.157) - Balances outstanding at the end of the audit period were $1,545,300.</t>
  </si>
  <si>
    <t>31-4234738</t>
  </si>
  <si>
    <t>NEURO KINETICS, INC.</t>
  </si>
  <si>
    <t>5D70DT90656-62</t>
  </si>
  <si>
    <t>Note A - BASIS OF PRESENTATION The accompanying schedule of expenditures of federal awards includes the federal award activity of SNHSElderly Housing II, Inc., HUD Project No. 024-EE001 and 024-EE063, and is presented on the accrualbasis of accounting. The information in this schedule is presented in accordance with the requirements ofTitle 2 U.S. Code of Federal Regulations Part 200, Uniform Administrative Requirements, Cost Principles,and Audit Requirements for Federal Awards (Uniform Guidance). Because the Schedule presents only aselected portion of the operations of SNHS Elderly Housing II, Inc., it is not intended to and does notpresent the financial position, changes in net deficits, or cash flows from SNHS Elderly Housing II, Inc.</t>
  </si>
  <si>
    <t>NOTE B - SUMMARY OF SIGNIFICANT ACCOUNTING POLICIESExpenditures are recognized following the cost principles contained in the Uniform Guidance, whereincertain types of expenditures are not allowable or are limited as to reimbursement. SNHS Elderly HousingII, Inc. has elected not to use the 10 percent de minimis indirect cost rate as allowed under the UniformGuidance.</t>
  </si>
  <si>
    <t>SUPPORTIVE HOUSING FOR THE ELDERLY (14.157) - Balances outstanding at the end of the audit period were 5452759.</t>
  </si>
  <si>
    <t>31-4234739</t>
  </si>
  <si>
    <t>NEUROBEHAVIORAL RESEARCH, INC.</t>
  </si>
  <si>
    <t>1D35HT90689-48</t>
  </si>
  <si>
    <t>NOTE A - BASIS OF PRESENTATIONThe accompanying schedule of expenditures of federal awards includes the federal award activity of SNHSElderly Housing III, Inc., HUD Project No. 024-EE031, and is presented on the accrual basis of accounting.The information in this schedule is presented in accordance with the requirements of Title 2 U.S. Code ofFederal Regulations Part 200, Uniform Administrative Requirements, Cost Principles, and AuditRequirements for Federal Awards (Uniform Guidance). Because the Schedule presents only a selectedportion of the operations of SNHS Elderly Housing III, Inc., it is not intended to and does not present thefinancial position, changes in net assets, or cash flows from SNHS Elderly Housing III, Inc.</t>
  </si>
  <si>
    <t>NOTE B - SUMMARY OF SIGNIFICANT ACCOUNTING POLICIESExpenditures are recognized following the cost principles contained in Uniform Guidance, wherein certaintypes of expenditures are not allowable or are limited as to reimbursement. SNHS Elderly Housing III, Inc.,has elected not to use the 10 percent de minimis indirect cost rate as allowed under the Uniform Guidance.</t>
  </si>
  <si>
    <t>NOTE C - U.S. DEPARTMENT OF HOUSING AND URBAN DEVELOPMENT LOAN PROGRAMSNHS Elderly Housing III, Inc., has received a U.S. Department of Housing and Urban Development directloan under Section 202 of the National Housing Act. The loan balance outstanding at the beginning of theyear is included in the federal expenditures presented in the Schedule. SNHS Elderly Housing III, Inc.,received no additional loans during the year. SUPPORTIVE HOUSING FOR THE ELDERLY (14.157) - Balances outstanding at the end of the audit period were $3,522,500.</t>
  </si>
  <si>
    <t>31-4234740</t>
  </si>
  <si>
    <t>NEUROBEHAVIORAL SYSTEMS, INC.</t>
  </si>
  <si>
    <t>6C52FS90738-38</t>
  </si>
  <si>
    <t>PREVENTION POLICY MODELING LAB</t>
  </si>
  <si>
    <t>NOTE A - BASIS OF PRESENTATIONThe accompanying schedule of expenditures of federal awards includes the federal award activity of SNHSRaymond Elderly Housing, Inc., HUD Project No. 024-EE025, and is presented on the accrual basis ofaccounting. The information in this schedule is presented in accordance with the requirements of Title 2U.S. Code of Federal Regulations Part 200, Uniform Administrative Requirements, Cost Principles, andAudit Requirements for Federal Awards (Uniform Guidance). Because the Schedule presents only aselected portion of the operations of SNHS Raymond Elderly Housing, Inc., it is not intended to and doesnot present the financial position, changes in net deficits, or cash flows from SNHS Raymond ElderlyHousing, Inc.</t>
  </si>
  <si>
    <t>NOTE B - SUMMARY OF SIGNIFICANT ACCOUNTING POLICIESExpenditures are recognized following the cost principles contained in Uniform Guidance, wherein certaintypes of expenditures are not allowable or are limited as to reimbursement. SNHS Raymond ElderlyHousing, Inc., has elected not to use the 10 percent de minimis indirect cost rate as allowed under theUniform Guidance.</t>
  </si>
  <si>
    <t>NOTE C - U.S. DEPARTMENT OF HOUSING AND URBAN DEVELOPMENT LOAN PROGRAMSNHS Raymond Elderly Housing, Inc. has received a U.S. Department of Housing and UrbanDevelopment direct loan under Section 202 of the National Housing Act. The loan balance outstanding atthe beginning of the year is included in the federal expenditures presented in the Schedule. SNHS RaymondElderly Housing, Inc. received no additional loans during the year. SUPPORTIVE HOUSING FOR THE ELDERLY (14.157) - Balances outstanding at the end of the audit period were $1,773,900.</t>
  </si>
  <si>
    <t>31-4234741</t>
  </si>
  <si>
    <t>NEUROCOG TRIALS, INC.</t>
  </si>
  <si>
    <t>8B13GR90739-75</t>
  </si>
  <si>
    <t>STD SURVEILLANCE NETWORK (SSUN)</t>
  </si>
  <si>
    <t>NOTE A - BASIS OF PRESENTATIONThe accompanying schedule of expenditures of federal awards includes the federal award activity of SNHSNorth Berwick Elderly Housing, Inc., HUD Project No. 024-EE045, and is presented on the accrual basis ofaccounting. The information in this schedule is presented in accordance with the requirements of Title 2U.S. Code of Federal Regulations Part 200, Uniform Administrative Requirements, Cost Principles, andAudit Requirements for Federal Awards (Uniform Guidance). Because the Schedule presents only aselected portion of the operations of SNHS North Berwick Elderly Housing, Inc., it is not intended to anddoes not present the financial position, changes in net deficit, or cash flows from SNHS North BerwickElderly Housing, Inc.</t>
  </si>
  <si>
    <t>NOTE B - SUMMARY OF SIGNIFICANT ACCOUNTING POLICIESExpenditures are recognized following the cost principles contained in Uniform Guidance, wherein certaintypes of expenditures are not allowable or are limited as to reimbursement. SNHS North Berwick ElderlyHousing, Inc., has elected not to use the 10 percent de minimis indirect cost rate as allowed under theUniform Guidance.</t>
  </si>
  <si>
    <t>NOTE C - U.S. DEPARTMENT OF HOUSING AND URBAN DEVELOPMENT LOAN PROGRAMSNHS North Berwick Elderly Housing, Inc., has received a U.S. Department of Housing and UrbanDevelopment direct loan under Section 202 of the National Housing Act. The loan balance outstanding atthe beginning of the year is included in the federal expenditures presented in the Schedule. SNHS NorthBerwick Elderly Housing, Inc., received no additional loans during the year. SUPPORTIVE HOUSING FOR THE ELDERLY (14.157) - Balances outstanding at the end of the audit period were $2,016,800.</t>
  </si>
  <si>
    <t>31-4234742</t>
  </si>
  <si>
    <t>NEUROCOMP SYSTEMS, INC.</t>
  </si>
  <si>
    <t>5B75GR90875-16</t>
  </si>
  <si>
    <t>The SEFA has been prepared on the accrual basis of accounting which is the method of accounting used for the financial statements.Such expenditures are recognized following Uniform Guidance, wherein certain types of expenditures are not allowed or are limited as to reimbursement.Negative amounts shown on the SEFA represent adjustments or credits made in the normal course of business to amounts reported as expenditures in prior years. The accompanying Schedule of Expenditures of Federal Awards (SEFA) includes the federal grant awards activity of the Association under programs of the federal government for the year ended March 31, 2020.The information in the SEFA is presented in accordance with the requirements of Title 2 U.S. Code of Federal Regulations (CFR) Part 200, Uniform Administrative Requirements, Cost Principles, and Audit Requirements for Federal Awards (Uniform Guidance).Because the SEFA presents only a selected portion of the operations of the Association, it is not intended and does not present the financial position, change in net assets, or cash flows of the Association.</t>
  </si>
  <si>
    <t>The Association has elected not to use the 10-percent de minimis indirect cost rate allowed by the Uniform Guidance.</t>
  </si>
  <si>
    <t>31-4234743</t>
  </si>
  <si>
    <t>NEUROCYCLE THERAPEUTICS, INC.</t>
  </si>
  <si>
    <t>1B70BR89764-56</t>
  </si>
  <si>
    <t>CALIFORNIA EMERGING INFECTIONS PROGRAM 2019</t>
  </si>
  <si>
    <t>Note 1. Basis of PresentationThe accompanying schedule of expenditures of federal awards (Schedule) includes the federal award activityof Valley Health Care, Inc. (Organization) under programs of the federal government for the year endedFebruary 29, 2020. The information in this Schedule is presented in accordance with the requirements ofTitle 2 U.S. Code of Federal Regulations (CFR) Part 200, Uniform Administrative Requirements, CostPrinciples, and Audit Requirements for Federal Awards (Uniform Guidance). Because the Schedule presentsonly a selected portion of the operations of the Organization, it is not intended to, and does not, present thefinancial position, changes in net assets, or cash flows of the Organization. Additionally, due to the differentreporting requirements of the financial statements from the above Schedule, some amounts presented maydiffer from amounts presented in, or used in, the financial statements.Note 2. 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reimbursement.Note 3. Indirect CostsThe Organization does not seek reimbursement of indirect costs under its federal programs. Additionally, theOrganization has never negotiated an indirect cost rate with its cognizant agency. Therefore, theOrganization has elected to use the 10% de minimis indirect cost rate.Note 4. Sub-recipientsThe Organization does not pass federal awards to sub-recipients.</t>
  </si>
  <si>
    <t>31-4234744</t>
  </si>
  <si>
    <t>NEURODEX INC</t>
  </si>
  <si>
    <t>6B50CR88795-70</t>
  </si>
  <si>
    <t>The information is presented on the accrual basis of accounting. The information in this schedule is presented in accordance with the requirements of Title 2 U.S. Code of Federal Regulations (CFR) Part 200, Uniform Administrative Requirements, Cost Principles, and Audit Requirements for Federal Awards (Uniform Guidance).</t>
  </si>
  <si>
    <t>The Company does not use the 10% de minimis cost rate.</t>
  </si>
  <si>
    <t>The amount of $1,179,800 reported for CFDA No. 14.157 in expenditures related to U.S. Department of Housing and Urban Development - Section 202 Capital Advance Program. The ending balance of the capital advance is $1,179,800 at March 31, 2020.</t>
  </si>
  <si>
    <t>31-4234745</t>
  </si>
  <si>
    <t>NEUROENE THERAPEUTICS, LLC</t>
  </si>
  <si>
    <t>6B88IR87856-42</t>
  </si>
  <si>
    <t>TB CENTERS OF EXCELLENCE FOR TRAINING, EDUCATION AND MEDICAL CONSULTATION (TB COE)</t>
  </si>
  <si>
    <t>SUPPORTIVE HOUSING FOR THE ELDERLY (14.157) - Balances outstanding at the end of the audit period were 3881300.</t>
  </si>
  <si>
    <t>31-4234746</t>
  </si>
  <si>
    <t>NEUROFIT, INC.</t>
  </si>
  <si>
    <t>5B70BR83522-30</t>
  </si>
  <si>
    <t>SUPPORTIVE HOUSING FOR THE ELDERLY (14.157) - Balances outstanding at the end of the audit period were 4405000.</t>
  </si>
  <si>
    <t>31-4234747</t>
  </si>
  <si>
    <t>NEUROGAMI MEDICAL, INC.</t>
  </si>
  <si>
    <t>7B18HR90474-78</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</si>
  <si>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t>
  </si>
  <si>
    <t>The auditee did not elect to use the de minimis cost rate, because they only request direct costs for reimbursement.</t>
  </si>
  <si>
    <t>31-4234748</t>
  </si>
  <si>
    <t>NEUROKINE THERAPEUTICS, LLC</t>
  </si>
  <si>
    <t>5D27HT89451-50</t>
  </si>
  <si>
    <t>THE EMERGENCY ID NET STUDY GROUP</t>
  </si>
  <si>
    <t>SUPPORTIVE HOUSING FOR THE ELDERLY - BALANCE OF CAPITAL ADVANCE AS OF APRIL 1, 2019, UNDER SECTION 202 OF THE HOUSING ACT OF 1959 (14.157) - Balances outstanding at the end of the audit period were 1112600.</t>
  </si>
  <si>
    <t>31-4234749</t>
  </si>
  <si>
    <t>NEUROLUX, INC.</t>
  </si>
  <si>
    <t>6B50DR88815-17</t>
  </si>
  <si>
    <t>Note 1Basis of PresentationThe accompanying schedule of expenditures of federal awards (the "Schedule") includes the federal award activity of the Authority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Authority, it is not intended to and does not present the financial position, changes in net position, or cash flows of the Authority.Note 2Summary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The Authority has elected to use the 10-percent de minimis indirect cost rate as allowed under the Uniform Guidance.</t>
  </si>
  <si>
    <t>RURAL RENTAL HOUSING LOANS (10.415) - Balances outstanding at the end of the audit period were 365441.Expenditures of Federal Awards related to outstanding loans:Balance of loans as of March 31, 2019 $380,612Current year expenditure of loan proceeds-._________.380,612Principal payments (15,171) ._________Balance as of March 31, 2020$365,441</t>
  </si>
  <si>
    <t>31-4234750</t>
  </si>
  <si>
    <t>NEUROMUSCULAR DYNAMICS, LLC</t>
  </si>
  <si>
    <t>7D22CT90835-94</t>
  </si>
  <si>
    <t>2019-003</t>
  </si>
  <si>
    <t>2019-003: Material Weakness - Program Income / Application of SFS Discount CriteriaThe Organization is required to have a schedule of fees or payments for the provision of their health services consistent with locally prevailing rates or charges and designed to cover their reasonable costs of operation. The corresponding schedule of discounts applied and adjusted should be based on the patient’s ability to pay. The patient’s ability to pay is determined based on the official poverty guidelines, as revised annually by the U.S. Department of Health and Human Services.ConditionDuring our testing of the Sliding Fee Schedule (SFS), we noted the Organization properly has an SFS schedule whereby the basis of the patient’s ability to pay is based upon the patient’s income, using the federal poverty guidelines as a basis for the percentage of the SFS discount. However, in three of the forty patient files tested, the SFS discount was improperly applied and the patient should have paid more.CauseThe Organization is not following policies and procedures set in place to ensure the SFS discount is correctly determined and applied to patient accounts.EffectThe SFS discount applied is incorrect.RecommendationWe recommend management correctly apply the SFS discount. Management should review policies and procedures regarding the SFS program with staff that is responsible for determining the SFS discount.Views of Responsible Officials and Planned Corrective ActionsManagement will correctly apply the SFS discounts to all patient accounts and review all current accounts for proper SFS discounts. Management will train and guide Patient Services to verify income status and assure SFS are applied correctly.Indication of Repeat FindingThis is a repeat finding in the current year. It is observed that management is NOT adhering to the terms and conditions of Federal awards.</t>
  </si>
  <si>
    <t>Contact PersonNadine Boe, CEOCorrective Action PlanManagement will work to ensure that the SFS discount applications are completed accurately and that the SFS discounts are recorded accurately in the system by auditing the SFS applications and verifying the SFS in the system matches the SFS application. In addition, Management will audit a sample of the SFS discounts on a monthly basis to assure the SFS is applied correctly. Management will also provide additional training to staff as needed and provide further guidance on the internal SFS policies and procedures.</t>
  </si>
  <si>
    <t xml:space="preserve"> Negative amounts shown on the Schedule represent adjustments or credits made in the normal course of business to amounts reported as expenditures in prior years. PAyments and charges are significantly understated.</t>
  </si>
  <si>
    <t>The Community Health Center has elected not to use the 10-percent de minimis indirect cost rate allowed by the Uniform Guidance.</t>
  </si>
  <si>
    <t>The accompanying schedule of expenditures of federal awards (the schedule) includes the federal award activity of Northland Health Partners Community Health Center under programs of the federal government for the year ended January 31, 2020. The information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Northland Health Partners Community Health Center, it is not intended to and does not present the financial position, changes in net assets, or cash flows of Northland Health Partners Community Health Center.</t>
  </si>
  <si>
    <t>31-4234751</t>
  </si>
  <si>
    <t>NEURONASCENT, INC.</t>
  </si>
  <si>
    <t>9D59ET87404-21</t>
  </si>
  <si>
    <t>SUPPORTIVE HOUSING FOR PERSONS WITH DISABILITIES (14.181) - Balances outstanding at the end of the audit period were 1355400.</t>
  </si>
  <si>
    <t>31-4234752</t>
  </si>
  <si>
    <t>NEUROP, INC.</t>
  </si>
  <si>
    <t>4D19BT83134-21</t>
  </si>
  <si>
    <t>Single Audit testing procedures were performed for transactions occurring during the fiscal year ended February 29, 2020. The accompanying schedule of expenditures of federal awards includes the federal grant activity of Walnut Street Community Health Center, Inc. and Affiliate d.b.a. Family Healthcare of Hagerstown and is presented on the accrual basis of accounting. Such expenditures are recognized following the cost principles contained in the Uniform Guidance. All costs charged to the grant are direct costs to the program. There are no indirect costs allocated to the program. The program had no subrecipients.</t>
  </si>
  <si>
    <t>31-4234753</t>
  </si>
  <si>
    <t>NEUROSIGMA, INC.</t>
  </si>
  <si>
    <t>8D91DT87415-87</t>
  </si>
  <si>
    <t>SUPPORTIVE HOUSING FOR PERSONS WITH DISABILITIES (14.181) - Balances outstanding at the end of the audit period were 2051200.</t>
  </si>
  <si>
    <t>31-4234754</t>
  </si>
  <si>
    <t>NEUROTHERANOSTICS, INC.</t>
  </si>
  <si>
    <t>5D56AT76988-71</t>
  </si>
  <si>
    <t>SUPPORTIVE HOUSING FOR THE ELDERLY (14.157) - Balances outstanding at the end of the audit period were 3619500.</t>
  </si>
  <si>
    <t>31-4234755</t>
  </si>
  <si>
    <t>NEUROTRACK TECHNOLOGIES, INC.</t>
  </si>
  <si>
    <t>4D34FT86530-15</t>
  </si>
  <si>
    <t>NOTE - BASIS OF PRESENTATION The accompanying schedule of expenditures of federal awards includes the federal award activity of Waterford Homes for Elderly, Inc., Holston Hills Apartments, and is presented on the full accrual basis of accounting. The information in this schedule is presented in accordance with the requirements of Title 2 U.S. Code of Federal Regulations Part 200,Uniform Administrative Requirements, Cost Principles, and Audit Requirements for Federal Awards (Uniform Guidance).Because the schedule presents only a selected portion of the operations of the Project, it is not intended to and does not present the financial position, change in net assets, or cash flows of the Project.</t>
  </si>
  <si>
    <t>31-4234756</t>
  </si>
  <si>
    <t>NEUROTROPE BIOSCIENCE, INC.</t>
  </si>
  <si>
    <t>6D57GT90255-93</t>
  </si>
  <si>
    <t>SUPPORTIVE HOUSING FOR PERSONS WITH DISABILITIES (14.181) - Balances outstanding at the end of the audit period were 1045800.</t>
  </si>
  <si>
    <t>31-4234757</t>
  </si>
  <si>
    <t>NEUROVASCULAR DIAGNOSTICS, INC.</t>
  </si>
  <si>
    <t>4C93HS90253-84</t>
  </si>
  <si>
    <t>Note 1.Basis of PresentationThe accompanying schedule of expenditures of federal awards (the Schedule) includes the federal award activity of September Place Retirement Village, Inc. and Affiliates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Organizations, it is not intended to and does not present the financial position, changes in net assets or cash flows of the Organizations. Note 2.Summary of Significant accounting PoliciesExpenditures reported on the Schedule are reported on the accrual basis of accounting.Such expenditures are recognized following the cost principles contained in the Uniform Guidance, wherein certain types of expenditures are not allowable or are limited as to reimbursement.The Organizations have elected to use the 10 percent de minimis indirect cost rate as allowed under Uniform Guidance.</t>
  </si>
  <si>
    <t>Federal Loan Programs</t>
  </si>
  <si>
    <t>The federal loan programs listed subsequently are included in September Place Retirement Village, Inc. and Affiliates basic consolidated financial statements.Loans outstanding at the beginning of the year and loans made during the year are included in the federal expenditures presented in the Schedule.The balance of loans outstanding at March 31, 2020 consists of:CFDAOutstanding BalanceNumberProgram Nameat March 31, 202014.155Section 223(f) Mortgage Insurance forExisting Multifamily Projects$1,472,93810.415Section 515 Rural Rental Housing Loan$329,646</t>
  </si>
  <si>
    <t>31-4234758</t>
  </si>
  <si>
    <t>NEUROWAVE SYSTEMS, INC.</t>
  </si>
  <si>
    <t>9B94DR84434-26</t>
  </si>
  <si>
    <t>SUPPORTIVE HOUSING FOR THE ELDERLY (14.157) - Balances outstanding at the end of the audit period were 1763900.</t>
  </si>
  <si>
    <t>31-4234759</t>
  </si>
  <si>
    <t>NEW ENGLAND COLLEGE OF OPTOMETRY</t>
  </si>
  <si>
    <t>3B24FR89003-82</t>
  </si>
  <si>
    <t>Supportive Housing for Persons with Disabilities CFDA No. 14.181U.S. Department of Housing and Urban DevelopmentCriteria or Specific Requirement – Special Tests and Provisions:Replacement Reserve (24 CFR section 891.405(d))Condition – The Project’s replacement reserve was not maintained in an interest-bearing account for the entire year ending March 31, 2020.Questioned cost – NoneContext – The Project’s replacement reserve was maintained in an interest-bearing account for only three out of twelve months during the year ending March 31, 2020. Effect – The Project did not earn interest on the replacement reserve funds for the entire year ending March 31, 2020, as required by the Department of Housing and Urban Development.Cause – The Project’s financial institution updated their fee schedule in June 2019 which resulted in an average monthly service fee of $5.In order to avoid monthly service fees, the Project changed the account to an interest free account in July 2019.Identification as a repeat finding – Not a repeat finding.Recommendation – The Project should deposit the replacement reserve funds into a federally insured, interest-bearing account as soon as possible.Views of Responsible Officials and Planned Corrective Action – The funds will be moved to an interest-bearing account and will submit the necessary paperwork to the Department of Urban Development to show the necessary changes have been made.</t>
  </si>
  <si>
    <t>2020-001Criteria of Specific Requirement – Special Test and Provisions:Replacement Reserve (24 CFR section 891.405(d))Condition – The Project’s replacement reserve was not maintained in an interest-bearing account for the entire year ending March 31, 2020. Cause – The Project financial institution updated their fee schedule in June of 2019 which resulted in an average monthly service fee of $5.In order to avoid monthly service fees, the Project changed the account to an interest free account in July 2019.Management/Organizational Response– The funds will be moved to an interest-bearing account and will submit the paperwork to the Department of Urban Development to show the necessary changes have been made.</t>
  </si>
  <si>
    <t>The accompanying schedule of expenditures of federal awards (the Schedule) includes the federal award activity of Cedar Hill Housing CorporationU.S. Department of Housing and Urban Development (HUD) Project No. 084-HD046 (the Project)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changes in net assets or cash flows of the Project.</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</si>
  <si>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reimbursement.Negative amounts shown on the Schedule represent adjustments or credits made in the normal course of business to amounts reported as expenditures in prior years.Cedar Hill Housing CorporationU.S. Department of Housing and Urban Development (HUD) Project No. 084-HD046 (the Project) has elected not to use the 10 percent de minimis indirect cost rate allowed under the Uniform Guidance.</t>
  </si>
  <si>
    <t>Cedar Hill Housing CorporationU.S. Department of Housing and Urban Development (HUD) Project No. 084-HD046 (the Project) did not have a balance outstanding due to any federal loan programs included in the Projects basic financial statements at March 31, 2020.The Projects mortgage note with HUD through the Supportive Housing for Persons with Disabilities Program was recorded as a contribution from HUD due to the terms described in the notes to the financial statements.</t>
  </si>
  <si>
    <t>31-4234760</t>
  </si>
  <si>
    <t>NEW ENGLAND RESEARCH INSTITUTES, INC.</t>
  </si>
  <si>
    <t>7B32BR88279-41</t>
  </si>
  <si>
    <t>SUPPORTIVE HOUSING FOR THE ELDERLY (14.157) - Balances outstanding at the end of the audit period were 5336500.</t>
  </si>
  <si>
    <t>31-4234761</t>
  </si>
  <si>
    <t>NEW IRIDIUM</t>
  </si>
  <si>
    <t>6B36CR84098-87</t>
  </si>
  <si>
    <t>NOTE A - Basis of PresentationThe accompanying schedule of expenditures of federal awards includes the federal grant activity ofEphesus Metropolitan Ministries, Inc. HUD Project No. 062-EE052, and is presented on the accrual basisof accounting. The information in this schedule is presented in accordance with the requirements of Title 2U. S. Code of Federal Regulations Part 200, Uniform Administrative Requirements, Cost principles, andAudit Requirements for Federal Awards (Uniform Guidance). Because the Schedule presents only aselected portion of the operations of Ephesus Metropolitan Ministries, Inc., it is not intended to and doesnot present the financial position, changes in net assets, or cash flows of Ephesus Metropolitan Ministries,Inc.NOTE BSummary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 Ephesus Metropolitan Ministries, Inc.has elected not to use the 10 percent de minimis indirect cost rate as allowed under the Uniform Guidance.</t>
  </si>
  <si>
    <t>SUPPORTIVE HOUSING FOR THE ELDERLY (14.157) - Balances outstanding at the end of the audit period were 2728100.</t>
  </si>
  <si>
    <t>31-4234762</t>
  </si>
  <si>
    <t>NEW JERSEY CITY UNIVERSITY</t>
  </si>
  <si>
    <t>5D23DT84096-89</t>
  </si>
  <si>
    <t>NOTE - BASIS OF PRESENTATION The accompanying schedule of expenditures of federal awards includes the federal award activity of Greystone Homes for Elderly, Inc., Woodridge Apartments,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Project, it is not intended to and does not present the financial position, change in net assets, or cash flows of the Project.</t>
  </si>
  <si>
    <t>31-4234763</t>
  </si>
  <si>
    <t>NEW JERSEY INSTITUTE OF TECHNOLOGY</t>
  </si>
  <si>
    <t>9D94DT83584-84</t>
  </si>
  <si>
    <t>PACIFIC SOUTHWEST REGIONAL CENTER OF
EXCELLENCE FOR VECTOR-BORNE DISEASE RESEARCH AT THE UNIVERSITY OF CALIFORNIA</t>
  </si>
  <si>
    <t>NOTE A - Basis of PresentationTheaccompanyingscheduleofexpendituresoffederalawardsincludesthefederalgrantactivityof Presbyterian Oaks II, Inc. HUD Project No. 062-EE054, and is presented on the accrual basis of accounting. The information in this schedule is presented in accordance with the requirements of Title 2 U. S. Code of Federal Regulations Part 200, Uniform Administrative Requirements, Cost principles, and Audit Requirements for Federal Awards (Uniform Guidance). Because the Schedule presents only a selected portion of the operations of Presbyterian Oaks II, Inc., it is not intended to and does not present the financial position, changes in net assets, or cash flows of Presbyterian Oaks II, Inc.NOTE BSummary of Significant Accounting PoliciesExpenditures reported on the Schedule are reported on the accrual basis of accounting.Such expenditures are recognized following the cost principles contained in the Uniform Guidance, wherein certain types of expenditures are not allowable or are limited as to reimbursement.Presbyterian Oaks II, Inc. hctednot to use the 10 percent de minimis indirect cost rate as allowed under the Uniform Guidance.</t>
  </si>
  <si>
    <t>SUPPORTIVE HOUSING FOR THE ELDERLY (14.157) - Balances outstanding at the end of the audit period were 1968300.</t>
  </si>
  <si>
    <t>31-4234764</t>
  </si>
  <si>
    <t>NEW MEXICO CONSORTIUM, INC.</t>
  </si>
  <si>
    <t>4D43IT87111-53</t>
  </si>
  <si>
    <t>NOTE - BASIS OF PRESENTATION The accompanying schedule of expenditures of federal awards includes the federal award activity of Crockett Homes for Elderly, Inc., Alpine Village Apartments, and is presented on the full accrual basis of accounting. The information in this schedule is presented in accordance with the requirements of Title 2 U.S. Code of Federal Regulations Part 200,Uniform Administrative Requirements, Cost Principles, and Audit Requirements for Federal Awards (Uniform Guidance). Because the schedule presents only a selected portion of the operations of the Project, it is not intended to and does not present the financial position, change in net assets, or cash flows of the Project.</t>
  </si>
  <si>
    <t>31-4234765</t>
  </si>
  <si>
    <t>NEW MEXICO STATE UNIVERSITY LAS CRUCES</t>
  </si>
  <si>
    <t>6D64ET89010-11</t>
  </si>
  <si>
    <t>EXPANDING REACH, QUALITY, AND EFFECTIVENESS OF ASTHMA CONTROL SERVICES
IN CALIFORNIA'S HIGH BURDEN AREAS.</t>
  </si>
  <si>
    <t>The accompanying schedule of expenditures of federal awards (the Schedule) includes the federal award activity of Magnolia Heights Housing CorporationU.S. Department of Housing and Urban Development (HUD) Project No. 084-HD051 (the Project)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changes in net assets or cash flows of the Project.</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</si>
  <si>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reimbursement.Negative amounts shown on the Schedule represent adjustments or credits made in the normal course of business to amounts reported as expenditures in prior years.Magnolia Heights Housing CorporationU.S. Department of Housing and Urban Development (HUD) Project No. 084-HD051 (the Project) has elected not to use the 10 percent de minimis indirect cost rate allowed under the Uniform Guidance.</t>
  </si>
  <si>
    <t>Magnolia Heights Housing CorporationU.S. Department of Housing and Urban Development (HUD) Project No. 084-HD051 (the Project) did not have a balance outstanding due to any federal loan programs included in the Projects basic financial statements at March 31, 2020.The Projects mortgage note with HUD through the Supportive Housing for Persons with Disabilities Program was recorded as a contribution from HUD due to the terms described in the notes to the financial statements.</t>
  </si>
  <si>
    <t>31-4234766</t>
  </si>
  <si>
    <t>NEWHAPTICS CORP.</t>
  </si>
  <si>
    <t>5D82BT88267-47</t>
  </si>
  <si>
    <t>REDUCING CHILDHOOD LEAD EXPOSURES WITHIN VULNERABLE COMMUNITIES LIVING IN HIGH-RISK
AREAS OF THE CITY OF LOS ANGELES</t>
  </si>
  <si>
    <t>SUPPORTIVE HOUSING FOR THE ELDERLY (14.157) - Balances outstanding at the end of the audit period were 4676500.</t>
  </si>
  <si>
    <t>31-4234767</t>
  </si>
  <si>
    <t>NEWMARK DIAGNOSTICS, LLC</t>
  </si>
  <si>
    <t>4C36GS88268-86</t>
  </si>
  <si>
    <t>CALIFORNIA ENVIRONMENTAL HEALTH TRACKING PROGRAM (TRACKING CALIFORNIA)</t>
  </si>
  <si>
    <t>SUPPORTIVE HOUSING FOR THE ELDERLY (14.157) - Balances outstanding at the end of the audit period were 6056200.</t>
  </si>
  <si>
    <t>31-4234768</t>
  </si>
  <si>
    <t>NEWOMICS, INC</t>
  </si>
  <si>
    <t>2C15ES88263-74</t>
  </si>
  <si>
    <t>REDUCING CHILDHOOD LEAD EXPOSURES WITHIN VULNERABLE COMMUNITIES LIVING IN HIGH-RISK AREAS OF THE CITY OF LOS ANGELES</t>
  </si>
  <si>
    <t>The accompanying schedule of expenditures of federal awards includes the federal grant activity of Maplewood Estates, HUD Project No. 084-EE061-WAHNP (the Organization), and is presented on the accrual basis of accounting. The information presented in this schedule is in accordance with the requirements of Title 2 U.S. Code of Federal Regulations (CFR) Part 200, Uniform Administrative Requirements, Cost Principles, and Audit Requirements for Federal Awards. Therefore some amounts presented in this schedule may differ from amounts presented in, or used in the preparation of, the financial statements.</t>
  </si>
  <si>
    <t>The Organization is financed by a HUD Section 202 Capital Advance Mortgage Note in the amount of $2,198,200. As long as the apartments are rented to qualifying very low income elderly and disabled tenants, and meet other HUD requirements, no payments are required to be made on the note. If these requirements are met for a period of 40 years, the note will be forgiven.</t>
  </si>
  <si>
    <t>31-4234769</t>
  </si>
  <si>
    <t>NEWORMICS, LLC</t>
  </si>
  <si>
    <t>6C21DS89191-18</t>
  </si>
  <si>
    <t>CALBRACE: ENHANCING COMMUNITY RESILIENCE BY IMPLEMENTING HEALTH ADAPTATIONS</t>
  </si>
  <si>
    <t>NOTE A - BASIS OF PRESENTATIONThe accompanying schedule of expenditures of federal awards includes the federal award activity of SNHSNorthwood Elderly Housing, Inc., HUD Project No. 024-EE064, and is presented on the accrual basis ofaccounting. The information in this schedule is presented in accordance with the requirements of Title 2U.S. Code of Federal Regulations Part 200, Uniform Administrative Requirements, Cost Principles, andAudit Requirements for Federal Awards (Uniform Guidance). Because the Schedule presents only aselected portion of the operations of SNHS Northwood Elderly Housing, Inc., it is not intended to and doesnot present the financial position, changes in net deficit, or cash flows from SNHS Northwood ElderlyHousing, Inc.</t>
  </si>
  <si>
    <t>NOTE B - SUMMARY OF SIGNIFICANT ACCOUNTING POLICIESExpenditures are recognized following the cost principles contained in Uniform Guidance, wherein certaintypes of expenditures are not allowable or are limited as to reimbursement. SNHS Northwood ElderlyHousing, Inc., has elected not to use the 10 percent de minimis indirect cost rate as allowed under theUniform Guidance.</t>
  </si>
  <si>
    <t>NOTE C - U.S. DEPARTMENT OF HOUSING AND URBAN DEVELOPMENT LOAN PROGRAMSNHS Northwood Elderly Housing, Inc., has received a U.S. Department of Housing and UrbanDevelopment direct loan under Section 202 of the National Housing Act. The loan balance outstanding atthe beginning of the year is included in the federal expenditures presented in the Schedule. SNHSNorthwood Elderly Housing, Inc., received no additional loans during the year. SUPPORTIVE HOUSING FOR THE ELDERLY (14.157) - Balances outstanding at the end of the audit period were $3,460,700.</t>
  </si>
  <si>
    <t>31-4234770</t>
  </si>
  <si>
    <t>NEWVENTUREIQ, LLC</t>
  </si>
  <si>
    <t>8B58HR90763-12</t>
  </si>
  <si>
    <t>RURAL RENTAL HOUSING LOANS (10.415) - Balances outstanding at the end of the audit period were 1119305.</t>
  </si>
  <si>
    <t>31-4234771</t>
  </si>
  <si>
    <t>NEXILICO, INC.</t>
  </si>
  <si>
    <t>1B91FR89406-50</t>
  </si>
  <si>
    <t>CALIFORNIA EHS-NET FOOD PROJECT- REDUCING THE RISK OF FOOD ALLERGIC EPISODES AT
RETAIL FOOD ESTABLISHMENTS</t>
  </si>
  <si>
    <t>SUPPORTIVE HOUSING FOR THE ELDERLY (14.157) - Balances outstanding at the end of the audit period were 4166887.</t>
  </si>
  <si>
    <t>31-4234772</t>
  </si>
  <si>
    <t>NEXOGEN, INC.</t>
  </si>
  <si>
    <t>9B97FR842727-25</t>
  </si>
  <si>
    <t>Expenditures reported on the schedule are reported on the accrual basis of accounting. Such expenditures are recognized following the cost principles contained in the Uniform Guidance, wherein certain types of expenditures are not allowable or are limited as to reimbursement. Scottsville Housing for the Elderly, Inc. has elected not to use the 10 percent de minimis indirect cost rate as allowed under the Uniform Guidance.</t>
  </si>
  <si>
    <t>SUPPORTIVE HOUSING FOR THE ELDERLY (14.157) - Balances outstanding at the end of the audit period were 2305200.</t>
  </si>
  <si>
    <t>The accompanying schedule of expenditures of federal awards (schedule) includes the federal award activity of Scottsville Housing for the Elderly, Inc.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Scottsville Housing for the Elderly, Inc., it is not intended to and does not present the financial position, changes in net assets, or cash flows of Scottsville Housing for the Elderly, Inc.</t>
  </si>
  <si>
    <t>31-4234773</t>
  </si>
  <si>
    <t>NEXTRAST, INC.</t>
  </si>
  <si>
    <t>6B83GR843323-38</t>
  </si>
  <si>
    <t>THE ENHANCING HEALTH RESILIENCE TO CLIMATE CHANGE THROUGH ADAPTATION PROJECT WILL ALLOW FOR THE IMPLEMENTATION OF INTERVENTIONS TO PROTECT RESIDENTS AGAINST THE HEALTH IMPACTS OF CLIMATE
CHANGE.</t>
  </si>
  <si>
    <t>The Schedule of Expenditures of Federal Awards is presented on the accrual basis of accounting.</t>
  </si>
  <si>
    <t>The Section 232 Loan Guarantee Program included above is a loan program.The schedule above reflects the balance as of the beginning of the current fiscal year. The outstanding loan balance was $4,156,772 at March 31, 2020.</t>
  </si>
  <si>
    <t>31-4234774</t>
  </si>
  <si>
    <t>NEXTSTEP ROBOTICS, LLC</t>
  </si>
  <si>
    <t>8C86BS843823-18</t>
  </si>
  <si>
    <t>COMPREHENSIVE HIGH-IMPACT HIV PREVENTION
PROJECTS FOR COMMUNITY-BASED ORGANIZATIONS</t>
  </si>
  <si>
    <t>SUPPORTIVE HOUSING FOR THE ELDERLY (14.157) - Balances outstanding at the end of the audit period were 5862502. HOME INVESTMENT PARTNERSHIPS PROGRAM (14.239) - Balances outstanding at the end of the audit period were 500000.</t>
  </si>
  <si>
    <t>31-4234775</t>
  </si>
  <si>
    <t>NGOGGLE, INC.</t>
  </si>
  <si>
    <t>1C59BS839924-11</t>
  </si>
  <si>
    <t>HIGH-IMPACT HIV PREVENTION - TARGETING LATINO MSM AGE 18-49 WHO LIVE IN THE LOS
ANGELES MSA, SANTA ANA DIVISION WHICH FALLS WITHIN ORANGE COUNTY, CALIFORNIA.</t>
  </si>
  <si>
    <t>NOTE - BASIS OF PRESENTATION The accompanying schedule of expenditures of federal awards includes the federal award activity of Trinity Homes for Elderly, Inc., Renaissance Square Apartments,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 in net assets, or cash flows of the Project.</t>
  </si>
  <si>
    <t>31-4234776</t>
  </si>
  <si>
    <t>NGS DETECTORS, LLC</t>
  </si>
  <si>
    <t>3C57AS842608-79</t>
  </si>
  <si>
    <t>COMPREHENSIVE HIGH-IMPACT HIV PREVENTION PROJECTS FOR COMMUNITY-BASED
ORGANIZATIONS</t>
  </si>
  <si>
    <t>SUPPORTIVE HOUSING FOR THE ELDERLY (14.157) - Balances outstanding at the end of the audit period were 5654800. SUPPORTIVE HOUSING FOR THE ELDERLY (14.157) - Balances outstanding at the end of the audit period were 303385.</t>
  </si>
  <si>
    <t>31-4234777</t>
  </si>
  <si>
    <t>NICOLALDE R AND D, LLC</t>
  </si>
  <si>
    <t>5B38AR842743-11</t>
  </si>
  <si>
    <t>COMPREHENSIVE HIGH-IMPACT HIV PREVENTION PROJECTS FOR YOUNG LATINO MEN WHO HAVE SEX WITH MEN IN LOS ANGELES COUNTY</t>
  </si>
  <si>
    <t>SUPPORTIVE HOUSING FOR THE ELDERLY (14.157) - Balances outstanding at the end of the audit period were 5900412.</t>
  </si>
  <si>
    <t>31-4234778</t>
  </si>
  <si>
    <t>NIDO SURGICAL, INC.</t>
  </si>
  <si>
    <t>8B94ER842741-22</t>
  </si>
  <si>
    <t>COMPREHENSIVE HIGH-IMPACT HIV PREVENTION PROJECTS FOR COMMUNITY-BASED
ORGANIZATIONS - APLA HEALTH &amp; WELLNESS R3VNG</t>
  </si>
  <si>
    <t>The above schedule of expenditures of federal awards (the "Schedule") includes the federal grant activity of the Organization under programs of the federal government for the year ended March31, 2020. 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Organization, it is not intended to and does not present the financial position, changes in net assets or cash flows of the Organization. Expenditures reported on the Schedule are reported on the accrual basis of accounting. Such expenditures are recognized following the cost principles contained in the Uniform Guidance, wherein, certain types of expenditures are not allowable or are limited as to reimbursement.The Organization has not elected to use the 10-percent de minimis indirect cost rate as allowed under the Uniform Guidance.The Organization does not have subrecipients or subrecipient expenditures.</t>
  </si>
  <si>
    <t>31-4234779</t>
  </si>
  <si>
    <t>NINE CONTINENTS MEDICAL, INC.</t>
  </si>
  <si>
    <t>3D37IT842741-47</t>
  </si>
  <si>
    <t>HIV PREVENTION SERVICES FOR YOUNG TRANSGENDER PERSONS OF COLOR AND THEIR PARTNERS REGARDLESS OF AGE, GENDER, AND
RACE/ETHNICITY.</t>
  </si>
  <si>
    <t>The accompanying schedule of expenditures of federal awards includes the federal grant activity of Hickory Estates, HUD Project No. 084-EE062-WAHNP (the Organization), and is presented on the accrual basis of accounting. The information presented in this schedule is in accordance with the requirements of Title 2 U.S. Code of Federal Regulations (CFR) Part 200, Uniform Administrative Requirements, Cost Principles, and Audit Requirements for Federal Awards. Therefore some amounts presented in this schedule may differ from amounts presented in, or used in the preparation of, the financial statements.</t>
  </si>
  <si>
    <t>The Organization is financed by a HUD Section 202 Capital Advance Mortgage Note in the amount of $2,364,700. As long as the apartments are rented to qualifying very low income elderly and disabled tenants, and meets other HUD requirements, no payments are required to be made on the note. If these requirements are met for a period of 40 years, the note will be forgiven.</t>
  </si>
  <si>
    <t>31-4234780</t>
  </si>
  <si>
    <t>NINEPOINT MEDICAL, INC.</t>
  </si>
  <si>
    <t>9B33BR845467-13</t>
  </si>
  <si>
    <t>THE +C4H ACCELERATOR: CQI AND SUSTAINABILITY CAPACITY BUILDING ASSISTANCE FOR HIGH IMPACT HIV PREVENTION PROGRAM
INTEGRATION FOR CBOS</t>
  </si>
  <si>
    <t>NOTE A - Basis of PresentationThe accompanying schedule of expenditures of federal awards includes the federal grant activity ofPresbyterian Oaks III, Inc. HUD Project No. 062-EE074, and is presented on the accrual basis ofaccounting. The information in this schedule is presented in accordance with the requirements of Title 2U. S. Code of Federal Regulations Part 200, Uniform Administrative Requirements, Cost principles, andAudit Requirements for Federal Awards (Uniform Guidance). Because the Schedule presents only aselected portion of the operations of Presbyterian Oaks III, Inc., it is not intended to and does not presentthe financial position, changes in net assets, or cash flows of Presbyterian Oaks III, Inc.NOTE BSummary of Significant Accounting PoliciesExpenditures reported on the Schedule are reported on the accrual basis of accounting. Such expendituresare recognized following the cost principles contained in the Uniform Guidance, wherein certain types ofexpenditures are not allowable or are limited as to reimbursement. Presbyterian Oaks III, Inc. has electednot to use the 10 percent de minimis indirect cost rate as allowed under the Uniform Guidance.</t>
  </si>
  <si>
    <t>SUPPORTIVE HOUSING FOR THE ELDERLY (14.157) - Balances outstanding at the end of the audit period were 1973200.</t>
  </si>
  <si>
    <t>31-4234781</t>
  </si>
  <si>
    <t>NIROGYONE THERAPEUTICS, LLC</t>
  </si>
  <si>
    <t>1B43CR843430-37</t>
  </si>
  <si>
    <t>NOTE - BASIS OF PRESENTATION The accompanying schedule of expenditures of federal awards includes the federal awardactivity of Monticello Homes for the Elderly, Inc., Mountain Grove Apartments,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Project, it is not intended to and does not present the financial position, change in net assets, or cash flows of the Project.</t>
  </si>
  <si>
    <t>31-4234782</t>
  </si>
  <si>
    <t>NIRSUM LABORATORIES, INC.</t>
  </si>
  <si>
    <t>6B68CR842913-70</t>
  </si>
  <si>
    <t>NOTE - BASIS OF PRESENTATION The accompanying schedule of expenditures of federal awards includes the federal awardactivity of Chatham Homes for Elderly, Inc., The Commons for Seniors,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 in net assets, or cash flows of the Project.</t>
  </si>
  <si>
    <t>31-4234783</t>
  </si>
  <si>
    <t>NIRVANA SCIENCES, INC.</t>
  </si>
  <si>
    <t>5C44CS842757-66</t>
  </si>
  <si>
    <t>Finding reference number:2020-001CFDA title and number (Federal award identification number and year):Supportive Housing for the Elderly, CFDA 14.157 (Project identification number 115-EE078 and 2007)Auditor non-compliance code:I - Failure to maintain property/open physical inspectionFinding resolution status:In process Universe population size:The universe population is not applicable to the finding.Sample size information:The sample size information is not applicable to the finding.Noncompliance information:See statement of condition 2020-001 for noncompliance information.Statistically valid sample:N/AName of Federal agency:U.S. Department of Housing and Urban DevelopmentPass-through entity:N/AQuestioned costs:N/AStatement of Condition 2020-001 (CFDA 14.157):The Property received a score of 37c* on a physical inspection of the Property performed on October 24, 2019 by a representative of HUD.By reference, the REAC inspection is included as a statement of condition.Criteria:Pursuant to the HUD Regulatory Agreement, the Property is to be maintained in good repair and condition and considered decent, safe, and sanitary. Management is to conduct routine unit and general property inspections and deficiencies should be corrected.Effect:The Corporation is not in compliance with the Regulatory Agreement.If deficiencies are of a life threatening nature and not corrected in a timely manner, the units could be considered not to be in a decent, safe, and sanitary condition.Cause:The Property manager was not using the Uniform Physical Condition Standards Comprehensive Listing Checklist to ensure the Corporation was in compliance with HUD requirements when completing self-inspections.Recommendation:Management should ensure all necessary repairs have been made. Management should continue to conduct routine unit and general property inspections and deficiencies should be corrected in a timely manner.Management's Response:Agree. Management has responded to HUD in regards to this inspection report and has addressed all health and safety issues. Management will continue to correct all remaining deficiencies noted and will implement a process of self-inspection of units and common areas. Management has been informed by HUD that a follow up inspection will be completed; however, this has yet to be scheduled by HUD. Management expects the follow up inspection to be completed during the year ended March 31, 2021.</t>
  </si>
  <si>
    <t>Statement of Condition 2020-001 (CFDA 14.157):The Property received a score of 37c* on a physical inspection of the Property performed on October 24, 2019 by a representative of HUD.By reference, the REAC inspection is included as a statement of condition.Recommendation:Management should ensure all necessary repairs have been made. Management should continue to conduct routine unit and general property inspections and deficiencies should be corrected in a timely manner.Action(s) Taken or Planned on the Finding:Agree. Management has responded to HUD in regards to this inspection report and has addressed all health and safety issues. Management will continue to correct all remaining deficiencies noted and will implement a process of self-inspection of units and common areas. Management has been informed by HUD that a follow up inspection will be completed; however, this has yet to be scheduled by HUD. Management expects the follow up inspection to be completed during the year ended March 31, 2021.</t>
  </si>
  <si>
    <t>SUPPORTIVE HOUSING FOR THE ELDERLY (14.157) - Balances outstanding at the end of the audit period were 4065300. SUPPORTIVE HOUSING FOR THE ELDERLY (14.157) - Balances outstanding at the end of the audit period were 268560.</t>
  </si>
  <si>
    <t>31-4234784</t>
  </si>
  <si>
    <t>NODEXUS, INC.</t>
  </si>
  <si>
    <t>9C42FS844309-95</t>
  </si>
  <si>
    <t>COOPERATIVE AGREEMENT FOR TUBERCULOSIS ELIMINATION AND LABORATORY IN THE STATE OF
CALIFORNIA</t>
  </si>
  <si>
    <t>SUPPORTIVE HOUSING FOR THE ELDERLY (14.157) - Balances outstanding at the end of the audit period were 10285600. SUPPORTIVE HOUSING FOR THE ELDERLY (14.157) - Balances outstanding at the end of the audit period were 350000. HOME INVESTMENT PARTNERSHIPS PROGRAM (14.239) - Balances outstanding at the end of the audit period were 699500.</t>
  </si>
  <si>
    <t>31-4234785</t>
  </si>
  <si>
    <t>NOGUCHI MEMORIAL INSTITUTE / MEDICAL RES</t>
  </si>
  <si>
    <t>2C58FS844309-12</t>
  </si>
  <si>
    <t>INTEGRATED HIV SURVEILLANCE AND
PREVENTION PROGRAMS FOR HEALTH DEPARTMENTS</t>
  </si>
  <si>
    <t>Note 1.Basis of Presentation The accompanying schedule of expenditures of federal awards (the Schedule) includes the federal award activity of Danville Independence, LLC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changes in net assets, or cash flows of the Organization. Note 2.Summary of Significant Accounting Policies The amount reported on the Schedule is reported on the accrual basis of accounting and is the HUD-insured mortgage loan balance outstanding as of April 1, 2019. The Organization has not yet elected to use the 10 percent de minimis indirect cost rate as allowed under Uniform Guidance.</t>
  </si>
  <si>
    <t>The Organization has not yet elected to use the 10 percent de minimis indirect cost rate as allowed under Uniform Guidance.</t>
  </si>
  <si>
    <t>As of March 31, 2020, Danville Independence, LLC had a HUD-insured mortgage loan balance outstanding of $10,788,483.</t>
  </si>
  <si>
    <t>Note 4. Noncash Assistance</t>
  </si>
  <si>
    <t>There was no noncash assistance received by Danville Independence, LLC during the year.</t>
  </si>
  <si>
    <t>Note 5. Insurance</t>
  </si>
  <si>
    <t>The Organization maintains property and liability insurance which management believes is sufficient to meet its needs. None of the insurance is directly funded by federal awards.</t>
  </si>
  <si>
    <t>31-4234786</t>
  </si>
  <si>
    <t>NOKOMIS, INC.</t>
  </si>
  <si>
    <t>2D90HT844992-92</t>
  </si>
  <si>
    <t>NATIONAL HIV BEHAVIORAL SURVEILLANCE</t>
  </si>
  <si>
    <t>The accompanying schedule of expenditures of federal awards (the Schedule) includes the federal grant activity of Lilac Grove Apartments, Inc. HUD Project No. 075-EE140-WAH under the programs of the federal government for the year ended March 31, 2020. The information in the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Lilac Grove Apartments, Inc. HUD Project No. 075-EE140-WAH, it is not intended to and does not present the financial position, changes in net assets or cash flows of Lilac Grove Apartments, Inc. HUD Project No. 075-EE140-WAH.(1) Expenditures reported on the Schedule are reported on the accrual basis of accounting. Such expenditures are recognized following the cost principles contained in the Uniform Guidance,áwherein certain types of expenditures are not allowable or are limited as to reimbursement.</t>
  </si>
  <si>
    <t>31-4234787</t>
  </si>
  <si>
    <t>NOOM, INC.</t>
  </si>
  <si>
    <t>8D11FT843361-40</t>
  </si>
  <si>
    <t>Expenditures reported on the Schedule are reported on the accrual basis of accounting.Such expenditures are recognized following the cost principles contained in OMB Circular A-122, Cost Principles for Non-Profit Organizations, wherein certain types of expenditures are not allowable or are limited as to reimbursement.</t>
  </si>
  <si>
    <t>Shawme Heights II, Inc. has elected not to use the 10% de minimums indirect cost rate allowed under the Uniform Guidance. Shawme Heights II, Inc. does not have cost reimbursement contracts thus the 10% de minimums indirect cost rate is not applicable.</t>
  </si>
  <si>
    <t>SUPPORTIVE HOUSING FOR THE ELDERLY (14.157) - Balances outstanding at the end of the audit period were 4419400.</t>
  </si>
  <si>
    <t>31-4234788</t>
  </si>
  <si>
    <t>NORFOLK STATE UNIVERSITY</t>
  </si>
  <si>
    <t>6C39CS843361-60</t>
  </si>
  <si>
    <t>STRENGTHENING STD PREVENTION AND CONTROL FOR HEALTH DEPARTMENTS (STD
PCHD)</t>
  </si>
  <si>
    <t>MORTGAGE INSURANCE FOR THE PURCHASE OR REFINANCING OF EXISTING MULTIFAMILY HOUSING PROJECTS (14.155) - Balances outstanding at the end of the audit period were 4437049.</t>
  </si>
  <si>
    <t>31-4234789</t>
  </si>
  <si>
    <t>NORTH AMERICAN ASSN/CENTRAL CANCER REG</t>
  </si>
  <si>
    <t>9C32IS844106-67</t>
  </si>
  <si>
    <t>THE ADULT VIRAL HEPATITIS PREVENTION AND CONTROL PROGRAM IS FOCUSED ON INCREASING THE NUMBER OF PEOPLE WITH HEPATITIS C WHO ARE AWARE OF THEIR INFECTION SO THEY CAN
BE LINKED TO CARE AND TREATMENT.</t>
  </si>
  <si>
    <t>SUPPORTIVE HOUSING FOR THE ELDERLY (14.157) - Balances outstanding at the end of the audit period were 8239700.</t>
  </si>
  <si>
    <t>31-4234790</t>
  </si>
  <si>
    <t>NORTH AMERICAN VASCULAR BIOLOGY ORG</t>
  </si>
  <si>
    <t>1C58GS844333-55</t>
  </si>
  <si>
    <t>THE MEDICAL MONITORING PROJECT (MMP) IS AN ON-GOING, LOCALLY AND NATIONALLY REPRESENTATIVE SUPPLEMENTAL SURVEILLANCE SYSTEM THAT COLLECTS DATA ON A STRATIFIED SAMPLE OF HIV-DIAGNOSED
ADULTS IN THE US.</t>
  </si>
  <si>
    <t>SUPPORTIVE HOUSING FOR THE ELDERLY - BALANCE OF CAPITAL ADVANCE AS OF APRIL 1, 2019, UNDER SECTION 202 OF THE HOUSING ACT OF 1959 (14.157) - Balances outstanding at the end of the audit period were 1257000.</t>
  </si>
  <si>
    <t>31-4234791</t>
  </si>
  <si>
    <t>NORTH CAROLINA AGRI &amp; TECH ST UNIV</t>
  </si>
  <si>
    <t>8B27HR844333-84</t>
  </si>
  <si>
    <t>COMPREHENSIVE HIGH-IMPACT HIV PREVENTION PROJECTS FOR COMMUNITY-BASED ORGANIZATIONS</t>
  </si>
  <si>
    <t>Note 1.Basis of PresentationThe accompanying schedule of expenditures of federal awards (the Schedule) includes the federal award activity of Peoria Manor Court, Ltd., NFP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changes in net assets, or cash flows of the Organization. Note 2.Summary of Significant Accounting Policies The amount reported on the Schedule is reported on the accrual basis of accounting and is the HUD-insured mortgage loan balance outstanding as of April 1, 2019. The Organization has not yet elected to use the 10 percent de minimis indirect cost rate as allowed under Uniform Guidance.</t>
  </si>
  <si>
    <t>As of March 31, 2020, Peoria Manor Court, Ltd., NFP had a HUD-insured mortgage loan balance outstanding of $9,826,267.</t>
  </si>
  <si>
    <t>There was no noncash federal assistance received by Peoria Manor Court, Ltd., NFP during the year.</t>
  </si>
  <si>
    <t xml:space="preserve">Note 5. Insurance </t>
  </si>
  <si>
    <t>31-4234792</t>
  </si>
  <si>
    <t>NORTH CAROLINA CENTRAL UNIVERSITY</t>
  </si>
  <si>
    <t>3C91DS844332-69</t>
  </si>
  <si>
    <t>SYHC COMPREHENSIVE HIGH-IMPACT HIV PREVENTION (CHIP) PROJECT</t>
  </si>
  <si>
    <t>Identifying Number:2020-001Information on the Federal Program: CFDA #14.129, U.S. Department of Housing and Urban Development: Mortgage Insurance – Nursing Homes, Intermediate Care Facilities, Board and Care Homes and Assisted Living Facilities.Criteria or Specific Requirement: The regulatory agreement (form HUD 92466-E) specifies in Paragraph 21: “The Mortgager shall not reduce or expand, allow to be reduced, cause the expansion or reduction of the bed capacity, or change any bed to a different category (e.g. skilled to unskilled, etc.) without the consent of HUD. Any change in bed capacity (without the consent of HUD) will violate this Agreement.”Condition: The Organization changed the bed category of 12 sheltered beds to 12 skilled nursing beds before obtaining an approval from HUD.Cause: The Organization changed the bed category before obtaining HUD approval.Effect:Noncompliance with the HUD compliance requirement per the regulatory agreement.Questioned Costs: Not applicable.Context: The population was tested 100 percent, therefore was statistically valid. This instance is isolated to this one bed category change.Repeat Finding:NoRecommendation:Procedures should be implemented and placed in service to ensure HUD approval is obtained before bed category changes are made on the mortgaged property. The Organization should also obtain approval after-the-fact for the specific bed category change noted above. Views of Responsible Officials:Management disagrees with finding 2020-001.</t>
  </si>
  <si>
    <t>Identifying Number: 2020-001Finding: The Organization changed the bed category of 12 sheltered beds to 12 skilled nursing beds before obtaining an approval from HUD.Corrective Action Taken or Planned: Ron Wilson is responsible to ensure corrective actions are taken. Management had communications with their lender and requested approval on November 27, 2018, before the bed category change was made. A response has not been received. The Organization is in the process of obtaining HUD approval for the bed change.</t>
  </si>
  <si>
    <t>Note 1.Basis of Presentation The accompanying schedule of expenditures of federal awards (the Schedule) includes the federal award activity of Peru Becker, Ltd., NFP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changes in net assets, or cash flows of the Organization.Note 2.Summary of Significant Accounting Policies The amount reported on the Schedule is reported on the accrual basis of accounting and is the HUD-insured mortgage loan balance outstanding as of April 1, 2019. The Organization has not yet elected to use the 10 percent de minimis indirect cost rate as allowed under Uniform Guidance.</t>
  </si>
  <si>
    <t>As of March 31, 2020, Peru Becker, Ltd., NFP had a HUD-insured mortgage loan balance outstanding of $17,245,573.</t>
  </si>
  <si>
    <t>There was no noncash federal assistance received by Peru Becker, Ltd., NFP during the year.</t>
  </si>
  <si>
    <t>31-4234793</t>
  </si>
  <si>
    <t>NORTH CAROLINA STATE UNIVERSITY RALEIGH</t>
  </si>
  <si>
    <t>4C67CS845705-41</t>
  </si>
  <si>
    <t>The accompanying schedule of expenditures of federal awards includes the federal award activity of Loretto OBrien Road Housing Development Fund Company, Inc. (OBrien Road Senior Apartments), HUD Project No. 014-EE262/NY06-S061-007,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OBrien Road Senior Apartments, it is not intended to and does not present the financial position, changes in net assets, or cash flows of OBrien Road Senior Apartments.</t>
  </si>
  <si>
    <t>SUPPORTIVE HOUSING FOR THE ELDERLY (14.157) - Balances outstanding at the end of the audit period were 3785187.</t>
  </si>
  <si>
    <t>OBrien Road Senior Apartments did not pass any federal funds to subrecipients for the year ended March 31, 2020.</t>
  </si>
  <si>
    <t>31-4234794</t>
  </si>
  <si>
    <t>NORTH DAKOTA STATE UNIVERSITY</t>
  </si>
  <si>
    <t>7B16CR845705-39</t>
  </si>
  <si>
    <t>EVOLVE: A NATIONAL ELEARNING TRAINING CENTER</t>
  </si>
  <si>
    <t>NOTE - BASIS OF PRESENTATION The accompanying schedule of expenditures of federal awards includes the federal award activity of Riverton Homes for Elderly, Inc., Park Place Apartments, and is presented on the full accrual basis of accounting. 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 in net assets, or cash flows of the Project.</t>
  </si>
  <si>
    <t>31-4234795</t>
  </si>
  <si>
    <t>NORTHEAST OHIO MEDICAL UNIVERSITY</t>
  </si>
  <si>
    <t>7D60GT843334-29</t>
  </si>
  <si>
    <t>COMPREHENSIVE HIGH-IMPACT HIV PREVENTION PROJECT FOR YOUNG MEN OF COLOR WHO HAVE SEX WITH MEN SERVING SAN DIEGO COUNTY'S
CENTRAL AND NORTH REGIONS</t>
  </si>
  <si>
    <t>Note -Basis of Presentation:The accompanying Schedule of Expenditures of Federal Awards (the Schedule) includes the federal grant activity of Desert Willow Apartments. The information in this schedule is presented in accordance with the requirements of Title 2 U.S. Code of Federal Regulations (CFR) Part 200, Uniform Administrative Requirements, Cost Principles, and Audit Requirements for Federal Awards. Because the schedule presents only a selected portion of the operations of Example Entity, it is not intended to and does not present the financial position, changes in net assets or cash flows of Desert Willow Apartments.Note - Summary of Significant Accounting Policies: Expenditures reported on the Schedule are reported on the accrual basis of accounting. Such expenditures are recognized following the cost principles contained in Uniform Guidance, wherein certain types of expenditures are not allowable or are limited as to reimbursement. The Organization has elected not to use the 10 percent de Minimis indirect cost rate allowed under the Uniform Guidance. Note - Federally Funded Grant: The grant balance at the beginning of the year is included in the federal expenditures presented in this schedule. The balance of the outstanding federally insured grant at March 31, 2020 is $1,848,500.</t>
  </si>
  <si>
    <t>Expenditures reported on the Schedule are reported on the accrual basis of accounting. Such expenditures are recognized following the cost principles contained in Uniform Guidance, wherein certain types of expenditures are not allowable or are limited as to reimbursement. The Organization has elected not to use the 10 percent de Minimis indirect cost rate allowed under the Uniform Guidance.  Accounting system maintenance practices are weak.</t>
  </si>
  <si>
    <t>7D60GT843399-29</t>
  </si>
  <si>
    <t>COMPREHENSIVE HIGH-IMPACT HIV PREVENTION PROJECT FOR YOUNG MEN OF COLOR WHO HAVE SEX WITH MEN SERVING SAN DIEGO COUNTY'S  - Subrecipient
CENTRAL AND NORTH REGIONS</t>
  </si>
  <si>
    <t>Note -Basis of Presentation:The accompanying Schedule of Expenditures of Federal Awards (the Schedule) includes the federal grant activity of Desert Willow Apartments. The information in this schedule is presented in accordance with the requirements of Title 2 U.S. Code of Federal Regulations (CFR) Part 200, Uniform Administrative Requirements, Cost Principles, and Audit Requirements for Federal Awards. Because the schedule presents only a selected portion of the operations of Example Entity, it is not intended to and does not present the financial position, changes in net assets or cash flows of Desert Willow Apartments.Note - Federally Funded Grant: The grant balance at the beginning of the year is included in the federal expenditures presented in this schedule. The balance of the outstanding federally insured grant at March 31, 2020 is $1,848,500.</t>
  </si>
  <si>
    <t>31-4234796</t>
  </si>
  <si>
    <t>NORTHEASTERN ILLINOIS UNIVERSITY</t>
  </si>
  <si>
    <t>6D55GT844554-36</t>
  </si>
  <si>
    <t>Supportive Housing for Persons with Disabilities CFDA No. 14.181U.S. Department of Housing and Urban DevelopmentCriteria or Specific Requirement – Special Tests and Provisions:Replacement Reserve (24 CFR section 891.405(d))Condition – The Project’s replacement reserve was not maintained in an interest-bearing account for the entire year ending March 31, 2020.Questioned cost – NoneContext – The Project’s replacement reserve was maintained in an interest-bearing account for only three out of twelve months during the year ending March 31, 2020. Effect – The Project did not earn interest on the replacement reserve funds for the entire year ending March 31, 2020, as required by the Department of Housing and Urban Development.Cause – The Project’s financial institution updated their fee schedule in June 2019 which resulted in an average monthly service fee of $5.In order to avoid monthly service fees, the Project changed the account to an interest free account in July 2019.Identification as a repeat finding – Not a repeat finding.Recommendation – The Project should deposit the replacement reserve funds into a federally insured, interest-bearing account as soon as possible.Views of Responsible Officials and Planned Corrective Action – The funds will be moved to an interest-bearing account and will submit the necessary paperwork to the Department of Urban Development to show the necessary changes have been made.  It is observed that management is NOT adhering to Federal statutes, regulations.</t>
  </si>
  <si>
    <t>2020-001Criteria of Specific Requirement – Special Test and Provisions:Replacement Reserve (24 CFR section 891.405(d))Condition – The Project’s replacement reserve was not maintained in an interest-bearing account for the entire year ending March 31, 2020. Cause – The Project financial institution updated their fee schedule in June of 2019 which resulted in an average monthly service fee of $5.In order to avoid monthly service fees, the Project changed the account to an interest free account in July 2019.Management/Organizational Response– The funds will be moved to an interest-bearing account and will submit the paperwork to the Department of Urban Development to show the necessary changes have been made.  It is observed that management is NOT adhering to the terms and conditions of Federal awards.</t>
  </si>
  <si>
    <t>The accompanying schedule of expenditures of federal awards (the Schedule) includes the federal award activity of Poplar Place Housing CorporationU.S. Department of Housing and Urban Development (HUD) Project No. 084-HD060 (the Project) under programs of the federal government for the year ended March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Project, it is not intended to and does not present the financial position, changes in net assets or cash flows of the Project.</t>
  </si>
  <si>
    <t>Expenditures reported on the Schedule are reported on the accrual basis of accounting.Such expenditures are recognized following the cost principles contained in the Uniform Guidance, wherein certain types of expenditures are not allowable or are limited as to reimbursement.Negative amounts shown on the Schedule represent adjustments or credits made in the normal course of business to amounts reported as expenditures in prior years.Poplar Place Housing CorporationU.S. Department of Housing and Urban Development (HUD) Project No. 084-HD060 (the Project) has elected not to use the 10 percent de minimis indirect cost rate allowed under the Uniform Guidance.</t>
  </si>
  <si>
    <t>Poplar Place Housing CorporationU.S. Department of Housing and Urban Development (HUD) Project No. 084-HD060 (the Project) did not have a balance outstanding due to any federal loan programs included in the Projects basic financial statements at March 31, 2020.The Projects mortgage note with HUD through the Supportive Housing for Persons with Disabilities Program was recorded as a contribution from HUD due to the terms described in the notes to the financial statements.</t>
  </si>
  <si>
    <t>31-4234797</t>
  </si>
  <si>
    <t>NORTHEASTERN UNIVERSITY</t>
  </si>
  <si>
    <t>1D81DT842266-85</t>
  </si>
  <si>
    <t>HIV AND AIDS PREVENTION, MESSAGING,
AWARENESS AND EDUCATION IN AFRICAN AMERICAN COMMUNITIES</t>
  </si>
  <si>
    <t>SUPPORTIVE HOUSING FOR THE ELDERLY - BALANCE OF CAPITAL ADVANCE AS OF APRIL 1, 2019, UNDER SECTION 202 OF THE HOUSING ACT OF 1959 (14.157) - Balances outstanding at the end of the audit period were 1301200.</t>
  </si>
  <si>
    <t>31-4234798</t>
  </si>
  <si>
    <t>NORTHERN ARIZONA UNIVERSITY</t>
  </si>
  <si>
    <t>2C82BS842766-40</t>
  </si>
  <si>
    <t>SUPPORTIVE HOUSING FOR THE ELDERLY (14.157) - Balances outstanding at the end of the audit period were 11357300. HOME INVESTMENT PARTNERSHIPS PROGRAM (14.239) - Balances outstanding at the end of the audit period were 1343324.</t>
  </si>
  <si>
    <t>31-4234799</t>
  </si>
  <si>
    <t>NORTHERN CALIFORNIA INSTITUTE/RES/EDU</t>
  </si>
  <si>
    <t>5R22ER842766-74</t>
  </si>
  <si>
    <t>BEHAVIORAL SURVEILLANCE STUDY OF HIV RISK AND PREVENTION BEHAVIORS AMONG AT-RISK POPULATIONS IN LOS ANGELES COUNTY</t>
  </si>
  <si>
    <t>Basis of Presentation The accompanying schedule of expenditures of federal awards includes the federal grant activity of Gramercy Park Cooperative of Plymouth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Gramercy Park Cooperative of Plymouth, it is not intended to and does not present the financial positions, changes in net assets (deficit), or cash flows of Gramercy Park Cooperative of Plymouth.Summary of Significant Accounting PoliciesExpenditures reported on the Schedule are reported on the accrual basis of accounting. Such expenditures are recognized following the cost principles contained in the Uniform Guidance, wherein certain type of expenditures are not allowable or are limited as to reimbursement. Gramercy Park Cooperative of Plymouth has elected not to use the 10 percent de minimis indirect cost rate allowed under the Uniform Guidance. U. S. Department of Housing and Urban Development Loan ProgramGramercy Park Cooperative of Plymouth has received a U. S. Department of Housing and Urban Development loan under Section 213 of the National Housing Act. The loan balance outstanding at the beginning of the year is included in the federal expenditures presented in the Schedule. Gramercy Park Cooperative of Plymouth received no additional loans during the year. The balance of the loan outstanding at February 29, 2020 and February 28, 2019 was $4,439,735 and $4,505,492.</t>
  </si>
  <si>
    <t>MORTGAGE INSURANCE_COOPERATIVE PROJECTS (14.126) - Balances outstanding at the end of the audit period were 4439735.</t>
  </si>
  <si>
    <t>31-4234800</t>
  </si>
  <si>
    <t>NORTHERN ILLINOIS UNIVERSITY</t>
  </si>
  <si>
    <t>7R10ER843758-68</t>
  </si>
  <si>
    <t>CDC STRENGTHENING STD PREVENTION AND CONTROL FOR HEALTH DEPARTMENTS (STD PCHD)</t>
  </si>
  <si>
    <t>The accompanying schedule of expenditures of federal awards (the schedule) includes the federal award activity of Akeley Landing Housing Development Fund Company, Inc., HUD Project No. 014-EE272 (the Corporation), under programs of the federal government for the year ended March 31, 2020 and has been prepared in accordance with accounting principles generally accepted in the United States of America.The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Corporation, it is not intended to and does not present the financial position, change in net assets, or cash flows of the Corporation.</t>
  </si>
  <si>
    <t>The auditee elected to not use the de minimis cost rate.</t>
  </si>
  <si>
    <t>CAPITAL ADVANCES</t>
  </si>
  <si>
    <t>The Corporation has received Section 202 capital advances from the U.S. Department of Housing and Urban Developments Supportive Housing for the Elderly program (CFDA No. 14.157).Under the terms of the capital advance agreement, the Corporation must continue to operate the project for the specified purpose for a period of forty years.Failure to operate the project in accordance with the capital advance agreement would result in the Corporation being required to repay HUD the entire capital advance, plus interest, since the date of the first advance.</t>
  </si>
  <si>
    <t>31-4234801</t>
  </si>
  <si>
    <t>NORTHERN KENTUCKY UNIVERSITY</t>
  </si>
  <si>
    <t>2R23HR841859-37</t>
  </si>
  <si>
    <t>INTEGRATED HIV SURVEILLANCE AND PREVENTION PROGRAM FOR LOS ANGELES COUNTY</t>
  </si>
  <si>
    <t>For the Year Ended March 31, 2020B. FINDINGS OF FINANCIAL STATEMENTS AND FEDERAL AWARDSFINDING Ref Number: 2020-001Title and CFDA Number of Federal Program: Section 202 Capital Advance CFDA # 14.181Type of Finding: Federal Award FindingFinding Resolution Status: UnresolvedCriteria: The Project is not permitted to withdraw funds from the Replacement Reserve Account without the prior authorization from their HUD representative.Statement of Condition: The Project’s manager withdrew funds that were not approved by HUD using the HUD-9250 Funds Authorization from the Replacement Reserve worksheet.Cause: The Project’s management did not have the funds available to pay contractors for work performed on the property. Management did not submit Form 9250 requesting authorization to withdraw the funds.Effect or Potential Effect: The Project’s Replacement Reserve Account is underfunded by $7,740 from 2019 unauthorized withdraws.Reporting Views of Responsible Officials: The Project’s management should redeposit the funds into the Replacement Reserve account as soon as possible, to bring the account to the correct balance.Recommendation: The Project’s management should redeposit the funds into the Replacement Reserve account as soon as possible, to bring the account to the correct balance.Auditor’s Summary of the Auditee’s Comments on the Finding Recommendations: The Project’s management withdrew funds without receiving authorization to withdraw funds from the Replacement Reserve account. Funds should only be withdrawn from the Replacement Reserve account after the HUD-9250 “Funds Authorization” form is signed by the HUD Representative.Response Indicator: AgreeCompletion Date: 06/15/2020Response: The Project’s management will redeposit the funds into the Replacement Reserve account as soon as possible and will not withdraw funds in the future without proper authorization.</t>
  </si>
  <si>
    <t>For the Year Ended March 31, 2020CORRECTIVE ACTION PLAN ISSUED BY THE BOARD OF DIRECTORSCOCAA Seminole Development, Inc. respectfully submits the following corrective action plan for the year ended March 31, 2020.Name and address of public accounting firm:John Flusche, CPA6851 South CantonTulsa, Oklahoma 74136Audit Period: Year ended March 31, 2020The findings from the March 2020, schedule of findings and questioned costs are discussed below. The findings are numbered consistently with the numbers assigned in the schedule. Section A of the schedule, Summary of Audit Results, does not include findings and is not addressed.FINDING No. 2020-001:Recommendation: The Project’s management should redeposit the funds into the Replacement Reserve account as soon as possible, to bring the account to the correct balance.Action Taken: The Project’s management will deposit the outstanding funds into the Replacement Reserve account as soon as possible and bring the account to the correct balance.If the Department of HUD has questions regarding this plan, please contact Rick Gowin, Westchester Realty &amp; Development.June 15, 2020Fred Combs, PresidentDateJune 15, 2020Rick Gowin, Management AgentDate</t>
  </si>
  <si>
    <t>NOTE A - BASIS OF PRESENTATIONThe accompanying schedule of expenditures of federal awards includes the federal activity of COCAA SEMINOLE DEVELOPMENT, INC., HUD Project No. 117-EE046, and is presented on the accrual basis of accounting. The information in this schedule is presented in accordance with the requirements of the uniform guidance, Audits of States, Local Governments, and Non-Profit Organizations. Therefore, some amounts presented in this schedule may differ from amounts presented in or used in the presentation of the basic financial statements.NOTE B - EXPENDITURESTotal federal awards expended include current year accrued Section 8 Project Rental Assistance Contract and Section 202 Capital Advance at inception of the Project. No payments of principal or interest are due under the capital advance as long as the project is made available to low-income persons with disabilities. In addition, after 40 years the mortgage is considered paid in full.NOTE CINDIRECT COSTThe Project has elected not to use the 10 percent de minimus indirect cost rate allowed under the Uniform Guidance.</t>
  </si>
  <si>
    <t>31-4234802</t>
  </si>
  <si>
    <t>NORTHROP GRUMMAN INFORMATION TECHNOLOGY,</t>
  </si>
  <si>
    <t>3R74BR844489-74</t>
  </si>
  <si>
    <t>MEDICAL MONITORING PROJECT</t>
  </si>
  <si>
    <t>SUPPORTIVE HOUSING FOR THE ELDERLY (14.157) - Balances outstanding at the end of the audit period were 837400.</t>
  </si>
  <si>
    <t>The accompanying schedule of expenditures of federal awards includes the federal award activity of Blue Mountain Senior Housing Group, HUD Project No. 124-EE002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of Federal Awards (Uniform Guidance).Because the Schedule presents only a selected portion of the operations of Blue Mountain Senior Housing Group, it is not intended to and does not present the financial position, change in net assets, or cash flows of Blue Mountain Senior Housing Group.</t>
  </si>
  <si>
    <t>31-4234803</t>
  </si>
  <si>
    <t>NORTHSHORE UNIVERSITY HEALTHSYSTEM</t>
  </si>
  <si>
    <t>7R27CR844489-60</t>
  </si>
  <si>
    <t>TB ELIMINATION AND LABORATORY SERVICES</t>
  </si>
  <si>
    <t>Note A- Basis of PresentationThe accompanying schedule of expenditures of federal awards includes the federal award (the Schedule) of Citizens of Lake County for Health Care, Inc. under programs of the federal government for the year ended January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Citizens of Lake County for Health Care, Inc., it is not intended to and does not present the financial position, changes in net assets, or cash flows of Citizens of Lake County for Health Care, Inc.Note B-Summary of Significant Accounting PoliciesExpenditures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shown on the Schedule represent adjustments or credits made in the normal course of business to amounts reported as expenditures in prior years. Citizens of Lake County for Health Care, Inc. has elected not to use the 10 percent de minimus indirect cost rate allowed under Uniform Guidance.Note C- SubrecipientsThe Organization provided no federal awards to subrecipients.</t>
  </si>
  <si>
    <t>31-4234804</t>
  </si>
  <si>
    <t>NORTHSIDE HOSPITAL ATLANTA</t>
  </si>
  <si>
    <t>9T14AT843034-31</t>
  </si>
  <si>
    <t>Expenditures reported on the Schedule are reported on the accrual basis of accounting. Such expenditures are recognized following the cost principles contained in the Uniform Guidance, wherein certain types of expenditures are not allowed or are limited as to reimbursement.</t>
  </si>
  <si>
    <t>31-4234805</t>
  </si>
  <si>
    <t>NORTHWEST INDIAN COLLEGE</t>
  </si>
  <si>
    <t>7S40ES843846-74</t>
  </si>
  <si>
    <t>THE GET YO' LIFE PROGRAM - A COMPREHENSIVE, HIGH-IMPACT HIV PREVENTION INITIATIVE TO REDUCE HIV TRANSMISSION AMONG YOUNG MSM
OF COLOR LIVING IN SOUTH LOS ANGELES.</t>
  </si>
  <si>
    <t>The schedule of expenditures of federal awards is prepared on the accrual basis ofaccounting.</t>
  </si>
  <si>
    <t>The Corporation has elected to not use the 10% de minimis cost rate.</t>
  </si>
  <si>
    <t>The balance of HUD Capital Advance Grant at March 31, 2020 is $6,133,796.</t>
  </si>
  <si>
    <t>22-4782390</t>
  </si>
  <si>
    <t>NORTHWEST PORTLAND AREA INDIAN HLTH BD</t>
  </si>
  <si>
    <t>4T77BT845602-34</t>
  </si>
  <si>
    <t>LAUSD IS APPLYING FOR COMPONENT 1: SCHOOL- BASED SURVEILLANCE, AND COMPONENT 1: SCHOOL-BASED HIV/STD PREVENTION IN ORDER TO REDUCE HIV AND STD INFECTIONS AMONG ADOLESCENTS AS WELL AS TEEN PREGNANCY.</t>
  </si>
  <si>
    <t>The accompanying schedule of expenditures of federal awards (the Schedule) includes the federal award activity of Front Porch Communities and Services - Kingsley Manor, LLC (KM)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KM, it is not intended to and does not present the financial position, changes in operations (net assets) or cash flows of KM.2. Expenditures reported on the Schedule are reported on the accrual basis of accounting. Such expenditures are recognized following the cost principles contained in the Uniform Guidance, wherein certain types of expenditures are not allowable or are limited as to reimbursement. Negative amounts, if any, shown on the Schedule represent adjustments or credits made in the normal course of business to amounts reported as expenditures in prior years. KM has electednot to use the 10% de minimis indirect cost rate allowed under the Uniform Guidance.</t>
  </si>
  <si>
    <t>The federal loan program listed subsequently is administered directly by KM, and balances and transactions relating to this program are included in KMs financial statements. The loan outstanding at the beginning of the year and loans made during the year, if any, are included in the federal expenditures presented in the Schedule. The balance of the loan outstanding at March 31, 2020, consists of: MORTGAGE INSURANCE_NURSING HOMES, INTERMEDIATE CARE FACILITIES, BOARD AND CARE HOMES AND ASSISTED LIVING FACILITIES (14.129) - Balances outstanding at the end of the audit period were 10134739.</t>
  </si>
  <si>
    <t>22-4782391</t>
  </si>
  <si>
    <t>RESHAPE LIFESCIENCES, INC.</t>
  </si>
  <si>
    <t>9S74BS845945-43</t>
  </si>
  <si>
    <t>HEALTHY OAKLAND TEENS: PROMOTING
ADOLESCENT SEXUAL HEALTH IN FULL SERVICE COMMUNITY SCHOOLS</t>
  </si>
  <si>
    <t>1. The accompanying schedule of expenditures of federal awards (the Schedule) includes the federal award activity of Front Porch Communities and Services - Claremont Manor, LLC(CM)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CM, it is not intended to and does not present the financial position, changes in operations (net assets) or cash flows of CM. 2. Expenditures reported on the Schedule are reported on the accrual basis of accounting. Such expenditures are recognized following the cost principles contained in Uniform Guidance, wherein certain types of expenditures are not allowable or are limited as to reimbursement. Negative amounts, if any, shown on the Schedule represent adjustments or credits made in the normal course of business to amounts reported as expenditures in prior years. CM has elected not to use the 10% de minimis indirect cost rate allowed under the Uniform Guidance.</t>
  </si>
  <si>
    <t>The federal loan program listed subsequently is administered directly by CM, and balances and transactions relating to this program are included in CMs financial statements. The loan outstanding at the beginning of the year and loans made during the year, if any, are included in the federal expenditures presented in the Schedule. The balance of the loan outstanding at March 31, 2020, consists of: MORTGAGE INSURANCE_NURSING HOMES, INTERMEDIATE CARE FACILITIES, BOARD AND CARE HOMES AND ASSISTED LIVING FACILITIES (14.129) - Balances outstanding at the end of the audit period were 36284644.</t>
  </si>
  <si>
    <t>22-4782392</t>
  </si>
  <si>
    <t>RESODYN CORPORATION</t>
  </si>
  <si>
    <t>8T72FT841863-78</t>
  </si>
  <si>
    <t>ENHANCING HIV PREVENTION COMMUNICATION AND MOBILIZATION EFFORTS THROUGH
STRATEGIC PARTNERSHIPS</t>
  </si>
  <si>
    <t>1. The accompanying schedule of expenditures of federal awards (the Schedule) includes the federal award activity of Front Porch Communities and ServicesCasa de Ma±ana, LLC(CDM) under programs of the federal government for the year ended March 31, 2020. The information in this schedule is presented in accordance with the requirements of Title 2 U.S. Code of Federal Regulations Part 200, Uniform Administrative Requirements, Cost Principles,and Audit Requirements for Federal Awards (Uniform Guidance). Because the Schedule presents only a selected portion of the operations of CDM, it is not intended to and does not present the financial position, changes in operations (net assets) or cash flows of CDM. 2. Expenditures reported on the Schedule are reported on the accrual basis of accounting. Such expenditures are recognized following the cost principles contained in the Uniform Guidance,wherein certain types of expenditures are not allowable or are limited as to reimbursement. Negative amounts, if any, shown on the Schedule represent adjustments or credits made in the normal course of business to amounts reported as expenditures in prior years. CDM has elected not to use the 10% de minimis indirect cost rate allowed under the Uniform Guidance.</t>
  </si>
  <si>
    <t>The federal loan program listed subsequently is administered directly by CDM, and balances and transactions relating to this program are included in CDMs financial statements. The loan outstanding at the beginning of the year and loans made during the year, if any, are included in the federal expenditures presented in the Schedule. The balance of the loan outstanding at March 31, 2020, consists of: MORTGAGE INSURANCE_NURSING HOMES, INTERMEDIATE CARE FACILITIES, BOARD AND CARE HOMES AND ASSISTED LIVING FACILITIES (14.129) - Balances outstanding at the end of the audit period were 25943315.</t>
  </si>
  <si>
    <t>22-4782393</t>
  </si>
  <si>
    <t>RESOURCEPATH, LLC</t>
  </si>
  <si>
    <t>2T85HT843856-89</t>
  </si>
  <si>
    <t>CAPACITY BUILDING ASSISTANCE (CBA) FOR HIGH IMPACT HIV PREVENTION; INTEGRATED HIV ACTIVITIES AND STRUCTURAL INTERVENTIONS;
COMPONENT 2, TRACK C: WESTERN GEOGRAPHIC REGION</t>
  </si>
  <si>
    <t>The accompanying schedule of expenditures of federal awards includes the federal grant activity of the Corporation and is presented on the same basis of accounting as the financial statements. The information in this schedule is presented in accordance with the requirements of Title 2 US Code of Federal Regulations Part 200, Uniform Administrative Requirements, Cost Principles, and Audit Requirements for Federal Awards (the "Uniform Guidance"). Therefore, some amounts presented in this schedule may differ from amounts presented or used in the preparation of the financial statements.</t>
  </si>
  <si>
    <t>There are no indirect costs allocated to the Corporation</t>
  </si>
  <si>
    <t>22-4782394</t>
  </si>
  <si>
    <t>RESPIRA THERAPEUTICS, INC.</t>
  </si>
  <si>
    <t>9T27CT844460-51</t>
  </si>
  <si>
    <t>NOTE A - BASIS OF PRESENTATIONThe accompanying schedule of expenditures of federal awards includes the federal award activity of SNHSElderly Housing XI, Inc., HUD Project No. 024-EE138, and is presented on the accrual basis of accounting.The information in this schedule is presented in accordance with the requirements of Title 2 U.S. Code ofFederal Regulations Part 200, Uniform Administrative Requirements, Cost Principles, and AuditRequirements for Federal Awards (Uniform Guidance). Because the Schedule presents only a selectedportion of the operations of SNHS Elderly Housing XI, Inc., it is not intended to and does not present thefinancial position, changes in net deficit, or cash flows from SNHS Elderly Housing XI, Inc.</t>
  </si>
  <si>
    <t>NOTE B - SUMMARY OF SIGNIFICANT ACCOUNTING POLICIESExpenditures are recognized following the cost principles contained in Uniform Guidance, wherein certaintypes of expenditures are not allowable or are limited as to reimbursement. SNHS Elderly Housing XI, Inc.,has elected not to use the 10 percent de minimis indirect cost rate as allowed under the Uniform Guidance.</t>
  </si>
  <si>
    <t>SUPPORTIVE HOUSING FOR THE ELDERLY (14.157) - Balances outstanding at the end of the audit period were 3231300.</t>
  </si>
  <si>
    <t>22-4782395</t>
  </si>
  <si>
    <t>RESTFUL JAW COMPANY, LLC</t>
  </si>
  <si>
    <t>4T98GT844334-20</t>
  </si>
  <si>
    <t>The accompanying schedule of expenditures of federal awards (the schedule) includes the federal award activity of Goose II Housing Development Fund Company, Inc., HUD Project No. 014-EE278 (the Corporation), under programs of the federal government for the year ended March 31, 2020 and has been prepared in accordance with accounting principles generally accepted in the United States of America.The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the Corporation, it is not intended to and does not present the financial position, changes in net assets or cash flows of the Corporation.</t>
  </si>
  <si>
    <t>The Corporation has received Section 202 capital advances from the U.S. Department of Housing and Urban Developments Supportive Housing for the Elderly program (CFDA No. 14.157).Under the terms of the capital advance agreement, the Corporation must continue to operate the project for the specified purpose for a period of forty years.Failure to operate the project in accordance with the capital advance agreement would result in the Corporation being required to repay HUD the entire capital advance, plus interest, since the date of the first advance.The Corporation has also received funding from the Home Investment Partnerships Program (CFDA No. 14.239).Under the terms of the agreement, the Corporation must continue to operate the project for the specified purpose. Failure to operate the project in accordance with the agreement would result in the Corporation being required to repay the entire amount of the funding, plus interest.</t>
  </si>
  <si>
    <t>22-4782396</t>
  </si>
  <si>
    <t>RESTORBIO, INC.</t>
  </si>
  <si>
    <t>3T65AT844334-74</t>
  </si>
  <si>
    <t>CALIFORNIA STD/HIV PREVENTION TRAINING CENTER</t>
  </si>
  <si>
    <t>Basis of Presentation: The accompanying schedule of expenditures of federal awards (the schedule) includes the federal award activity of Rockbridge Area Health Center, Inc. under programs of the federal government for the year ended January 31, 2020.The information in this schedule is presented in accordance with the requirements of Title 2 U.S. Code of Federal Regulations Part 200, Uniform Administrative Requirements, Cost Principles, and Audit Requirements for Federal Awards (Uniform Guidance).Because the schedule presents only a selected portion of the operations of Rockbridge Area Health Center, Inc., it is not intended and does not present the financial position, changes in net assets, or cash flows of Rockbridge Area Health Center, Inc. Summary of Significant Accounting Policies:(1) Expenditures reported on the schedule are reported on the accrual basis of accounting.Such expenditures are recognized following the cost principles contained in the Uniform Guidance, wherein certain types of expenditures are not allowable or are limited as to reimbursement.(2) Pass-through entity identifying numbers are presented where available.Relationship to the Financial Statements:Total expenditure amounts reported in the accompanying schedule of expenditures of federal awards agree with the total expenditure amounts reported in the related federal financial reports in all material respects. The Organization has elected not to use the 10-percent de minimis indirect cost rate allowed under the Uniform Guidance. The Organization did not have any subrecipients for the year ended January 31, 2020.</t>
  </si>
  <si>
    <t>22-4782397</t>
  </si>
  <si>
    <t>RETHAM TECHNOLOGIES, LLC</t>
  </si>
  <si>
    <t>3S86BS845607-77</t>
  </si>
  <si>
    <t>NATIONAL NETWORK OF SEXUALLY TRANSMITTED DISEASES CLINICAL PREVENTION TRAINING CENTER</t>
  </si>
  <si>
    <t>SUPPORTIVE HOUSING FOR THE ELDERLY (14.157) - Balances outstanding at the end of the audit period were 1582000.</t>
  </si>
  <si>
    <t>The accompanying schedule of expenditures of federal awards includes the federal award activity of Desoto Senior Housing Group, HUD Project No. 124-EE032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of Federal Awards (Uniform Guidance).Because the Schedule presents only a selected portion of the operations of Desoto Senior Housing Group, it is not intended to and does not present the financial position, change in net assets, or cash flows of Desoto Senior Housing Group.</t>
  </si>
  <si>
    <t>22-4782398</t>
  </si>
  <si>
    <t>RETINA FOUNDATION OF THE SOUTHWEST</t>
  </si>
  <si>
    <t>7T57CT844112-55</t>
  </si>
  <si>
    <t>SAN DIEGO TUBERCULOSIS PREVENTION, CONTROL, TRAINING AND LABORATORY SERVICES</t>
  </si>
  <si>
    <t>Note 1.Basis of Presentation: The accompanying schedule of expenditures of federal awards (the Schedule) includes the federal award activity of Brandon Lumsden Road SNF, LLC under programs of the federal government for the year ended March 31, 2020. 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the Organization, it is not intended to and does not present the financial position, changes in net assets, or cash flows of the Organization. Note 2.Summary of Significant Accounting Policies: The amount reported on the Schedule is reported on the accrual basis of accounting and is the HUD-insured mortgage loan balance outstanding as of April 1, 2019. The Organization has not yet elected to use the 10 percent de minimis indirect cost rate as allowed under Uniform Guidance.</t>
  </si>
  <si>
    <t>As of March 31, 2020, Brandon Lumsden Road SNF, LLC had a HUD-insured mortgage loan balance outstanding of $12,379,803.</t>
  </si>
  <si>
    <t>There was no noncash federal assistance received by Brandon Lumsden Road SNF, LLC during the year.</t>
  </si>
  <si>
    <t>22-4782399</t>
  </si>
  <si>
    <t>RETINAL CARE, INC.</t>
  </si>
  <si>
    <t>7S28IS845468-54</t>
  </si>
  <si>
    <t>CONDUCT SCHOOL-BASED SURVEILLANCE VIA COMPONENT 1 AND PROVIDE SCHOOL-BASED HIV/STD PREVENTION VIA COMPONENT 2, WHICH INCLUDES SUPPORTS FOR STUDENTS, DISTRICT STAFF, AND PARENTS.</t>
  </si>
  <si>
    <t>1. The accompanying schedule of expenditures of federal awards (the Schedule) includes the federal award activity of Front Porch Communities and ServicesFredericka Manor, LLC(FM) under programs of the federal government for the year ended March 31, 2020. The information in this schedule is presented in accordance with the requirements of Title 2 U.S.Code of Federal Regulations Part 200, Uniform Administrative Requirements, Cost Principles, and Audit Requirements for Federal Awards (Uniform Guidance). Because the Schedule presents only a selected portion of the operations of FM, it is not intended to and does not present the financial position, changes in operations (net assets) or cash flows of FM. 2. Expenditures reported on the Schedule are reported on the accrual basis of accounting. Such expenditures are recognized following the cost principles contained in the Uniform Guidance,wherein certain types of expenditures are not allowable or are limited as to reimbursement. Negative amounts, if any, shown on the Schedule represent adjustments or credits made in the normal course of business to amounts reported as expenditures in prior years. FM has elected not to use the 10% de minimis indirect cost rate allowed under the Uniform Guidance.</t>
  </si>
  <si>
    <t>The federal loan program listed subsequently is administered directly by FM, and balances and transactions relating to this program are included in FMs financial statements. The loan outstanding at the beginning of the year and loans made during the year, if any, are included in the federal expenditures presented in the Schedule. The balance of the loan outstanding at March 31, 2020, consists of: MORTGAGE INSURANCE_NURSING HOMES, INTERMEDIATE CARE FACILITIES, BOARD AND CARE HOMES AND ASSISTED LIVING FACILITIES (14.129) - Balances outstanding at the end of the audit period were 30185829.</t>
  </si>
  <si>
    <t>22-4782400</t>
  </si>
  <si>
    <t>RETINAL SOLUTIONS LLC</t>
  </si>
  <si>
    <t>5R86IR843753-85</t>
  </si>
  <si>
    <t>SUPPORTIVE HOUSING FOR THE ELDERLY - BALANCE OF CAPITAL ADVANCE AS OF APRIL 1, 2019, UNDER SECTION 202 OF THE HOUSING ACT OF 1959 (14.157) - Balances outstanding at the end of the audit period were 1250300.</t>
  </si>
  <si>
    <t>22-4782401</t>
  </si>
  <si>
    <t>REVEAL BIOSCIENCES, INC.</t>
  </si>
  <si>
    <t>9R64AR840156-31</t>
  </si>
  <si>
    <t>PROJECT WATCH: COMPREHENSIVE CAPACITY BUILDING ASSISTANCE (CBA) FOR CDC-FUNDED
HIV PREVENTION PROVIDERS IN THE WESTERN US, THROUGH COMPONENT 1, TRACK B</t>
  </si>
  <si>
    <t>NOTE 1SIGNIFICANT ACCOUNTING POLICIESBasis of presentationThe schedules of expenditures of federal and state awards (the schedules) are prepared on the accrual basis of accounting.The information in these schedules is presented in accordance with the requirements of Title 2 U. S. Code of Federal Regulations (CFR) Part 200, Uniform Administrative Requirements, Cost Principles, and Audit Requirements for Federal Awards (Uniform Guidance) and the State of Texas Single Audit Circular.Federal and state expenses include allowable expenses funded by federal and state grants.Allowable costs are subject to the cost principles of the Uniform Guidance and the State of Texas Uniform Grant Management Standards, and include both costs that are capitalized and costs that are recognized as expenses in the Assessment Centers financial statements in conformity with generally accepted accounting principles.The Assessment Center has elected to use the 10% de minimis cost rate for indirect costs and has no subrecipients.Government grant revenue is recognized at fair value when an unconditional commitment is received as restricted support.Because the schedules present only a selected portion of the operations of the Assessment Center, they are not intended to and do not present the financial position, changes in net assets, or cash flows of the Assessment Center.</t>
  </si>
  <si>
    <t>22-4782402</t>
  </si>
  <si>
    <t>REVEAL PHARMA</t>
  </si>
  <si>
    <t>7R45ER844415-79</t>
  </si>
  <si>
    <t>MEDICAL MONITORING PROJECT (MMP)</t>
  </si>
  <si>
    <t>Basis of Presentation The accompanying schedule of expenditures of federal awards includes the federal grant activity of Gramercy Park Cooperative of Duluth and is presented on the accrual basis of accounting.The information in this schedule is presented in accordance with the requirements of Title 2 U.S. Code of Federal Regulations Part 200, Uniform Administrative Requirements, Cost Principles, and Audit Requirements for Federal Awards (Uniform Guidance). Because the Schedule presents only a selected portion of the operations of Gramercy Park Cooperative of Duluth, it is not intended to and does not present the financial positions, changes in net assets (deficit), or cash flows of Gramercy Park Cooperative of Duluth.Summary of Significant Accounting PoliciesExpenditures reported on the Schedule are reported on the accrual basis of accounting. Such expenditures are recognized following the cost principles contained in the Uniform Guidance, wherein certain type of expenditures are not allowable or are limited as to reimbursement. Gramercy Park Cooperative of Duluth has elected not to use the 10 percent de minimis indirect cost rate allowed under the Uniform Guidance. U. S. Department of Housing and Urban Development Loan ProgramGramercy Park Cooperative of Duluth has received a U. S. Department of Housing and Urban Development loan under Section 213 of the National Housing Act. The loan balance outstanding at the beginning of the year is included in the federal expenditures presented in the Schedule. Gramercy Park Cooperative of Duluth received no additional loans during the year. The balance of the loan outstanding at February 29, 2020 and February 28, 2019 was $5,527,288 and $5,613,656, respectively.</t>
  </si>
  <si>
    <t>MORTGAGE INSURANCE_COOPERATIVE PROJECTS (14.126) - Balances outstanding at the end of the audit period were 5527288.</t>
  </si>
  <si>
    <t>22-4782403</t>
  </si>
  <si>
    <t>2R45ER844515-79</t>
  </si>
  <si>
    <t>NATIONAL HIV BEHAVIORAL SURVEILLANCE (NHBS)- SAN FRANCISCO</t>
  </si>
  <si>
    <t>The accompanying schedule of expenditures of federal awards (the Schedule) includes the federal award activity of Clinica Family Health Services under programs of the federal government for the year ended January 31, 2020. The information in this Schedule is presented in accordance with the requirements of 2 CFR Part 200, Uniform Administrative Requirements, Cost Principles, and Audit Requirements for Federal Awards (Uniform Guidance). Because the Schedule presents only a selected portion of the operations of Clinica Family Health Services, it is not intended to and does not present the financial position, changes in net assets, or cash flows of Clinica Family Health Services.</t>
  </si>
  <si>
    <t>Summary of Significant Accounting Principals</t>
  </si>
  <si>
    <t>22-4782404</t>
  </si>
  <si>
    <t>2R45ER834515-83</t>
  </si>
  <si>
    <t>SAN FRANCISCO DEPT OF PUBLIC HEALTH HIGH IMPACT PREVENTION</t>
  </si>
  <si>
    <t>THE ACCOMPANYING SCHEDULE OF EXPENDITURES OF FEDERAL AWARDS INCLUDES THE FEDERAL GRANT ACTIVITY OF THE VILLAGE OF NORTH BRANCH AND IS PRESENTED ON THE ACCRUAL BASIS OF ACCOUNTING. THE INFORMATION IN THIS SCHEDULE IS PRESENTED IN ACCORDANCE WITH UNIFORM GUIDANCE. THEREFORE, SOME AMOUNTS PRESENTED IN THIS SCHEDULE MAY DIFFER FROM AMOUNTS PRESENTED IN, OR USED IN THE PREPARATION OF THE BASIC FINANCIAL STATEMENTS.</t>
  </si>
  <si>
    <t xml:space="preserve">2020-002 LACK OF CERTAIN WRITTEN POLICIES REQUIRED BY UNIFORM GUIDANCE CRITERIA: UNIFORM GUIDANCE OF THE FEDERAL OMB REQUIRES NONFEDERAL ENTITIES TO HAVE WRITTEN POLICIES RELATED TO ALLOWABLE COSTS, CONFLICT OF INTEREST AND PROCUREMENT. CONDITIONS: THE VILLAGE DID NOT HAVE THE WRITTEN POLICIES. CAUSE: THE VILLAGE WAS NOT AWARE OF THE REQUIREMENT. EFFECT: THE LACK OF WRITTEN POLICIES COULD RESULT IN COSTS OR TRANSACTIONS THAT WOULD BE NONALLOWABLE FOR A FEDERAL PROGRAM. RECOMMENDATION: THE VILLAGE COUNCIL SHOULD, AS SOON AS POSSIBLE, ADOPT WRITTEN POLICIES, AS REQUIRED BY UNIFORM GUIDANCE, FOR ALLOWABLE COSTS, CONFLICT OF INTEREST AND PROCUREMENT. VIEW OF RESPONSIBLE OFFICIALS: THE VILLAGE DOES NOT BELIEVE THAT THERE WERE ANY ACTUAL NONALLOWABLE COSTS OR TRANSACTIONS BECAUSE OF THE LACK OF WRITTEN POLICIES AS REQUIRED BY UNIFORM GUIDANCE. HOWEVER, CORRECTIVE ACTION WILL BE DONE WHEREBY THE WRITTEN POLICIES WILL BE PREPARED AND ADOPTED FOR THE FUTURE. </t>
  </si>
  <si>
    <t>VILLAGE OF NORTH BRANCH, CORRECTIVE ACTION PLAN, FEBRUARY 29, 2020.PLANNED CORRECTIVE ACTION: WRITTEN POLICIES WILL BE PREPARED IN ACCORDANCE WITH UNIFORM GUIDANCE FOR ALLOWABLE COSTS, CONFLICT OF INTEREST AND PROCUREMENT. THESE WRITTEN POLICIES WILL BE ADOPTED BY THE VILLAGE COUNCIL.ANTICIPATED COMPLETION DATE:JULY 31, 2020. RESPONSIBLE CONTACT PERSON: BETTY KENNEDY, VILLAGE CLERK.   It is observed that management is NOT adhering to Federal statutes, regulations.</t>
  </si>
  <si>
    <t>22-4786104</t>
  </si>
  <si>
    <t>06167431</t>
  </si>
  <si>
    <t>University of California</t>
  </si>
  <si>
    <t>2R45ER839315-42</t>
  </si>
  <si>
    <t>CDC CENTERS FOR DISEASE CONTROL AND PREVENTION</t>
  </si>
  <si>
    <t xml:space="preserve">We selected 100 students across four campuses who received Title IV assistance but then dropped
out, withdrew or never began attendance to test the University’s conformity with the compliance
requirements around the return of Title IV funds. Through our testing, we noted the following:
• We identified 5 students whose return to the Department of Education (“ED”) was not
completed timely. These selections ranged from 1 to 27 days late.
• We identified 1 student in which the calculation of the refund was inaccurate causing the ED
to be underfunded by $149.
• We identified 1 student whose funds were not returned correctly causing the ED to be
underfunded by $9.
Questioned Cost: $158
Cause:
Financial Aid advisors perform the return of Title IV calculations. As the calculations are done
manually, both errors to the refund amounts were clerical errors, resulting from lack of secondary
review.
Effect:
The receipt of inaccurately calculated or late Title IV refunds can impact the ED’s ability to
completely and accurately manage federal student financial assistance funds.
</t>
  </si>
  <si>
    <t>2019-001: IT General Controls for Retirement System (Significant Deficiency)
Criteria
As part of our audit, we are required to obtain an understanding of internal controls relevant to the
audit, which includes the end to end process around key financial reporting cycles and evidence
the implementation of relevant controls and the related IT dependencies. (AU-C section 315)
Condition
In March 2019, a new retirement system was implemented that replaced the legacy system. The
University outsources to a third-party vendor the following IT responsibilities over the new
retirement system:
• Provisioning/revoking database level access including database administrator privileged
access;
• Developing changes, testing changes and migrating changes into production as well as
ensuring separation of duties between developers and migrators, and
• Restricting access to the job scheduler used to run the new retirement system jobs.
Management identified that the vendor does not have an AICPA Systems &amp; Organization Controls
report over the design and operating effectiveness of internal controls (SOC 1 Type 2 report). The
vendor also does not have any formalized/written policies and procedures related to the
aforementioned IT controls. The result is the absence of key IT controls in Change Management,
Access to Programs &amp; Data, and Computer Operations at the University.
This system is a consolidated system encompassing all components of the University of California,
except for Benioff Children’s Hospital of Oakland.
Cause
While the University has in place processes over those IT activities within its control, the
University relies on the outsourced vendor for the aforementioned execution of key IT general
controls, and did not do any monitoring of the controls. They did not realize additional monitoring
was required given the nature of the relationship, including inquiring about the availability of a
SOC1.
Effect
The absence of key IT controls over the making and migrating changes, granting/revoking
database level access, and restricting access to the job scheduler results in no IT controls over on
the ongoing validity, completeness, or accuracy of the data processed in the retirement system or
in the reports generated from the retirement system.
Recommendation
The University should undertake actions to have the aforementioned missing IT general controls
related to the retirement system designed and implemented during the 2020 fiscal year.
Management’s Views and Corrective Action Plan
Management’s response is reported in “Management’s Views and Corrective Action Plan” included
at the end of this report.</t>
  </si>
  <si>
    <t>Secondary Review</t>
  </si>
  <si>
    <t>We recommend management implement policies and procedures that require a secondary review
of Title IV refund calculations to ensure they are complete and accurate. In addition, we
recommend management provide further training to the financial aid advisors completing the
calculations and reemphasize the importance of completing the returns both accurately and timely.</t>
  </si>
  <si>
    <t>Refund calculation</t>
  </si>
  <si>
    <t>Correcting refund annomolies</t>
  </si>
  <si>
    <t>The University was aware of these issues and brought them to the attention of the external auditors.
Additionally, activities to correct the finding above are already underway. Access to the system is
approved by the University, and changes to the system follow the software development life cycle
with involvement and approvals by the University before a change is made to the production system.
The vendor has agreed to obtain a SOC 1 Type 2 report during the current fiscal year. As a
compensating control for the period outside of the SOC 1 Type 2 report period, UC will perform
periodic access reviews and periodic release reviews. These periodic reviews will include checking
changes made by users having production write access for data fixes and for code changes to verify
that the changes released to production were approved by University. The corrective action is
underway and is expected to be completed by the end of fiscal year 2021. For inquiries regarding this
finding, please contact Cheryl Lloyd at (510) 987-9289 who is responsible for the corrective actions.</t>
  </si>
  <si>
    <t>Risk Percentage</t>
  </si>
  <si>
    <t>Logic 1</t>
  </si>
  <si>
    <t>Logic 2</t>
  </si>
  <si>
    <t>Logic 3</t>
  </si>
  <si>
    <t>Logic 4</t>
  </si>
  <si>
    <t>Logic 5</t>
  </si>
  <si>
    <t>Logic 6</t>
  </si>
  <si>
    <t>Logic 7</t>
  </si>
  <si>
    <t>Logic 8</t>
  </si>
  <si>
    <t>Logic 9</t>
  </si>
  <si>
    <t>Logic 10</t>
  </si>
  <si>
    <t>Logic 11</t>
  </si>
  <si>
    <t>Logic 12</t>
  </si>
  <si>
    <t>Logic 13</t>
  </si>
  <si>
    <t>Logic 14</t>
  </si>
  <si>
    <t>Logic 15</t>
  </si>
  <si>
    <t>Logic 16</t>
  </si>
  <si>
    <t>Logic 17</t>
  </si>
  <si>
    <t>Logic 18</t>
  </si>
  <si>
    <t>&lt; 10%</t>
  </si>
  <si>
    <t xml:space="preserve">Non major Programs (&lt;750,000)
</t>
  </si>
  <si>
    <r>
      <rPr>
        <sz val="11"/>
        <color rgb="FFFF0000"/>
        <rFont val="Calibri"/>
        <family val="2"/>
        <scheme val="minor"/>
      </rPr>
      <t>and</t>
    </r>
    <r>
      <rPr>
        <sz val="11"/>
        <color theme="1"/>
        <rFont val="Calibri"/>
        <family val="2"/>
        <scheme val="minor"/>
      </rPr>
      <t xml:space="preserve"> Not passthrough</t>
    </r>
  </si>
  <si>
    <t>Find out if type A or B if
A &gt;750,000 in year for grantee
B &gt;20,000,000 in year for grantee</t>
  </si>
  <si>
    <t xml:space="preserve">Type A </t>
  </si>
  <si>
    <t xml:space="preserve">and audited as a major program at least once in the past two years </t>
  </si>
  <si>
    <t>and must not have had Material weaknesses in internal control - last 2 years</t>
  </si>
  <si>
    <t>and must not have had  modified opinion in the audit report  - last 2 years</t>
  </si>
  <si>
    <t>and must not have had A modified opinion in the audit report  - last 2 years</t>
  </si>
  <si>
    <t>and must not have Known or likely questioned costs exceeding 5% of total federal award expenditures  - last 2 years</t>
  </si>
  <si>
    <t>Does entity disburses funds through third party contracts?</t>
  </si>
  <si>
    <t>Type A</t>
  </si>
  <si>
    <t>and not a sub recipient</t>
  </si>
  <si>
    <t>and Other non compliance is there</t>
  </si>
  <si>
    <t>and must not have had Material weaknesses in internal control</t>
  </si>
  <si>
    <t>and must not have had modified opinion in the audit report</t>
  </si>
  <si>
    <t>and must not have Known or likely questioned costs exceeding 5% of total federal award expenditures</t>
  </si>
  <si>
    <t>and must not have had significant deficiencies in the audit report</t>
  </si>
  <si>
    <t>Type of Audit Compliance Requirements is A or B or C or D</t>
  </si>
  <si>
    <t>and  one subrecipient has &gt;50% of grant</t>
  </si>
  <si>
    <t>or Type A and the reporting is year falls in the first year of Grant Period</t>
  </si>
  <si>
    <t>or Type A and the reporting is year falls in the last year of Grant Period</t>
  </si>
  <si>
    <t>or Multiple sub-recipients</t>
  </si>
  <si>
    <t>or Multiple grantors</t>
  </si>
  <si>
    <t>Is delay expected in corrective action plan?</t>
  </si>
  <si>
    <t xml:space="preserve"> Are multiple internal control structures present?</t>
  </si>
  <si>
    <t>Are there balances outstanding at the end of the audit period?</t>
  </si>
  <si>
    <t>Type B</t>
  </si>
  <si>
    <t>Entity disburses funds through third party contracts</t>
  </si>
  <si>
    <t>or Type A payroll cost are &gt;50%</t>
  </si>
  <si>
    <t>Doesn't agree to findings and its Significant or QC</t>
  </si>
  <si>
    <t>IS there any reimbursements pending?</t>
  </si>
  <si>
    <t>Has the Corporation made the total required reserve for replacement deposits?</t>
  </si>
  <si>
    <t>Has the grantee used the de minimis cost rate?</t>
  </si>
  <si>
    <t>Subrecipient non compliance without material weakness or significant deficiencies</t>
  </si>
  <si>
    <t>or Own funds &lt; 50%</t>
  </si>
  <si>
    <t>The system for monitoring subrecipients is weak?</t>
  </si>
  <si>
    <t>Is there any noncompliance information present in the findings?</t>
  </si>
  <si>
    <t>Are there any not allowable expenditures?</t>
  </si>
  <si>
    <t>Own funds of subrecipient &lt; 50%</t>
  </si>
  <si>
    <t>or Is the competence and experience of personnel who administer the Federal programs low?</t>
  </si>
  <si>
    <t>Does amounts presented in this schedule differ from amounts presented in, or used in the preparation of, the financial statements?</t>
  </si>
  <si>
    <t>Are expenditure presented partially?</t>
  </si>
  <si>
    <t>Does subrecipient has significant deficiencies?</t>
  </si>
  <si>
    <t>Payroll cost of subrecpient &gt; 50%</t>
  </si>
  <si>
    <t>and own funds &lt; 50% of total of (own + grant)</t>
  </si>
  <si>
    <t>Corrective action plan not completed</t>
  </si>
  <si>
    <t>and due date has passed</t>
  </si>
  <si>
    <t>or IS management NOT adhering to Federal statutes, regulations, and the terms and conditions of Federal awards?</t>
  </si>
  <si>
    <t>IS there a significant impact on a Federal program?</t>
  </si>
  <si>
    <t>Is there incorrect data for patient revenue present?</t>
  </si>
  <si>
    <t xml:space="preserve"> Has the grantee not provided federal awards to subrecipients?</t>
  </si>
  <si>
    <t>Are charges and payments  understated?</t>
  </si>
  <si>
    <t>Is there sign of accounting weakness?</t>
  </si>
  <si>
    <t xml:space="preserve">or Repeat
</t>
  </si>
  <si>
    <t xml:space="preserve">or Material
</t>
  </si>
  <si>
    <t xml:space="preserve">or QC
</t>
  </si>
  <si>
    <t>orSignificant Deficiancy</t>
  </si>
  <si>
    <t>or Adverse opinion</t>
  </si>
  <si>
    <t>Two of the above in grey color</t>
  </si>
  <si>
    <t xml:space="preserve">Repeat
</t>
  </si>
  <si>
    <t xml:space="preserve">Material
</t>
  </si>
  <si>
    <t xml:space="preserve">QC
</t>
  </si>
  <si>
    <t>Significant Deficiancy</t>
  </si>
  <si>
    <t>Adverse opinion</t>
  </si>
  <si>
    <t>Two of the above</t>
  </si>
  <si>
    <t>S.No.</t>
  </si>
  <si>
    <t>Question</t>
  </si>
  <si>
    <t>Applied on Field 1</t>
  </si>
  <si>
    <t>Applied on Field 2</t>
  </si>
  <si>
    <t>Applied on Field 3</t>
  </si>
  <si>
    <t>Keyword 1</t>
  </si>
  <si>
    <t>Keyword 2</t>
  </si>
  <si>
    <t>Keyword 3</t>
  </si>
  <si>
    <t>Keyword 4</t>
  </si>
  <si>
    <t>Keyword 5</t>
  </si>
  <si>
    <t>Keyword 6</t>
  </si>
  <si>
    <t xml:space="preserve">disbursed funds </t>
  </si>
  <si>
    <t xml:space="preserve">third party </t>
  </si>
  <si>
    <t>contracts</t>
  </si>
  <si>
    <t>Is the competence and experience of personnel who administer the Federal programs low?</t>
  </si>
  <si>
    <t xml:space="preserve">competence  </t>
  </si>
  <si>
    <t>experience</t>
  </si>
  <si>
    <t>low</t>
  </si>
  <si>
    <t>Accounting</t>
  </si>
  <si>
    <t>doesn’t reflect</t>
  </si>
  <si>
    <t xml:space="preserve">maintenance practices </t>
  </si>
  <si>
    <t>Weak</t>
  </si>
  <si>
    <t>IS the system for monitoring subrecipients is weak?</t>
  </si>
  <si>
    <t>subrecipient</t>
  </si>
  <si>
    <t>not monitored</t>
  </si>
  <si>
    <t>properly</t>
  </si>
  <si>
    <t>Weakness</t>
  </si>
  <si>
    <t>IS management NOT adhering to Federal statutes, regulations, and the terms and conditions of Federal awards?</t>
  </si>
  <si>
    <t xml:space="preserve">NOT adhering </t>
  </si>
  <si>
    <t>Federal statutes, regulations.</t>
  </si>
  <si>
    <t xml:space="preserve">terms and conditions 
 </t>
  </si>
  <si>
    <t xml:space="preserve">of Federal awards
</t>
  </si>
  <si>
    <t>not in compliance</t>
  </si>
  <si>
    <t>Regulatory</t>
  </si>
  <si>
    <t>Impact</t>
  </si>
  <si>
    <t>Federal Program</t>
  </si>
  <si>
    <t>deficiencies</t>
  </si>
  <si>
    <t>delay</t>
  </si>
  <si>
    <t>expected</t>
  </si>
  <si>
    <t xml:space="preserve">Internal </t>
  </si>
  <si>
    <t>control</t>
  </si>
  <si>
    <t>multiple</t>
  </si>
  <si>
    <t>structure</t>
  </si>
  <si>
    <t xml:space="preserve">did not make </t>
  </si>
  <si>
    <t xml:space="preserve"> required reserve </t>
  </si>
  <si>
    <t>replacement deposits</t>
  </si>
  <si>
    <t>deficient</t>
  </si>
  <si>
    <t>amounts</t>
  </si>
  <si>
    <t>differ</t>
  </si>
  <si>
    <t>present</t>
  </si>
  <si>
    <t>financial statements</t>
  </si>
  <si>
    <t>noncompliance</t>
  </si>
  <si>
    <t>information</t>
  </si>
  <si>
    <t>finding</t>
  </si>
  <si>
    <t>patient revenue</t>
  </si>
  <si>
    <t>incorrect</t>
  </si>
  <si>
    <t>data</t>
  </si>
  <si>
    <t xml:space="preserve">should </t>
  </si>
  <si>
    <t>reimburse</t>
  </si>
  <si>
    <t>operating cash</t>
  </si>
  <si>
    <t>did not use</t>
  </si>
  <si>
    <t xml:space="preserve">de minimis cost </t>
  </si>
  <si>
    <t>rate</t>
  </si>
  <si>
    <t>not provide</t>
  </si>
  <si>
    <t>subrecipients</t>
  </si>
  <si>
    <t>federal awards</t>
  </si>
  <si>
    <t>Balances</t>
  </si>
  <si>
    <t>Outstanding</t>
  </si>
  <si>
    <t>end</t>
  </si>
  <si>
    <t>audit period</t>
  </si>
  <si>
    <t>Not allowable</t>
  </si>
  <si>
    <t>Expenditures</t>
  </si>
  <si>
    <t>Are charges and payments understated?</t>
  </si>
  <si>
    <t>understated</t>
  </si>
  <si>
    <t>Charges</t>
  </si>
  <si>
    <t>Payments</t>
  </si>
  <si>
    <t>expenditure</t>
  </si>
  <si>
    <t>partial</t>
  </si>
  <si>
    <t>Intervention Level</t>
  </si>
  <si>
    <t>Action recommended</t>
  </si>
  <si>
    <t>Condition 1</t>
  </si>
  <si>
    <t>Condition 2</t>
  </si>
  <si>
    <t>Condition 3</t>
  </si>
  <si>
    <t>Condition 4</t>
  </si>
  <si>
    <t>Condition 5</t>
  </si>
  <si>
    <t>Condition 6</t>
  </si>
  <si>
    <t>Call out the risk</t>
  </si>
  <si>
    <t>If material weakness and has multiple grantors other grantors to be notified</t>
  </si>
  <si>
    <t>On pass-through risk - Ask for communication summary with subrecipient, subrecipient budget Vs Expenditure, instruct providing subrecipients with training and technical assistance on program-related matters</t>
  </si>
  <si>
    <t>On significant pass-through risk - Initiate grantee to conduct site visit and file report</t>
  </si>
  <si>
    <t>Ask for Audit Findings Resolution Supporting Documentation report if not filed, hold next disbursement.</t>
  </si>
  <si>
    <t>Is subrecipient there? Then 3</t>
  </si>
  <si>
    <t>If due date of compliance or compliances in compliance report has passed ask for explantion, hold next disbursement</t>
  </si>
  <si>
    <t>&gt;70%, withholding a percentage of Federal awards until the audit is completed satisfactorily</t>
  </si>
  <si>
    <t>Action taken pending beyond due date then 5</t>
  </si>
  <si>
    <t>Action taken pending beyond due date then 5, 6</t>
  </si>
  <si>
    <t>&gt; 80%, Suspending Federal awards until the audit is conducted</t>
  </si>
  <si>
    <t>&gt; 95% Terminating the Federal award.</t>
  </si>
  <si>
    <t xml:space="preserve">If multiple grantors and material weakness then 2 </t>
  </si>
  <si>
    <t>Is subrecipient there? Then 3, 4</t>
  </si>
  <si>
    <r>
      <rPr>
        <sz val="6"/>
        <rFont val="Arial"/>
        <family val="2"/>
      </rPr>
      <t xml:space="preserve">ATSDRS PROGRAM TO PROMOTE LOCALIZED EFFORTS TO REDUCE ENVIRONMENTAL
</t>
    </r>
    <r>
      <rPr>
        <sz val="6"/>
        <rFont val="Arial"/>
        <family val="2"/>
      </rPr>
      <t>EXPOSURE (APPLETREE)</t>
    </r>
  </si>
  <si>
    <t>QCS</t>
  </si>
  <si>
    <r>
      <rPr>
        <sz val="6"/>
        <rFont val="Arial"/>
        <family val="2"/>
      </rPr>
      <t>UCI PFAS HEALTH STUDY</t>
    </r>
  </si>
  <si>
    <r>
      <rPr>
        <sz val="6"/>
        <rFont val="Arial"/>
        <family val="2"/>
      </rPr>
      <t>CALIFORNIA CENTER OF BD-STEPS II FINDING CAUSES AND PREVENTIVES OF BIRTH DEFECTS</t>
    </r>
  </si>
  <si>
    <r>
      <rPr>
        <sz val="6"/>
        <rFont val="Arial"/>
        <family val="2"/>
      </rPr>
      <t>BEHAVIORAL RISK FACTOR SURVEILLANCE SYSTEM (BRFSS) FOR CALIFORNIA</t>
    </r>
  </si>
  <si>
    <r>
      <rPr>
        <sz val="6"/>
        <rFont val="Arial"/>
        <family val="2"/>
      </rPr>
      <t xml:space="preserve">ENHANCING PUBLIC HEALTH SURVEILLANCE OF AUTISM SPECTRUM DISORDER THROUGH THE AUTISM AND DEVELOPMENTAL DISABILITIES
</t>
    </r>
    <r>
      <rPr>
        <sz val="6"/>
        <rFont val="Arial"/>
        <family val="2"/>
      </rPr>
      <t>MONITORING (ADDM) IN SAN DIEGO COUNTY</t>
    </r>
  </si>
  <si>
    <r>
      <rPr>
        <sz val="6"/>
        <rFont val="Arial"/>
        <family val="2"/>
      </rPr>
      <t>CATEGORY B: PUBLIC HEALTH LAWYERS AND THEIR CLIENTS</t>
    </r>
  </si>
  <si>
    <r>
      <rPr>
        <sz val="6"/>
        <rFont val="Arial"/>
        <family val="2"/>
      </rPr>
      <t>COMPONENT B. NATIONAL SPINA BIFIDA PATIENT REGISTRY (NSBPR)</t>
    </r>
  </si>
  <si>
    <r>
      <rPr>
        <sz val="6"/>
        <rFont val="Arial"/>
        <family val="2"/>
      </rPr>
      <t xml:space="preserve">COMPONENT C. UROLOGIC MANAGEMENT TO PRESERVE INITIAL RENAL FUNCTION PROTOCOL
</t>
    </r>
    <r>
      <rPr>
        <sz val="6"/>
        <rFont val="Arial"/>
        <family val="2"/>
      </rPr>
      <t>FOR YOUNG CHILDREN WITH SPINA BIFIDA (UMPIRE PROTOCOL)</t>
    </r>
  </si>
  <si>
    <r>
      <rPr>
        <sz val="6"/>
        <rFont val="Arial"/>
        <family val="2"/>
      </rPr>
      <t>LOS ANGELES COUNTY EPIDEMIOLOGY AND LABORATORY CAPACITY COOPERATIVE AGREEMENT 2019</t>
    </r>
  </si>
  <si>
    <r>
      <rPr>
        <sz val="6"/>
        <rFont val="Arial"/>
        <family val="2"/>
      </rPr>
      <t>PHFE CDPH ELC 2019-2024</t>
    </r>
  </si>
  <si>
    <r>
      <rPr>
        <sz val="6"/>
        <rFont val="Arial"/>
        <family val="2"/>
      </rPr>
      <t>CHARACTERIZING THE COMPLICATIONS ASSOCIATED WITH THERAPEUTIC BLOOD TRANSFUSIONS FOR HEMOGLOBINOPATHIES</t>
    </r>
  </si>
  <si>
    <r>
      <rPr>
        <sz val="6"/>
        <rFont val="Arial"/>
        <family val="2"/>
      </rPr>
      <t xml:space="preserve">PACKAGING AND SPREADING THE STANFORD PEDIATRIC WEIGHT CONTROL PROGRAM - A FAMILY-BASED, GROUP, BEHAVIORAL WEIGHT
</t>
    </r>
    <r>
      <rPr>
        <sz val="6"/>
        <rFont val="Arial"/>
        <family val="2"/>
      </rPr>
      <t>CONTROL PROGRAM FOR CHILDREN WITH OBESITY AND THEIR FAMILIES</t>
    </r>
  </si>
  <si>
    <r>
      <rPr>
        <sz val="6"/>
        <rFont val="Arial"/>
        <family val="2"/>
      </rPr>
      <t>ASIAN AMERICANS, NATIVE HAWAIIANS AND PACIFIC ISLANDERS NETWORK TO REACH EQUITY IN TOBACCO CONTROL AND CANCER (ASPIRE) NETWORK</t>
    </r>
  </si>
  <si>
    <r>
      <rPr>
        <sz val="6"/>
        <rFont val="Arial"/>
        <family val="2"/>
      </rPr>
      <t>CALIFORNIA COLON CANCER CONTROL PROGRAM</t>
    </r>
  </si>
  <si>
    <r>
      <rPr>
        <sz val="6"/>
        <rFont val="Arial"/>
        <family val="2"/>
      </rPr>
      <t xml:space="preserve">CALIFORNIA COORDINATED CANCER PREVENTION &amp; CONTROL PROGRAM; CALIFORNIA COMPREHENSIVE CANCER CONTROL PROGRAM; CALIFORNIA BREAST AND CERVICAL CANCER
</t>
    </r>
    <r>
      <rPr>
        <sz val="6"/>
        <rFont val="Arial"/>
        <family val="2"/>
      </rPr>
      <t>EARLY DETECTION PROGRAM; CALIFORNIA CANCER REGISTRY</t>
    </r>
  </si>
  <si>
    <r>
      <rPr>
        <sz val="6"/>
        <rFont val="Arial"/>
        <family val="2"/>
      </rPr>
      <t>CALIFORNIA TRIBAL COMPREHENSIVE CANCER CONTROL PROGRAM (CTCCCP)</t>
    </r>
  </si>
  <si>
    <r>
      <rPr>
        <sz val="6"/>
        <rFont val="Arial"/>
        <family val="2"/>
      </rPr>
      <t>UCLA PUBLIC HEALTH SCHOLARS TRAINING PROGRAM</t>
    </r>
  </si>
  <si>
    <r>
      <rPr>
        <sz val="6"/>
        <rFont val="Arial"/>
        <family val="2"/>
      </rPr>
      <t xml:space="preserve">POPULATION-BASED DIABETES IN YOUTH REGISTRY. SEARCH FOR DIABETES IN YOUTH,
</t>
    </r>
    <r>
      <rPr>
        <sz val="6"/>
        <rFont val="Arial"/>
        <family val="2"/>
      </rPr>
      <t>PHASE 4, CALIFORNIA SITE</t>
    </r>
  </si>
  <si>
    <r>
      <rPr>
        <sz val="6"/>
        <rFont val="Arial"/>
        <family val="2"/>
      </rPr>
      <t>CHRONIC DISEASE PREVENTION &amp; MANAGEMENT STRATEGY: INNOVATIVE SOLUTIONS FOR HEALTHIER COMMUNITIES</t>
    </r>
  </si>
  <si>
    <r>
      <rPr>
        <sz val="6"/>
        <rFont val="Arial"/>
        <family val="2"/>
      </rPr>
      <t>A PARTNERED EVALUATION OF UHC MEDICAID PLAN INNOVATIONS FOR DIABETES PATIENTS</t>
    </r>
  </si>
  <si>
    <r>
      <rPr>
        <sz val="6"/>
        <rFont val="Arial"/>
        <family val="2"/>
      </rPr>
      <t>UCLA BASED CENTRAL COORDINATING CENTER FOR THE NATURAL EXPERIMENT RESEARCH NETWORK</t>
    </r>
  </si>
  <si>
    <r>
      <rPr>
        <sz val="6"/>
        <rFont val="Arial"/>
        <family val="2"/>
      </rPr>
      <t>SUPPORTING, MAINTAINING AND IMPROVING THE SURVEILLANCE SYSTEM FOR CHRONIC KIDNEY DISEASE IN THE UNITED STATES</t>
    </r>
  </si>
  <si>
    <r>
      <rPr>
        <sz val="6"/>
        <rFont val="Arial"/>
        <family val="2"/>
      </rPr>
      <t>STATE INNOVATION MODEL INITIATIVE IMPACTS ON DIABETES PREVENTION AND MANAGEMENT</t>
    </r>
  </si>
  <si>
    <r>
      <rPr>
        <sz val="6"/>
        <rFont val="Arial"/>
        <family val="2"/>
      </rPr>
      <t>PREVENTION AND SELF-MANAGEMENT OF HEART DISEASE, STROKE AND DIABETES</t>
    </r>
  </si>
  <si>
    <r>
      <rPr>
        <sz val="6"/>
        <rFont val="Arial"/>
        <family val="2"/>
      </rPr>
      <t>ADVANCING CALIFORNIA S OPPORTUNITIES TO RENEW NATIVE HEALTH SYSTEMS (ACORNS)</t>
    </r>
  </si>
  <si>
    <r>
      <rPr>
        <sz val="6"/>
        <rFont val="Arial"/>
        <family val="2"/>
      </rPr>
      <t>BUILDING CAPACITY TO REDUCE ENVIRONMENTAL EXPOSURES IN CONNECTICUT</t>
    </r>
  </si>
  <si>
    <r>
      <rPr>
        <sz val="6"/>
        <rFont val="Arial"/>
        <family val="2"/>
      </rPr>
      <t>ALCOHOL SCREENING IN PLANNED PARENTHOOD TO INCREASE RESILIENCY (ASPPIRE)</t>
    </r>
  </si>
  <si>
    <r>
      <rPr>
        <sz val="6"/>
        <rFont val="Arial"/>
        <family val="2"/>
      </rPr>
      <t>CONNECTICUT BEHAVIORAL RISK FACTOR SURVEILLANCE SYSTEM</t>
    </r>
  </si>
  <si>
    <r>
      <rPr>
        <sz val="6"/>
        <rFont val="Arial"/>
        <family val="2"/>
      </rPr>
      <t>CONNECTICUT COMPREHENSIVE CANCER PREVENTION AND CONTROL PROGRAM</t>
    </r>
  </si>
  <si>
    <r>
      <rPr>
        <sz val="6"/>
        <rFont val="Arial"/>
        <family val="2"/>
      </rPr>
      <t>CONNECTICUT WISEWOMAN PROGRAM</t>
    </r>
  </si>
  <si>
    <r>
      <rPr>
        <sz val="6"/>
        <rFont val="Arial"/>
        <family val="2"/>
      </rPr>
      <t xml:space="preserve">CONNECTICUT: IMPROVING THE HEALTH OF AMERICANS THROUGH PREVENTION AND MANAGEMENT OF DIABETES AND HEART DISEASE
</t>
    </r>
    <r>
      <rPr>
        <sz val="6"/>
        <rFont val="Arial"/>
        <family val="2"/>
      </rPr>
      <t>AND STROKE - CDC-RFA-DP18-1815</t>
    </r>
  </si>
  <si>
    <r>
      <rPr>
        <sz val="6"/>
        <rFont val="Arial"/>
        <family val="2"/>
      </rPr>
      <t xml:space="preserve">CONNECTICUT: IMPROVING THE HEALTH OF AMERICANS THROUGH PREVENTION AND
</t>
    </r>
    <r>
      <rPr>
        <sz val="6"/>
        <rFont val="Arial"/>
        <family val="2"/>
      </rPr>
      <t>MANAGEMENT OF DIABETES AND HEART DISEASE AND STROKE - CDC-RFA-DP18-1815</t>
    </r>
  </si>
  <si>
    <r>
      <rPr>
        <sz val="6"/>
        <rFont val="Arial"/>
        <family val="2"/>
      </rPr>
      <t>CONNECTICUT STATE PHYSICAL ACTIVITY AND NUTRITION PROGRAM</t>
    </r>
  </si>
  <si>
    <r>
      <rPr>
        <sz val="6"/>
        <rFont val="Arial"/>
        <family val="2"/>
      </rPr>
      <t>CONNECTICUT STATE ACTIONS TO IMPROVE ORAL HEALTH OUTCOMES</t>
    </r>
  </si>
  <si>
    <r>
      <rPr>
        <sz val="6"/>
        <rFont val="Arial"/>
        <family val="2"/>
      </rPr>
      <t xml:space="preserve">PREVENTION RESEARCH IN THE DIGITAL AGE: PUBLIC AND PRIVATE PARTNERSHIPS FOR
</t>
    </r>
    <r>
      <rPr>
        <sz val="6"/>
        <rFont val="Arial"/>
        <family val="2"/>
      </rPr>
      <t>SUSTAINABLE IMPACT AT SCALE</t>
    </r>
  </si>
  <si>
    <r>
      <rPr>
        <sz val="6"/>
        <rFont val="Arial"/>
        <family val="2"/>
      </rPr>
      <t>HARTFORD HEALTHY FAMILY INITIATIVE</t>
    </r>
  </si>
  <si>
    <r>
      <rPr>
        <sz val="6"/>
        <rFont val="Arial"/>
        <family val="2"/>
      </rPr>
      <t>REACH NEW HAVEN: ACCELERATING LOCAL ACTION TO TRANSFORM COMMUNITIES FOR HEALTH EQUITY</t>
    </r>
  </si>
  <si>
    <r>
      <rPr>
        <sz val="6"/>
        <rFont val="Arial"/>
        <family val="2"/>
      </rPr>
      <t xml:space="preserve">COMPONENT A (CORE SURVEILLANCE): CONNECTICUT PREGNANCY RISK ASSESSMENT
</t>
    </r>
    <r>
      <rPr>
        <sz val="6"/>
        <rFont val="Arial"/>
        <family val="2"/>
      </rPr>
      <t>MONITORING SYSTEM (PRAMS)</t>
    </r>
  </si>
  <si>
    <r>
      <rPr>
        <sz val="6"/>
        <rFont val="Arial"/>
        <family val="2"/>
      </rPr>
      <t xml:space="preserve">CONNECTICUT MATERNAL MORTALITY REVIEW PROGRAM TO REDUCE CONNECTICUT MATERNAL
</t>
    </r>
    <r>
      <rPr>
        <sz val="6"/>
        <rFont val="Arial"/>
        <family val="2"/>
      </rPr>
      <t>DEATHS</t>
    </r>
  </si>
  <si>
    <r>
      <rPr>
        <sz val="6"/>
        <rFont val="Arial"/>
        <family val="2"/>
      </rPr>
      <t>CONNECTICUT QUITLINE INFRASTRUCTURE EXPANSION</t>
    </r>
  </si>
  <si>
    <r>
      <rPr>
        <sz val="6"/>
        <rFont val="Arial"/>
        <family val="2"/>
      </rPr>
      <t>TOBACCO CONTROL PROGRAM</t>
    </r>
  </si>
  <si>
    <r>
      <rPr>
        <sz val="6"/>
        <rFont val="Arial"/>
        <family val="2"/>
      </rPr>
      <t xml:space="preserve">STATE OF CONNECTICUT DEPARTMENT OF PUBLIC HEALTH EPIDEMIOLOGY AND LABORATORY CAPACITY FOR PREVENTION AND
</t>
    </r>
    <r>
      <rPr>
        <sz val="6"/>
        <rFont val="Arial"/>
        <family val="2"/>
      </rPr>
      <t>CONTROL OF EMERGING INFECTIOUS DISEASES</t>
    </r>
  </si>
  <si>
    <r>
      <rPr>
        <sz val="6"/>
        <rFont val="Arial"/>
        <family val="2"/>
      </rPr>
      <t xml:space="preserve">STATE OF CONNECTICUT DEPARTMENT OF PUBLIC HEALTH EPIDEMIOLOGY AND
</t>
    </r>
    <r>
      <rPr>
        <sz val="6"/>
        <rFont val="Arial"/>
        <family val="2"/>
      </rPr>
      <t>LABORATORY CAPACITY FOR PREVENTION AND CONTROL OF EMERGING INFECTIOUS DISEASES</t>
    </r>
  </si>
  <si>
    <r>
      <rPr>
        <sz val="6"/>
        <rFont val="Arial"/>
        <family val="2"/>
      </rPr>
      <t>PREVENTIVE HEALTH AND HEALTH SERVICES BLOCK GRANT</t>
    </r>
  </si>
  <si>
    <r>
      <rPr>
        <sz val="6"/>
        <rFont val="Arial"/>
        <family val="2"/>
      </rPr>
      <t xml:space="preserve">NEW YORK STATE'S PROGRAM TO REDUCE ENVIRONMENTAL EXPOSURES AT TARGETED
</t>
    </r>
    <r>
      <rPr>
        <sz val="6"/>
        <rFont val="Arial"/>
        <family val="2"/>
      </rPr>
      <t>SITES</t>
    </r>
  </si>
  <si>
    <r>
      <rPr>
        <sz val="6"/>
        <rFont val="Arial"/>
        <family val="2"/>
      </rPr>
      <t>A HEALTH STUDY OF NEW YORK STATE COMMUNITIES EXPOSED TO PFAS CONTAMINATED DRINKING WATER</t>
    </r>
  </si>
  <si>
    <r>
      <rPr>
        <sz val="6"/>
        <rFont val="Arial"/>
        <family val="2"/>
      </rPr>
      <t>NEW YORK STATE COMPONENT A: BD-STEPS II CORE</t>
    </r>
  </si>
  <si>
    <r>
      <rPr>
        <sz val="6"/>
        <rFont val="Arial"/>
        <family val="2"/>
      </rPr>
      <t>SURVEILLANCE OF CONGENITAL HEART DEFECTS AMONG CHILDREN, ADOLESCENTS &amp; ADULTS</t>
    </r>
  </si>
  <si>
    <r>
      <rPr>
        <sz val="6"/>
        <rFont val="Arial"/>
        <family val="2"/>
      </rPr>
      <t xml:space="preserve">DOCUMENTATION AND USE OF FOLLOW-UP DIAGNOSTIC AND INTERVENTION SERVICES DATA THROUGH THE MAINTENANCE AND ENHANCEMENT OF THE NEW YORK EARLY
</t>
    </r>
    <r>
      <rPr>
        <sz val="6"/>
        <rFont val="Arial"/>
        <family val="2"/>
      </rPr>
      <t>HEARING DETECTION AND INTERVENTION INFORMATION SYSTEM</t>
    </r>
  </si>
  <si>
    <r>
      <rPr>
        <sz val="6"/>
        <rFont val="Arial"/>
        <family val="2"/>
      </rPr>
      <t xml:space="preserve">NYS IMPROVING THE HEALTH OF PEOPLE WITH MOBILITY LIMITATIONS AND INTELLECTUAL DISABILITIES THROUGH STATE-BASED PUBLIC
</t>
    </r>
    <r>
      <rPr>
        <sz val="6"/>
        <rFont val="Arial"/>
        <family val="2"/>
      </rPr>
      <t>HEALTH PROGRAMS</t>
    </r>
  </si>
  <si>
    <r>
      <rPr>
        <sz val="6"/>
        <rFont val="Arial"/>
        <family val="2"/>
      </rPr>
      <t xml:space="preserve">SEATTLE CHILDREN'S UROLOGIC MANAGEMENT TO PRESERVE INITIAL RENAL FUNCTION PROTOCOL FOR YOUNG CHILDREN WITH SPINA
</t>
    </r>
    <r>
      <rPr>
        <sz val="6"/>
        <rFont val="Arial"/>
        <family val="2"/>
      </rPr>
      <t>BIFIDA (UMPIRE PROTOCOL) (COMPONENT C)</t>
    </r>
  </si>
  <si>
    <r>
      <rPr>
        <sz val="6"/>
        <rFont val="Arial"/>
        <family val="2"/>
      </rPr>
      <t xml:space="preserve">DOCUMENTATION AND USE OF FOLLOW-UP DIAGNOSTIC AND INTERVENTION SERVICES DATA THROUGH THE MAINTENANCE AND ENHANCEMENT OF THE EARLY HEARING
</t>
    </r>
    <r>
      <rPr>
        <sz val="6"/>
        <rFont val="Arial"/>
        <family val="2"/>
      </rPr>
      <t>DETECTION AND INTERVENTION INFORMATION SYSTEM (EHDI-IS)</t>
    </r>
  </si>
  <si>
    <r>
      <rPr>
        <sz val="6"/>
        <rFont val="Arial"/>
        <family val="2"/>
      </rPr>
      <t xml:space="preserve">WASHINGTON'S NOVEL APPROACH:  IMPROVING ARTHRITIS MANAGEMENT AND REDUCING ARTHRITIS BURDEN USING A MULTI-TIERED
</t>
    </r>
    <r>
      <rPr>
        <sz val="6"/>
        <rFont val="Arial"/>
        <family val="2"/>
      </rPr>
      <t>APPROACH.</t>
    </r>
  </si>
  <si>
    <r>
      <rPr>
        <sz val="6"/>
        <rFont val="Arial"/>
        <family val="2"/>
      </rPr>
      <t xml:space="preserve">SPIPA NATIVE WOMEN'S WELLNESS
</t>
    </r>
    <r>
      <rPr>
        <sz val="6"/>
        <rFont val="Arial"/>
        <family val="2"/>
      </rPr>
      <t>PROJECTSPIPA COMPREHENSIVE CANCER CONTROL PROJECT</t>
    </r>
  </si>
  <si>
    <t>M</t>
  </si>
  <si>
    <r>
      <rPr>
        <sz val="6"/>
        <rFont val="Arial"/>
        <family val="2"/>
      </rPr>
      <t>HEALTH PROMOTION AND DISEASE PREVENTION RESEARCH CENTER</t>
    </r>
  </si>
  <si>
    <r>
      <rPr>
        <sz val="6"/>
        <rFont val="Arial"/>
        <family val="2"/>
      </rPr>
      <t>PREGNANCY RISK ASSESSMENT MONITORING SYSTEM (PRAMS)RFA-DP-16-001</t>
    </r>
  </si>
  <si>
    <r>
      <rPr>
        <sz val="6"/>
        <rFont val="Arial"/>
        <family val="2"/>
      </rPr>
      <t xml:space="preserve">REDUCES THE BURDEN OF CANCER IN WASHINGTON STATE.  THIS GRANT CREATES A STRUCTURE FOR THE COORDINATION AND COLLABORATION ACROSS THREE CANCER
</t>
    </r>
    <r>
      <rPr>
        <sz val="6"/>
        <rFont val="Arial"/>
        <family val="2"/>
      </rPr>
      <t>COMPONENTS &amp; WITH OTHER CHRONIC DISEASE PROGRAMS.</t>
    </r>
  </si>
  <si>
    <r>
      <rPr>
        <sz val="6"/>
        <rFont val="Arial"/>
        <family val="2"/>
      </rPr>
      <t xml:space="preserve">THE CDC CANCER GENOMICS PROGRAM: TRANSLATING RESEARCH INTO PUBLIC HEALTH
</t>
    </r>
    <r>
      <rPr>
        <sz val="6"/>
        <rFont val="Arial"/>
        <family val="2"/>
      </rPr>
      <t>PRACTICE</t>
    </r>
  </si>
  <si>
    <r>
      <rPr>
        <sz val="6"/>
        <rFont val="Arial"/>
        <family val="2"/>
      </rPr>
      <t>PINOLEVILLE POMO NATION GHWIC PROJECT</t>
    </r>
  </si>
  <si>
    <r>
      <rPr>
        <sz val="6"/>
        <rFont val="Arial"/>
        <family val="2"/>
      </rPr>
      <t>THE EPIDEMIOLOGY OF INTERSTITIAL CYSTITIS IN A NATIONWIDE MULTIETHNIC VA COHORT</t>
    </r>
  </si>
  <si>
    <r>
      <rPr>
        <sz val="6"/>
        <rFont val="Arial"/>
        <family val="2"/>
      </rPr>
      <t>CALIFORNIA STROKE REGISTRY/CALIFORNIA COVERDELL PROGRAM</t>
    </r>
  </si>
  <si>
    <r>
      <rPr>
        <sz val="6"/>
        <rFont val="Arial"/>
        <family val="2"/>
      </rPr>
      <t>INNOVATIVE STATE AND LOCAL PUBLIC HEALTH STRATEGIES TO PREVENT AND MANAGE DIABETES AND HEART DISEASE AND STROKE</t>
    </r>
  </si>
  <si>
    <r>
      <rPr>
        <sz val="6"/>
        <rFont val="Arial"/>
        <family val="2"/>
      </rPr>
      <t>THE LOS ANGELES COUNTY SODIUM REDUCTION INITIATIVE, 2016-2021</t>
    </r>
  </si>
  <si>
    <r>
      <rPr>
        <sz val="6"/>
        <rFont val="Arial"/>
        <family val="2"/>
      </rPr>
      <t xml:space="preserve">HEALTHY WORKS: INNOVATIVE PUBLIC HEALTH
</t>
    </r>
    <r>
      <rPr>
        <sz val="6"/>
        <rFont val="Arial"/>
        <family val="2"/>
      </rPr>
      <t>STRATEGIES TO PREVENT AND MANAGE DIABETES AND HEART DISEASE AND STROKE</t>
    </r>
  </si>
  <si>
    <r>
      <rPr>
        <sz val="6"/>
        <rFont val="Arial"/>
        <family val="2"/>
      </rPr>
      <t>PACIFIC ISLANDER - DIABETES PREVENTION PROGRAM (PI-DPP)</t>
    </r>
  </si>
  <si>
    <r>
      <rPr>
        <sz val="6"/>
        <rFont val="Arial"/>
        <family val="2"/>
      </rPr>
      <t>EPIDEMIOLOGY OF LUPUS:  LONGITUDINAL STUDIES IN POPULATION-BASED COHORTS - 2019</t>
    </r>
  </si>
  <si>
    <r>
      <rPr>
        <sz val="6"/>
        <rFont val="Arial"/>
        <family val="2"/>
      </rPr>
      <t>CALIFORNIA STATE PHYSICAL ACTIVITY &amp; NUTRITION (CALSPAN) PROGRAM</t>
    </r>
  </si>
  <si>
    <r>
      <rPr>
        <sz val="6"/>
        <rFont val="Arial"/>
        <family val="2"/>
      </rPr>
      <t xml:space="preserve">LAUSD IS APPLYING FOR COMPONENT 1: SCHOOL- BASED SURVEILLANCE, AND COMPONENT 1: SCHOOL-BASED HIV/STD PREVENTION IN ORDER TO REDUCE HIV AND STD INFECTIONS AMONG
</t>
    </r>
    <r>
      <rPr>
        <sz val="6"/>
        <rFont val="Arial"/>
        <family val="2"/>
      </rPr>
      <t>ADOLESCENTS AS WELL AS TEEN PREGNANCY.</t>
    </r>
  </si>
  <si>
    <r>
      <rPr>
        <sz val="6"/>
        <rFont val="Arial"/>
        <family val="2"/>
      </rPr>
      <t>UCSF PREVENTION RESEARCH CENTER</t>
    </r>
  </si>
  <si>
    <r>
      <rPr>
        <sz val="6"/>
        <rFont val="Arial"/>
        <family val="2"/>
      </rPr>
      <t>TRIBAL PRACTICES FOR WELLNESS IN INDIAN COUNTRY</t>
    </r>
  </si>
  <si>
    <r>
      <rPr>
        <sz val="6"/>
        <rFont val="Arial"/>
        <family val="2"/>
      </rPr>
      <t>CAPACITY BUILDING FOR PUBLIC HEALTH PARTNERSHIPS</t>
    </r>
  </si>
  <si>
    <r>
      <rPr>
        <sz val="6"/>
        <rFont val="Arial"/>
        <family val="2"/>
      </rPr>
      <t>CALIFORNIA RACIAL AND ETHNIC APPROACHES TO COMMUNITY HEALTH (CALREACH)PROGRAM</t>
    </r>
  </si>
  <si>
    <r>
      <rPr>
        <sz val="6"/>
        <rFont val="Arial"/>
        <family val="2"/>
      </rPr>
      <t xml:space="preserve">CALIFORNIA TRIBAL EPIDEMIOLOGY CENTER
</t>
    </r>
    <r>
      <rPr>
        <sz val="6"/>
        <rFont val="Arial"/>
        <family val="2"/>
      </rPr>
      <t>BUILDING PUBLIC HEALTH INFRASTRUCTURE INITIATIVE</t>
    </r>
  </si>
  <si>
    <r>
      <rPr>
        <sz val="6"/>
        <rFont val="Arial"/>
        <family val="2"/>
      </rPr>
      <t>INDIAN HEALTH CENTERS TRIBAL PRACTICES FOR WELLNESS IN INDIAN COUNTRY</t>
    </r>
  </si>
  <si>
    <r>
      <rPr>
        <sz val="6"/>
        <rFont val="Arial"/>
        <family val="2"/>
      </rPr>
      <t>CULTURAL PATH TO WELLNESS - HEALING FROM TRAUMA AND GRIEF</t>
    </r>
  </si>
  <si>
    <r>
      <rPr>
        <sz val="6"/>
        <rFont val="Arial"/>
        <family val="2"/>
      </rPr>
      <t xml:space="preserve">HEALTHY OAKLAND TEENS: PROMOTING ADOLESCENT SEXUAL HEALTH IN FULL SERVICE
</t>
    </r>
    <r>
      <rPr>
        <sz val="6"/>
        <rFont val="Arial"/>
        <family val="2"/>
      </rPr>
      <t>COMMUNITY SCHOOLS</t>
    </r>
  </si>
  <si>
    <r>
      <rPr>
        <sz val="6"/>
        <rFont val="Arial"/>
        <family val="2"/>
      </rPr>
      <t>STRENGTHENING LOCAL COALITIONS TO REDUCE HEALTH DISPARITIES RELATED TO NUTRITION, PHYSICAL ACTIVITY, AND OBESITY PREVENTION</t>
    </r>
  </si>
  <si>
    <r>
      <rPr>
        <sz val="6"/>
        <rFont val="Arial"/>
        <family val="2"/>
      </rPr>
      <t>WITHIN OUR REACH</t>
    </r>
  </si>
  <si>
    <t>R</t>
  </si>
  <si>
    <r>
      <rPr>
        <sz val="6"/>
        <rFont val="Arial"/>
        <family val="2"/>
      </rPr>
      <t>CATEGORY B: CHRONIC DISEASE SPECIALISTS</t>
    </r>
  </si>
  <si>
    <r>
      <rPr>
        <sz val="6"/>
        <rFont val="Arial"/>
        <family val="2"/>
      </rPr>
      <t>THE HEALING WAYS PROJECT</t>
    </r>
  </si>
  <si>
    <r>
      <rPr>
        <sz val="6"/>
        <rFont val="Arial"/>
        <family val="2"/>
      </rPr>
      <t>SAN DIEGO REACH</t>
    </r>
  </si>
  <si>
    <r>
      <rPr>
        <sz val="6"/>
        <rFont val="Arial"/>
        <family val="2"/>
      </rPr>
      <t xml:space="preserve">CONDUCT SCHOOL-BASED SURVEILLANCE VIA COMPONENT 1 AND PROVIDE SCHOOL-BASED HIV/STD PREVENTION VIA COMPONENT 2, WHICH INCLUDES SUPPORTS FOR STUDENTS, DISTRICT
</t>
    </r>
    <r>
      <rPr>
        <sz val="6"/>
        <rFont val="Arial"/>
        <family val="2"/>
      </rPr>
      <t>STAFF, AND PARENTS.</t>
    </r>
  </si>
  <si>
    <r>
      <rPr>
        <sz val="6"/>
        <rFont val="Arial"/>
        <family val="2"/>
      </rPr>
      <t xml:space="preserve">SAN FRANCISCO UNIFIED SCHOOL DISTRICT (SFUSD) IS SUBMITTING A GRANT APPLICATION FOR THE NOFO PROMOTING ADOLESCENT
</t>
    </r>
    <r>
      <rPr>
        <sz val="6"/>
        <rFont val="Arial"/>
        <family val="2"/>
      </rPr>
      <t>HEALTH THROUGH SCHOOL-BASED HIV PREVENTION</t>
    </r>
  </si>
  <si>
    <r>
      <rPr>
        <sz val="6"/>
        <rFont val="Arial"/>
        <family val="2"/>
      </rPr>
      <t xml:space="preserve">IMPLEMENTATION OF TRIBAL PRACTICES AND CULTURAL TRADITIONS TO REDUCE HEALTH RISK FACTORS AND STRENGTHEN COMMUNITY HEALTH
</t>
    </r>
    <r>
      <rPr>
        <sz val="6"/>
        <rFont val="Arial"/>
        <family val="2"/>
      </rPr>
      <t>AND WELLNESS</t>
    </r>
  </si>
  <si>
    <r>
      <rPr>
        <sz val="6"/>
        <rFont val="Arial"/>
        <family val="2"/>
      </rPr>
      <t>CALIFORNIA PREGNANCY ASSOCIATED MORTALITY REVIEW: A DEEPER LOOK AT MATERNAL DEATHS</t>
    </r>
  </si>
  <si>
    <r>
      <rPr>
        <sz val="6"/>
        <rFont val="Arial"/>
        <family val="2"/>
      </rPr>
      <t xml:space="preserve">SAN FRANCISCO SUDDEN UNEXPECTED INFANT DEATH (SUID) AND SUDDEN DEATH IN THE YOUNG
</t>
    </r>
    <r>
      <rPr>
        <sz val="6"/>
        <rFont val="Arial"/>
        <family val="2"/>
      </rPr>
      <t>(SDY) CASE REGISTRY: SUID CORE COMPONENT 2 AND SDY OPTIONAL COMPONENT 2</t>
    </r>
  </si>
  <si>
    <r>
      <rPr>
        <sz val="6"/>
        <rFont val="Arial"/>
        <family val="2"/>
      </rPr>
      <t xml:space="preserve">PPHF 2014: TOBACCO USE PREVENTION PUBLIC
</t>
    </r>
    <r>
      <rPr>
        <sz val="6"/>
        <rFont val="Arial"/>
        <family val="2"/>
      </rPr>
      <t>HEALTH APPROACHES FOR ENSURING QUITLINE CAPACITY</t>
    </r>
  </si>
  <si>
    <r>
      <rPr>
        <sz val="6"/>
        <rFont val="Arial"/>
        <family val="2"/>
      </rPr>
      <t>ASIAN LANGUAGE TOBACCO QUITLINE</t>
    </r>
  </si>
  <si>
    <r>
      <rPr>
        <sz val="6"/>
        <rFont val="Arial"/>
        <family val="2"/>
      </rPr>
      <t xml:space="preserve">EPIDEMIOLOGY AND LABORATORY CAPACITY FOR INFECTIOUS DISEASES (ELC) - BUILDING AND STRENGTHENING EPIDEMIOLOGY, LABORATORY AND HEALTH INFORMATION SYSTEMS CAPACITY
</t>
    </r>
    <r>
      <rPr>
        <sz val="6"/>
        <rFont val="Arial"/>
        <family val="2"/>
      </rPr>
      <t>IN STATE AND LOCAL HEALTH DEPARTMENTS</t>
    </r>
  </si>
  <si>
    <r>
      <rPr>
        <sz val="6"/>
        <rFont val="Arial"/>
        <family val="2"/>
      </rPr>
      <t>CALIFORNIA ELC 2014</t>
    </r>
  </si>
  <si>
    <r>
      <rPr>
        <sz val="6"/>
        <rFont val="Arial"/>
        <family val="2"/>
      </rPr>
      <t xml:space="preserve">GH16-1719, TITLED GLOBAL EMERGENCY RESPONSE AND RECOVERY PARTNER ENGAGEMENT: EXPANDING EFFORTS AND STRATEGIES TO IMPROVE RAPID RESPONSE TO
</t>
    </r>
    <r>
      <rPr>
        <sz val="6"/>
        <rFont val="Arial"/>
        <family val="2"/>
      </rPr>
      <t>PUBLIC HEALTH EMERGENCIES GLOBALLY</t>
    </r>
  </si>
  <si>
    <r>
      <rPr>
        <sz val="6"/>
        <rFont val="Arial"/>
        <family val="2"/>
      </rPr>
      <t xml:space="preserve">STRENGTHENING GLOBAL PUBLIC HEALTH WORKFORCE CAPACITY IN PARTNERSHIP WITH
</t>
    </r>
    <r>
      <rPr>
        <sz val="6"/>
        <rFont val="Arial"/>
        <family val="2"/>
      </rPr>
      <t>ACADEMIA</t>
    </r>
  </si>
  <si>
    <r>
      <rPr>
        <sz val="6"/>
        <rFont val="Arial"/>
        <family val="2"/>
      </rPr>
      <t>PREVENTION POLICY MODELING LAB</t>
    </r>
  </si>
  <si>
    <r>
      <rPr>
        <sz val="6"/>
        <rFont val="Arial"/>
        <family val="2"/>
      </rPr>
      <t>STD SURVEILLANCE NETWORK (SSUN)</t>
    </r>
  </si>
  <si>
    <r>
      <rPr>
        <sz val="6"/>
        <rFont val="Arial"/>
        <family val="2"/>
      </rPr>
      <t>CALIFORNIA EMERGING INFECTIONS PROGRAM 2019</t>
    </r>
  </si>
  <si>
    <r>
      <rPr>
        <sz val="6"/>
        <rFont val="Arial"/>
        <family val="2"/>
      </rPr>
      <t>TB CENTERS OF EXCELLENCE FOR TRAINING, EDUCATION AND MEDICAL CONSULTATION (TB COE)</t>
    </r>
  </si>
  <si>
    <r>
      <rPr>
        <sz val="6"/>
        <rFont val="Arial"/>
        <family val="2"/>
      </rPr>
      <t>THE EMERGENCY ID NET STUDY GROUP</t>
    </r>
  </si>
  <si>
    <r>
      <rPr>
        <sz val="6"/>
        <rFont val="Arial"/>
        <family val="2"/>
      </rPr>
      <t xml:space="preserve">PACIFIC SOUTHWEST REGIONAL CENTER OF
</t>
    </r>
    <r>
      <rPr>
        <sz val="6"/>
        <rFont val="Arial"/>
        <family val="2"/>
      </rPr>
      <t>EXCELLENCE FOR VECTOR-BORNE DISEASE RESEARCH AT THE UNIVERSITY OF CALIFORNIA</t>
    </r>
  </si>
  <si>
    <r>
      <rPr>
        <sz val="6"/>
        <rFont val="Arial"/>
        <family val="2"/>
      </rPr>
      <t xml:space="preserve">EXPANDING REACH, QUALITY, AND EFFECTIVENESS OF ASTHMA CONTROL SERVICES
</t>
    </r>
    <r>
      <rPr>
        <sz val="6"/>
        <rFont val="Arial"/>
        <family val="2"/>
      </rPr>
      <t>IN CALIFORNIA'S HIGH BURDEN AREAS.</t>
    </r>
  </si>
  <si>
    <r>
      <rPr>
        <sz val="6"/>
        <rFont val="Arial"/>
        <family val="2"/>
      </rPr>
      <t xml:space="preserve">REDUCING CHILDHOOD LEAD EXPOSURES WITHIN VULNERABLE COMMUNITIES LIVING IN HIGH-RISK
</t>
    </r>
    <r>
      <rPr>
        <sz val="6"/>
        <rFont val="Arial"/>
        <family val="2"/>
      </rPr>
      <t>AREAS OF THE CITY OF LOS ANGELES</t>
    </r>
  </si>
  <si>
    <r>
      <rPr>
        <sz val="6"/>
        <rFont val="Arial"/>
        <family val="2"/>
      </rPr>
      <t>CALIFORNIA ENVIRONMENTAL HEALTH TRACKING PROGRAM (TRACKING CALIFORNIA)</t>
    </r>
  </si>
  <si>
    <r>
      <rPr>
        <sz val="6"/>
        <rFont val="Arial"/>
        <family val="2"/>
      </rPr>
      <t>REDUCING CHILDHOOD LEAD EXPOSURES WITHIN VULNERABLE COMMUNITIES LIVING IN HIGH-RISK AREAS OF THE CITY OF LOS ANGELES</t>
    </r>
  </si>
  <si>
    <r>
      <rPr>
        <sz val="6"/>
        <rFont val="Arial"/>
        <family val="2"/>
      </rPr>
      <t>CALBRACE: ENHANCING COMMUNITY RESILIENCE BY IMPLEMENTING HEALTH ADAPTATIONS</t>
    </r>
  </si>
  <si>
    <t>RQCS</t>
  </si>
  <si>
    <r>
      <rPr>
        <sz val="6"/>
        <rFont val="Arial"/>
        <family val="2"/>
      </rPr>
      <t xml:space="preserve">CALIFORNIA EHS-NET FOOD PROJECT- REDUCING THE RISK OF FOOD ALLERGIC EPISODES AT
</t>
    </r>
    <r>
      <rPr>
        <sz val="6"/>
        <rFont val="Arial"/>
        <family val="2"/>
      </rPr>
      <t>RETAIL FOOD ESTABLISHMENTS</t>
    </r>
  </si>
  <si>
    <r>
      <rPr>
        <sz val="6"/>
        <rFont val="Arial"/>
        <family val="2"/>
      </rPr>
      <t xml:space="preserve">THE ENHANCING HEALTH RESILIENCE TO CLIMATE CHANGE THROUGH ADAPTATION PROJECT WILL ALLOW FOR THE IMPLEMENTATION OF INTERVENTIONS TO PROTECT RESIDENTS AGAINST THE HEALTH IMPACTS OF CLIMATE
</t>
    </r>
    <r>
      <rPr>
        <sz val="6"/>
        <rFont val="Arial"/>
        <family val="2"/>
      </rPr>
      <t>CHANGE.</t>
    </r>
  </si>
  <si>
    <r>
      <rPr>
        <sz val="6"/>
        <rFont val="Arial"/>
        <family val="2"/>
      </rPr>
      <t xml:space="preserve">COMPREHENSIVE HIGH-IMPACT HIV PREVENTION
</t>
    </r>
    <r>
      <rPr>
        <sz val="6"/>
        <rFont val="Arial"/>
        <family val="2"/>
      </rPr>
      <t>PROJECTS FOR COMMUNITY-BASED ORGANIZATIONS</t>
    </r>
  </si>
  <si>
    <r>
      <rPr>
        <sz val="6"/>
        <rFont val="Arial"/>
        <family val="2"/>
      </rPr>
      <t xml:space="preserve">HIGH-IMPACT HIV PREVENTION - TARGETING LATINO MSM AGE 18-49 WHO LIVE IN THE LOS
</t>
    </r>
    <r>
      <rPr>
        <sz val="6"/>
        <rFont val="Arial"/>
        <family val="2"/>
      </rPr>
      <t>ANGELES MSA, SANTA ANA DIVISION WHICH FALLS WITHIN ORANGE COUNTY, CALIFORNIA.</t>
    </r>
  </si>
  <si>
    <r>
      <rPr>
        <sz val="6"/>
        <rFont val="Arial"/>
        <family val="2"/>
      </rPr>
      <t xml:space="preserve">COMPREHENSIVE HIGH-IMPACT HIV PREVENTION PROJECTS FOR COMMUNITY-BASED
</t>
    </r>
    <r>
      <rPr>
        <sz val="6"/>
        <rFont val="Arial"/>
        <family val="2"/>
      </rPr>
      <t>ORGANIZATIONS</t>
    </r>
  </si>
  <si>
    <r>
      <rPr>
        <sz val="6"/>
        <rFont val="Arial"/>
        <family val="2"/>
      </rPr>
      <t>COMPREHENSIVE HIGH-IMPACT HIV PREVENTION PROJECTS FOR YOUNG LATINO MEN WHO HAVE SEX WITH MEN IN LOS ANGELES COUNTY</t>
    </r>
  </si>
  <si>
    <r>
      <rPr>
        <sz val="6"/>
        <rFont val="Arial"/>
        <family val="2"/>
      </rPr>
      <t xml:space="preserve">COMPREHENSIVE HIGH-IMPACT HIV PREVENTION PROJECTS FOR COMMUNITY-BASED
</t>
    </r>
    <r>
      <rPr>
        <sz val="6"/>
        <rFont val="Arial"/>
        <family val="2"/>
      </rPr>
      <t>ORGANIZATIONS - APLA HEALTH &amp; WELLNESS R3VNG</t>
    </r>
  </si>
  <si>
    <r>
      <rPr>
        <sz val="6"/>
        <rFont val="Arial"/>
        <family val="2"/>
      </rPr>
      <t xml:space="preserve">HIV PREVENTION SERVICES FOR YOUNG TRANSGENDER PERSONS OF COLOR AND THEIR PARTNERS REGARDLESS OF AGE, GENDER, AND
</t>
    </r>
    <r>
      <rPr>
        <sz val="6"/>
        <rFont val="Arial"/>
        <family val="2"/>
      </rPr>
      <t>RACE/ETHNICITY.</t>
    </r>
  </si>
  <si>
    <r>
      <rPr>
        <sz val="6"/>
        <rFont val="Arial"/>
        <family val="2"/>
      </rPr>
      <t xml:space="preserve">THE +C4H ACCELERATOR: CQI AND SUSTAINABILITY CAPACITY BUILDING ASSISTANCE FOR HIGH IMPACT HIV PREVENTION PROGRAM
</t>
    </r>
    <r>
      <rPr>
        <sz val="6"/>
        <rFont val="Arial"/>
        <family val="2"/>
      </rPr>
      <t>INTEGRATION FOR CBOS</t>
    </r>
  </si>
  <si>
    <r>
      <rPr>
        <sz val="6"/>
        <rFont val="Arial"/>
        <family val="2"/>
      </rPr>
      <t xml:space="preserve">COOPERATIVE AGREEMENT FOR TUBERCULOSIS ELIMINATION AND LABORATORY IN THE STATE OF
</t>
    </r>
    <r>
      <rPr>
        <sz val="6"/>
        <rFont val="Arial"/>
        <family val="2"/>
      </rPr>
      <t>CALIFORNIA</t>
    </r>
  </si>
  <si>
    <r>
      <rPr>
        <sz val="6"/>
        <rFont val="Arial"/>
        <family val="2"/>
      </rPr>
      <t xml:space="preserve">INTEGRATED HIV SURVEILLANCE AND
</t>
    </r>
    <r>
      <rPr>
        <sz val="6"/>
        <rFont val="Arial"/>
        <family val="2"/>
      </rPr>
      <t>PREVENTION PROGRAMS FOR HEALTH DEPARTMENTS</t>
    </r>
  </si>
  <si>
    <r>
      <rPr>
        <sz val="6"/>
        <rFont val="Arial"/>
        <family val="2"/>
      </rPr>
      <t>NATIONAL HIV BEHAVIORAL SURVEILLANCE</t>
    </r>
  </si>
  <si>
    <r>
      <rPr>
        <sz val="6"/>
        <rFont val="Arial"/>
        <family val="2"/>
      </rPr>
      <t xml:space="preserve">STRENGTHENING STD PREVENTION AND CONTROL FOR HEALTH DEPARTMENTS (STD
</t>
    </r>
    <r>
      <rPr>
        <sz val="6"/>
        <rFont val="Arial"/>
        <family val="2"/>
      </rPr>
      <t>PCHD)</t>
    </r>
  </si>
  <si>
    <r>
      <rPr>
        <sz val="6"/>
        <rFont val="Arial"/>
        <family val="2"/>
      </rPr>
      <t xml:space="preserve">THE ADULT VIRAL HEPATITIS PREVENTION AND CONTROL PROGRAM IS FOCUSED ON INCREASING THE NUMBER OF PEOPLE WITH HEPATITIS C WHO ARE AWARE OF THEIR INFECTION SO THEY CAN
</t>
    </r>
    <r>
      <rPr>
        <sz val="6"/>
        <rFont val="Arial"/>
        <family val="2"/>
      </rPr>
      <t>BE LINKED TO CARE AND TREATMENT.</t>
    </r>
  </si>
  <si>
    <r>
      <rPr>
        <sz val="6"/>
        <rFont val="Arial"/>
        <family val="2"/>
      </rPr>
      <t xml:space="preserve">THE MEDICAL MONITORING PROJECT (MMP) IS AN ON-GOING, LOCALLY AND NATIONALLY REPRESENTATIVE SUPPLEMENTAL SURVEILLANCE SYSTEM THAT COLLECTS DATA ON A STRATIFIED SAMPLE OF HIV-DIAGNOSED
</t>
    </r>
    <r>
      <rPr>
        <sz val="6"/>
        <rFont val="Arial"/>
        <family val="2"/>
      </rPr>
      <t>ADULTS IN THE US.</t>
    </r>
  </si>
  <si>
    <r>
      <rPr>
        <sz val="6"/>
        <rFont val="Arial"/>
        <family val="2"/>
      </rPr>
      <t>COMPREHENSIVE HIGH-IMPACT HIV PREVENTION PROJECTS FOR COMMUNITY-BASED ORGANIZATIONS</t>
    </r>
  </si>
  <si>
    <r>
      <rPr>
        <sz val="6"/>
        <rFont val="Arial"/>
        <family val="2"/>
      </rPr>
      <t>SYHC COMPREHENSIVE HIGH-IMPACT HIV PREVENTION (CHIP) PROJECT</t>
    </r>
  </si>
  <si>
    <r>
      <rPr>
        <sz val="6"/>
        <rFont val="Arial"/>
        <family val="2"/>
      </rPr>
      <t>EVOLVE: A NATIONAL ELEARNING TRAINING CENTER</t>
    </r>
  </si>
  <si>
    <r>
      <rPr>
        <sz val="6"/>
        <rFont val="Arial"/>
        <family val="2"/>
      </rPr>
      <t xml:space="preserve">COMPREHENSIVE HIGH-IMPACT HIV PREVENTION PROJECT FOR YOUNG MEN OF COLOR WHO HAVE SEX WITH MEN SERVING SAN DIEGO COUNTY'S
</t>
    </r>
    <r>
      <rPr>
        <sz val="6"/>
        <rFont val="Arial"/>
        <family val="2"/>
      </rPr>
      <t>CENTRAL AND NORTH REGIONS</t>
    </r>
  </si>
  <si>
    <t>RQC</t>
  </si>
  <si>
    <r>
      <rPr>
        <sz val="6"/>
        <rFont val="Arial"/>
        <family val="2"/>
      </rPr>
      <t xml:space="preserve">HIV AND AIDS PREVENTION, MESSAGING,
</t>
    </r>
    <r>
      <rPr>
        <sz val="6"/>
        <rFont val="Arial"/>
        <family val="2"/>
      </rPr>
      <t>AWARENESS AND EDUCATION IN AFRICAN AMERICAN COMMUNITIES</t>
    </r>
  </si>
  <si>
    <r>
      <rPr>
        <sz val="6"/>
        <rFont val="Arial"/>
        <family val="2"/>
      </rPr>
      <t>BEHAVIORAL SURVEILLANCE STUDY OF HIV RISK AND PREVENTION BEHAVIORS AMONG AT-RISK POPULATIONS IN LOS ANGELES COUNTY</t>
    </r>
  </si>
  <si>
    <r>
      <rPr>
        <sz val="6"/>
        <rFont val="Arial"/>
        <family val="2"/>
      </rPr>
      <t>CDC STRENGTHENING STD PREVENTION AND CONTROL FOR HEALTH DEPARTMENTS (STD PCHD)</t>
    </r>
  </si>
  <si>
    <r>
      <rPr>
        <sz val="6"/>
        <rFont val="Arial"/>
        <family val="2"/>
      </rPr>
      <t>INTEGRATED HIV SURVEILLANCE AND PREVENTION PROGRAM FOR LOS ANGELES COUNTY</t>
    </r>
  </si>
  <si>
    <r>
      <rPr>
        <sz val="6"/>
        <rFont val="Arial"/>
        <family val="2"/>
      </rPr>
      <t>MEDICAL MONITORING PROJECT</t>
    </r>
  </si>
  <si>
    <r>
      <rPr>
        <sz val="6"/>
        <rFont val="Arial"/>
        <family val="2"/>
      </rPr>
      <t>TB ELIMINATION AND LABORATORY SERVICES</t>
    </r>
  </si>
  <si>
    <r>
      <rPr>
        <sz val="6"/>
        <rFont val="Arial"/>
        <family val="2"/>
      </rPr>
      <t xml:space="preserve">THE GET YO' LIFE PROGRAM - A COMPREHENSIVE, HIGH-IMPACT HIV PREVENTION INITIATIVE TO REDUCE HIV TRANSMISSION AMONG YOUNG MSM
</t>
    </r>
    <r>
      <rPr>
        <sz val="6"/>
        <rFont val="Arial"/>
        <family val="2"/>
      </rPr>
      <t>OF COLOR LIVING IN SOUTH LOS ANGELES.</t>
    </r>
  </si>
  <si>
    <r>
      <rPr>
        <sz val="6"/>
        <rFont val="Arial"/>
        <family val="2"/>
      </rPr>
      <t>LAUSD IS APPLYING FOR COMPONENT 1: SCHOOL- BASED SURVEILLANCE, AND COMPONENT 1: SCHOOL-BASED HIV/STD PREVENTION IN ORDER TO REDUCE HIV AND STD INFECTIONS AMONG ADOLESCENTS AS WELL AS TEEN PREGNANCY.</t>
    </r>
  </si>
  <si>
    <r>
      <rPr>
        <sz val="6"/>
        <rFont val="Arial"/>
        <family val="2"/>
      </rPr>
      <t xml:space="preserve">HEALTHY OAKLAND TEENS: PROMOTING
</t>
    </r>
    <r>
      <rPr>
        <sz val="6"/>
        <rFont val="Arial"/>
        <family val="2"/>
      </rPr>
      <t>ADOLESCENT SEXUAL HEALTH IN FULL SERVICE COMMUNITY SCHOOLS</t>
    </r>
  </si>
  <si>
    <r>
      <rPr>
        <sz val="6"/>
        <rFont val="Arial"/>
        <family val="2"/>
      </rPr>
      <t xml:space="preserve">ENHANCING HIV PREVENTION COMMUNICATION AND MOBILIZATION EFFORTS THROUGH
</t>
    </r>
    <r>
      <rPr>
        <sz val="6"/>
        <rFont val="Arial"/>
        <family val="2"/>
      </rPr>
      <t>STRATEGIC PARTNERSHIPS</t>
    </r>
  </si>
  <si>
    <r>
      <rPr>
        <sz val="6"/>
        <rFont val="Arial"/>
        <family val="2"/>
      </rPr>
      <t xml:space="preserve">CAPACITY BUILDING ASSISTANCE (CBA) FOR HIGH IMPACT HIV PREVENTION; INTEGRATED HIV ACTIVITIES AND STRUCTURAL INTERVENTIONS;
</t>
    </r>
    <r>
      <rPr>
        <sz val="6"/>
        <rFont val="Arial"/>
        <family val="2"/>
      </rPr>
      <t>COMPONENT 2, TRACK C: WESTERN GEOGRAPHIC REGION</t>
    </r>
  </si>
  <si>
    <r>
      <rPr>
        <sz val="6"/>
        <rFont val="Arial"/>
        <family val="2"/>
      </rPr>
      <t>CALIFORNIA STD/HIV PREVENTION TRAINING CENTER</t>
    </r>
  </si>
  <si>
    <r>
      <rPr>
        <sz val="6"/>
        <rFont val="Arial"/>
        <family val="2"/>
      </rPr>
      <t>NATIONAL NETWORK OF SEXUALLY TRANSMITTED DISEASES CLINICAL PREVENTION TRAINING CENTER</t>
    </r>
  </si>
  <si>
    <r>
      <rPr>
        <sz val="6"/>
        <rFont val="Arial"/>
        <family val="2"/>
      </rPr>
      <t>SAN DIEGO TUBERCULOSIS PREVENTION, CONTROL, TRAINING AND LABORATORY SERVICES</t>
    </r>
  </si>
  <si>
    <r>
      <rPr>
        <sz val="6"/>
        <rFont val="Arial"/>
        <family val="2"/>
      </rPr>
      <t>CONDUCT SCHOOL-BASED SURVEILLANCE VIA COMPONENT 1 AND PROVIDE SCHOOL-BASED HIV/STD PREVENTION VIA COMPONENT 2, WHICH INCLUDES SUPPORTS FOR STUDENTS, DISTRICT STAFF, AND PARENTS.</t>
    </r>
  </si>
  <si>
    <r>
      <rPr>
        <sz val="6"/>
        <rFont val="Arial"/>
        <family val="2"/>
      </rPr>
      <t xml:space="preserve">PROJECT WATCH: COMPREHENSIVE CAPACITY BUILDING ASSISTANCE (CBA) FOR CDC-FUNDED
</t>
    </r>
    <r>
      <rPr>
        <sz val="6"/>
        <rFont val="Arial"/>
        <family val="2"/>
      </rPr>
      <t>HIV PREVENTION PROVIDERS IN THE WESTERN US, THROUGH COMPONENT 1, TRACK B</t>
    </r>
  </si>
  <si>
    <r>
      <rPr>
        <sz val="6"/>
        <rFont val="Arial"/>
        <family val="2"/>
      </rPr>
      <t>MEDICAL MONITORING PROJECT (MMP)</t>
    </r>
  </si>
  <si>
    <r>
      <rPr>
        <sz val="6"/>
        <rFont val="Arial"/>
        <family val="2"/>
      </rPr>
      <t>NATIONAL HIV BEHAVIORAL SURVEILLANCE (NHBS)- SAN FRANCISCO</t>
    </r>
  </si>
  <si>
    <r>
      <rPr>
        <sz val="6"/>
        <rFont val="Arial"/>
        <family val="2"/>
      </rPr>
      <t>SAN FRANCISCO DEPT OF PUBLIC HEALTH HIGH IMPACT PREVENTION</t>
    </r>
  </si>
  <si>
    <r>
      <rPr>
        <sz val="6"/>
        <rFont val="Arial"/>
        <family val="2"/>
      </rPr>
      <t xml:space="preserve">SAN FRANCISCO TUBERCULOSIS PREVENTION AND CONTROL PROGRAM TUBERCULOSIS ELIMINATION AND LABORATORY COOPERATIVE AGREEMENT APPLICATION, JANUARY 1 TO
</t>
    </r>
    <r>
      <rPr>
        <sz val="6"/>
        <rFont val="Arial"/>
        <family val="2"/>
      </rPr>
      <t>DECEMBER 31, 2019</t>
    </r>
  </si>
  <si>
    <t>22-4782405</t>
  </si>
  <si>
    <r>
      <rPr>
        <sz val="6"/>
        <rFont val="Arial"/>
        <family val="2"/>
      </rPr>
      <t>SFDPH HIGH IMPACT CBA PROGRAM</t>
    </r>
  </si>
  <si>
    <t>22-4782406</t>
  </si>
  <si>
    <t>22-4782407</t>
  </si>
  <si>
    <t>22-4782408</t>
  </si>
  <si>
    <r>
      <rPr>
        <sz val="6"/>
        <rFont val="Arial"/>
        <family val="2"/>
      </rPr>
      <t xml:space="preserve">SAN FRANCISCO UNIFIED SCHOOL DISTRICT (SFUSD) IS SUBMITTING A GRANT APPLICATION FOR THE NOFO PROMOTING ADOLESCENT HEALTH THROUGH SCHOOL-BASED HIV
</t>
    </r>
    <r>
      <rPr>
        <sz val="6"/>
        <rFont val="Arial"/>
        <family val="2"/>
      </rPr>
      <t>PREVENTION</t>
    </r>
  </si>
  <si>
    <t>22-4782409</t>
  </si>
  <si>
    <t>22-4782410</t>
  </si>
  <si>
    <r>
      <rPr>
        <sz val="6"/>
        <rFont val="Arial"/>
        <family val="2"/>
      </rPr>
      <t xml:space="preserve">PROMOTING SAFE AND SUPPORTIVE ENVIRONMENTS FOR LOCAL EDUCATIONAL
</t>
    </r>
    <r>
      <rPr>
        <sz val="6"/>
        <rFont val="Arial"/>
        <family val="2"/>
      </rPr>
      <t>AGENCIES PROVIDING SCHOOL-BASED HIV/STD PREVENTION - COMPONENT 3C</t>
    </r>
  </si>
  <si>
    <t>22-4782411</t>
  </si>
  <si>
    <r>
      <rPr>
        <sz val="6"/>
        <rFont val="Arial"/>
        <family val="2"/>
      </rPr>
      <t xml:space="preserve">ENHANCING HIV PREVENTION COMMUNICATION
</t>
    </r>
    <r>
      <rPr>
        <sz val="6"/>
        <rFont val="Arial"/>
        <family val="2"/>
      </rPr>
      <t>AND MOBILIZATION EFFORTS THROUGH STRATEGIC PARTNERSHIPS</t>
    </r>
  </si>
  <si>
    <t>22-4782412</t>
  </si>
  <si>
    <t>22-4782413</t>
  </si>
  <si>
    <t>22-4782414</t>
  </si>
  <si>
    <t>22-4782415</t>
  </si>
  <si>
    <t>22-4782416</t>
  </si>
  <si>
    <t>22-4782417</t>
  </si>
  <si>
    <t>22-4782418</t>
  </si>
  <si>
    <t>22-4782419</t>
  </si>
  <si>
    <t>22-4782420</t>
  </si>
  <si>
    <r>
      <rPr>
        <sz val="6"/>
        <rFont val="Arial"/>
        <family val="2"/>
      </rPr>
      <t>A COMMUNITY-BASED PARTICIPATORY APPROACH FOR REDUCING STDS AMONG LATINO YOUTH IN SOUTH BAY, SAN DIEGO</t>
    </r>
  </si>
  <si>
    <t>22-4782421</t>
  </si>
  <si>
    <t>22-4782422</t>
  </si>
  <si>
    <t>22-4782423</t>
  </si>
  <si>
    <r>
      <rPr>
        <sz val="6"/>
        <rFont val="Arial"/>
        <family val="2"/>
      </rPr>
      <t xml:space="preserve">CATEGORY C: CBOS SERVING RACIAL/ETHNIC MINORITY COMMUNITIES(ADDRESSING HEALTH DISPARITIES IN COMMUNITY HEALTH
</t>
    </r>
    <r>
      <rPr>
        <sz val="6"/>
        <rFont val="Arial"/>
        <family val="2"/>
      </rPr>
      <t>PROGRAMMING FOR AAS AND NHPIS)</t>
    </r>
  </si>
  <si>
    <t>22-4782424</t>
  </si>
  <si>
    <t>22-4782425</t>
  </si>
  <si>
    <t>22-4782426</t>
  </si>
  <si>
    <r>
      <rPr>
        <sz val="6"/>
        <rFont val="Arial"/>
        <family val="2"/>
      </rPr>
      <t xml:space="preserve">TARGETED HIV/TB STRATEGIC INFORMATION TECHNICAL ASSISTANCE FOR PRESIDENT'S EMERGENCY PLAN FOR AIDS RELIEF (PEPFAR) AND GLOBAL FUND TO FIGHT AIDS, TUBERCULOSIS AND MALARIA (GFATM)
</t>
    </r>
    <r>
      <rPr>
        <sz val="6"/>
        <rFont val="Arial"/>
        <family val="2"/>
      </rPr>
      <t>COUNTRIES</t>
    </r>
  </si>
  <si>
    <t>22-4782427</t>
  </si>
  <si>
    <t>22-4782428</t>
  </si>
  <si>
    <t>22-4782429</t>
  </si>
  <si>
    <r>
      <rPr>
        <sz val="6"/>
        <rFont val="Arial"/>
        <family val="2"/>
      </rPr>
      <t xml:space="preserve">SAN FRANCISCO TUBERCULOSIS PREVENTION AND CONTROL PROGRAM TUBERCULOSIS ELIMINATION AND LABORATORY COOPERATIVE
</t>
    </r>
    <r>
      <rPr>
        <sz val="6"/>
        <rFont val="Arial"/>
        <family val="2"/>
      </rPr>
      <t>AGREEMENT APPLICATION, JANUARY 1 TO DECEMBER 31, 2019</t>
    </r>
  </si>
  <si>
    <t>22-4782430</t>
  </si>
  <si>
    <t>22-4782431</t>
  </si>
  <si>
    <r>
      <rPr>
        <sz val="6"/>
        <rFont val="Arial"/>
        <family val="2"/>
      </rPr>
      <t>CDC-RFA-IP19-1901 IMMUNIZATION AND VACCINES FOR CHILDREN</t>
    </r>
  </si>
  <si>
    <t>22-4782432</t>
  </si>
  <si>
    <t>22-4782433</t>
  </si>
  <si>
    <t>22-4782434</t>
  </si>
  <si>
    <t>22-4782435</t>
  </si>
  <si>
    <t>22-4782436</t>
  </si>
  <si>
    <t>22-4782437</t>
  </si>
  <si>
    <t>22-4782438</t>
  </si>
  <si>
    <t>22-4782439</t>
  </si>
  <si>
    <r>
      <rPr>
        <sz val="6"/>
        <rFont val="Arial"/>
        <family val="2"/>
      </rPr>
      <t xml:space="preserve">PROSPECTIVE ANNUAL ESTIMATES OF INFLUENZA
</t>
    </r>
    <r>
      <rPr>
        <sz val="6"/>
        <rFont val="Arial"/>
        <family val="2"/>
      </rPr>
      <t>VACCINE EFFECTIVENESS AND BURDEN OF DISEASE</t>
    </r>
  </si>
  <si>
    <t>22-4782440</t>
  </si>
  <si>
    <t>22-4782441</t>
  </si>
  <si>
    <t>22-4782442</t>
  </si>
  <si>
    <r>
      <rPr>
        <sz val="6"/>
        <rFont val="Arial"/>
        <family val="2"/>
      </rPr>
      <t>COMPONENT 1: SCHOOL-BASED SURVEILLANCE</t>
    </r>
  </si>
  <si>
    <t>22-4782443</t>
  </si>
  <si>
    <r>
      <rPr>
        <sz val="6"/>
        <rFont val="Arial"/>
        <family val="2"/>
      </rPr>
      <t>PHS 2018-02 OMNIBUS SOLICITATION OF THE NIH, CDC, AND FDA FOR SMALL BUSINESS INNOVATION RESEARCH GRA</t>
    </r>
  </si>
  <si>
    <t>22-4782444</t>
  </si>
  <si>
    <r>
      <rPr>
        <sz val="6"/>
        <rFont val="Arial"/>
        <family val="2"/>
      </rPr>
      <t xml:space="preserve">PREVENTCONNECT: E-LEARNING COLLABORATIVE FOR SEXUAL VIOLENCE AND INTIMATE PARTNER
</t>
    </r>
    <r>
      <rPr>
        <sz val="6"/>
        <rFont val="Arial"/>
        <family val="2"/>
      </rPr>
      <t>VIOLENCE PREVENTION</t>
    </r>
  </si>
  <si>
    <t>22-4782445</t>
  </si>
  <si>
    <r>
      <rPr>
        <sz val="6"/>
        <rFont val="Arial"/>
        <family val="2"/>
      </rPr>
      <t>CALIFORNIA ESSENTIALS FOR CHILDHOOD INITIATIVE</t>
    </r>
  </si>
  <si>
    <t>22-4782446</t>
  </si>
  <si>
    <r>
      <rPr>
        <sz val="6"/>
        <rFont val="Arial"/>
        <family val="2"/>
      </rPr>
      <t>CALIFORNIA RAPE PREVENTION AND EDUCATION PROGRAM</t>
    </r>
  </si>
  <si>
    <t>22-4782447</t>
  </si>
  <si>
    <r>
      <rPr>
        <sz val="6"/>
        <rFont val="Arial"/>
        <family val="2"/>
      </rPr>
      <t>CALIFORNIA PARTNERSHIP TO END DOMESTIC VIOLENCE DELTA IMPACT APPLICATION</t>
    </r>
  </si>
  <si>
    <t>22-4782448</t>
  </si>
  <si>
    <r>
      <rPr>
        <sz val="6"/>
        <rFont val="Arial"/>
        <family val="2"/>
      </rPr>
      <t>SALINAS STRYVE IS PREVENTING TEEN DATING AND YOUTH VIOLENCE BY ADDRESSING SHARED RISK AND PROTECTIVE FACTORS</t>
    </r>
  </si>
  <si>
    <t>22-4782449</t>
  </si>
  <si>
    <r>
      <rPr>
        <sz val="6"/>
        <rFont val="Arial"/>
        <family val="2"/>
      </rPr>
      <t xml:space="preserve">A COMPREHENSIVE PARENT-CHILD PREVENTION PROGRAM FOR YOUTH VIOLENCE: THE
</t>
    </r>
    <r>
      <rPr>
        <sz val="6"/>
        <rFont val="Arial"/>
        <family val="2"/>
      </rPr>
      <t>YEA/MADRES PROGRAM</t>
    </r>
  </si>
  <si>
    <t>22-4782450</t>
  </si>
  <si>
    <r>
      <rPr>
        <sz val="6"/>
        <rFont val="Arial"/>
        <family val="2"/>
      </rPr>
      <t>CALIFORNIA VIOLENT DEATH REPORTING SYSTEM</t>
    </r>
  </si>
  <si>
    <t>22-4782451</t>
  </si>
  <si>
    <t>22-4782452</t>
  </si>
  <si>
    <t>22-4782453</t>
  </si>
  <si>
    <r>
      <rPr>
        <sz val="6"/>
        <rFont val="Arial"/>
        <family val="2"/>
      </rPr>
      <t>CALIFORNIA OVERDOSE DATA TO ACTION</t>
    </r>
  </si>
  <si>
    <t>22-4782454</t>
  </si>
  <si>
    <r>
      <rPr>
        <sz val="6"/>
        <rFont val="Arial"/>
        <family val="2"/>
      </rPr>
      <t>BUILDING PUBLIC HEALTH CAPACITY IN CALIFORNIA'S TRIBAL COMMUNITIES</t>
    </r>
  </si>
  <si>
    <t>22-4782455</t>
  </si>
  <si>
    <r>
      <rPr>
        <sz val="6"/>
        <rFont val="Arial"/>
        <family val="2"/>
      </rPr>
      <t xml:space="preserve">CALIFORNIA TRIBAL EPIDEMIOLOGY CENTER BUILDING PUBLIC HEALTH INFRASTRUCTURE
</t>
    </r>
    <r>
      <rPr>
        <sz val="6"/>
        <rFont val="Arial"/>
        <family val="2"/>
      </rPr>
      <t>INITIATIVE</t>
    </r>
  </si>
  <si>
    <t>22-4782456</t>
  </si>
  <si>
    <r>
      <rPr>
        <sz val="6"/>
        <rFont val="Arial"/>
        <family val="2"/>
      </rPr>
      <t>RIVERSIDE OVERDOSE DATA TO ACTION</t>
    </r>
  </si>
  <si>
    <t>22-4782457</t>
  </si>
  <si>
    <t>22-4782458</t>
  </si>
  <si>
    <t>22-4782459</t>
  </si>
  <si>
    <r>
      <rPr>
        <sz val="6"/>
        <rFont val="Arial"/>
        <family val="2"/>
      </rPr>
      <t>IMPROVING NALOXONE ACCESS AND ITS EFFECTS ON DRUG ABUSE AND OVERDOSES</t>
    </r>
  </si>
  <si>
    <t>22-4782460</t>
  </si>
  <si>
    <r>
      <rPr>
        <sz val="6"/>
        <rFont val="Arial"/>
        <family val="2"/>
      </rPr>
      <t xml:space="preserve">DATA TO ACTION: A SAN DIEGO MODEL FOR
</t>
    </r>
    <r>
      <rPr>
        <sz val="6"/>
        <rFont val="Arial"/>
        <family val="2"/>
      </rPr>
      <t>OPIOID OVERDOSE SURVEILLANCE AND PREVENTION</t>
    </r>
  </si>
  <si>
    <t>22-4782461</t>
  </si>
  <si>
    <r>
      <rPr>
        <sz val="6"/>
        <rFont val="Arial"/>
        <family val="2"/>
      </rPr>
      <t>SOUTHERN CALIFORNIA EDUCATION AND RESEARCH CENTER</t>
    </r>
  </si>
  <si>
    <t>22-4782462</t>
  </si>
  <si>
    <r>
      <rPr>
        <sz val="6"/>
        <rFont val="Arial"/>
        <family val="2"/>
      </rPr>
      <t>OCCUPATIONAL SAFETY AND HEALTH EDUCATIONAL AND RESEARCH CENTERS</t>
    </r>
  </si>
  <si>
    <t>22-4782463</t>
  </si>
  <si>
    <r>
      <rPr>
        <sz val="6"/>
        <rFont val="Arial"/>
        <family val="2"/>
      </rPr>
      <t>US AND CANADIAN URANIUM PROCESSING COHORTS: EXPOSURE, RISK AND RELEVANCE</t>
    </r>
  </si>
  <si>
    <t>22-4782464</t>
  </si>
  <si>
    <r>
      <rPr>
        <sz val="6"/>
        <rFont val="Arial"/>
        <family val="2"/>
      </rPr>
      <t>OCCUPATIONAL EXPOSURE TO PM2.5 AND CARDIOVASCULAR DISEASE(CVD)</t>
    </r>
  </si>
  <si>
    <t>22-4782465</t>
  </si>
  <si>
    <r>
      <rPr>
        <sz val="6"/>
        <rFont val="Arial"/>
        <family val="2"/>
      </rPr>
      <t>CALIFORNIA OCCUPATIONAL HEALTH AND SAFETY SURVEILLANCE PROGRAM</t>
    </r>
  </si>
  <si>
    <t>22-4782466</t>
  </si>
  <si>
    <r>
      <rPr>
        <sz val="6"/>
        <rFont val="Arial"/>
        <family val="2"/>
      </rPr>
      <t>THE WESTERN CENTER FOR AGRICULTURAL HEALTH AND SAFETY</t>
    </r>
  </si>
  <si>
    <t>22-4782467</t>
  </si>
  <si>
    <t>22-4782468</t>
  </si>
  <si>
    <r>
      <rPr>
        <sz val="6"/>
        <rFont val="Arial"/>
        <family val="2"/>
      </rPr>
      <t>OCCUPATIONAL SAFETY AND HEALTH RESEARCH (R01)</t>
    </r>
  </si>
  <si>
    <t>22-4782469</t>
  </si>
  <si>
    <r>
      <rPr>
        <sz val="6"/>
        <rFont val="Arial"/>
        <family val="2"/>
      </rPr>
      <t>MANGANESE-RELATED MOTOR AND COGNITIVE SYSTEM TOXICITY AMONG PROFESSIONAL WELDERS.</t>
    </r>
  </si>
  <si>
    <t>22-4782470</t>
  </si>
  <si>
    <r>
      <rPr>
        <sz val="6"/>
        <rFont val="Arial"/>
        <family val="2"/>
      </rPr>
      <t>LOW COST ACTIVE END-OF-SERVICE-LIFE INDICATOR FOR RESPIRATOR CARTRIDGES</t>
    </r>
  </si>
  <si>
    <t>22-4782471</t>
  </si>
  <si>
    <r>
      <rPr>
        <sz val="6"/>
        <rFont val="Arial"/>
        <family val="2"/>
      </rPr>
      <t xml:space="preserve">DEVELOPMENT OF TOOL BINDING DETECTION AND MULTI-HAZARD MITIGATION TECHNOLOGY TO PREVENT INJURY TO OPERATORS OF INDUSTRIAL
</t>
    </r>
    <r>
      <rPr>
        <sz val="6"/>
        <rFont val="Arial"/>
        <family val="2"/>
      </rPr>
      <t>MACHINES.</t>
    </r>
  </si>
  <si>
    <t>22-4782472</t>
  </si>
  <si>
    <r>
      <rPr>
        <sz val="6"/>
        <rFont val="Arial"/>
        <family val="2"/>
      </rPr>
      <t xml:space="preserve">SMART RESPIRATORS - EMBEDDED DETECTORS FOR REAL-TIME MONITORING OF END-OF-
</t>
    </r>
    <r>
      <rPr>
        <sz val="6"/>
        <rFont val="Arial"/>
        <family val="2"/>
      </rPr>
      <t>SERVICE-LIFE IN RESPIRATOR FILTER CARTRIDGES</t>
    </r>
  </si>
  <si>
    <t>22-4782473</t>
  </si>
  <si>
    <t>22-4782474</t>
  </si>
  <si>
    <r>
      <rPr>
        <sz val="6"/>
        <rFont val="Arial"/>
        <family val="2"/>
      </rPr>
      <t>PUBLIC HEALTH EMERGENCY PREPAREDNESS (PHEP) COOPERATIVE AGREEMENT</t>
    </r>
  </si>
  <si>
    <t>22-4782475</t>
  </si>
  <si>
    <r>
      <rPr>
        <sz val="6"/>
        <rFont val="Arial"/>
        <family val="2"/>
      </rPr>
      <t>LOS ANGELES COUNTY DPH- PUBLIC HEALTH EMERGENCY PREPAREDNESS COOPERATIVE AGREEMENT</t>
    </r>
  </si>
  <si>
    <t>22-4782476</t>
  </si>
  <si>
    <t>22-4782477</t>
  </si>
  <si>
    <t>22-4782478</t>
  </si>
  <si>
    <t>22-4782479</t>
  </si>
  <si>
    <t>22-4782480</t>
  </si>
  <si>
    <t>22-4782481</t>
  </si>
  <si>
    <t>22-4782482</t>
  </si>
  <si>
    <t>22-4782483</t>
  </si>
  <si>
    <r>
      <rPr>
        <sz val="6"/>
        <rFont val="Arial"/>
        <family val="2"/>
      </rPr>
      <t xml:space="preserve">CAPACITY BUILDING FOR SICKLE CELL DISEASE SURVEILLANCE - CALIFORNIA TECHNICAL
</t>
    </r>
    <r>
      <rPr>
        <sz val="6"/>
        <rFont val="Arial"/>
        <family val="2"/>
      </rPr>
      <t>ASSISTANCE</t>
    </r>
  </si>
  <si>
    <t>22-4782484</t>
  </si>
  <si>
    <t>22-4782485</t>
  </si>
  <si>
    <r>
      <rPr>
        <sz val="6"/>
        <rFont val="Arial"/>
        <family val="2"/>
      </rPr>
      <t>PACIFIC SOUTHWEST REGIONAL CENTER OF EXCELLENCE FOR VECTOR-BORNE DISEASE RESEARCH AT THE UNIVERSITY OF CALIFORNIA</t>
    </r>
  </si>
  <si>
    <t>22-4782486</t>
  </si>
  <si>
    <t>22-4782487</t>
  </si>
  <si>
    <t>22-4782488</t>
  </si>
  <si>
    <t>22-4782489</t>
  </si>
  <si>
    <t>22-4782490</t>
  </si>
  <si>
    <r>
      <rPr>
        <sz val="6"/>
        <rFont val="Arial"/>
        <family val="2"/>
      </rPr>
      <t>THE CONNECTICUT EMERGING INFECTIONS PROGRAM</t>
    </r>
  </si>
  <si>
    <t>22-4782491</t>
  </si>
  <si>
    <r>
      <rPr>
        <sz val="6"/>
        <rFont val="Arial"/>
        <family val="2"/>
      </rPr>
      <t xml:space="preserve">PHS 2017-02 OMNIBUS SOLICITATION OF THE NIH,
</t>
    </r>
    <r>
      <rPr>
        <sz val="6"/>
        <rFont val="Arial"/>
        <family val="2"/>
      </rPr>
      <t>CDC, AND FDA FOR SMALL BUSINESS INNOVATION RESEARCH GRA</t>
    </r>
  </si>
  <si>
    <t>22-4782492</t>
  </si>
  <si>
    <r>
      <rPr>
        <sz val="6"/>
        <rFont val="Arial"/>
        <family val="2"/>
      </rPr>
      <t xml:space="preserve">VISIBLE LIGHT ACTIVATED SELF-DISINFECTING
</t>
    </r>
    <r>
      <rPr>
        <sz val="6"/>
        <rFont val="Arial"/>
        <family val="2"/>
      </rPr>
      <t>SURFACES TO REDUCE HOSPITAL ACQUIRED INFECTIONS</t>
    </r>
  </si>
  <si>
    <t>22-4782493</t>
  </si>
  <si>
    <t>22-4782494</t>
  </si>
  <si>
    <t>22-4782495</t>
  </si>
  <si>
    <r>
      <rPr>
        <sz val="6"/>
        <rFont val="Arial"/>
        <family val="2"/>
      </rPr>
      <t xml:space="preserve">SPATIALLY SCALABLE INTEGRATED TICK VECTOR/RODENT RESERVOIR MANAGEMENT TO REDUCE HUMAN RISK OF EXPOSURE TO IXODES SCAPULARIS TICKS INFECTED WITH LYME
</t>
    </r>
    <r>
      <rPr>
        <sz val="6"/>
        <rFont val="Arial"/>
        <family val="2"/>
      </rPr>
      <t>DISEASE SPIROCHETES</t>
    </r>
  </si>
  <si>
    <t>22-4782496</t>
  </si>
  <si>
    <t>22-4782497</t>
  </si>
  <si>
    <t>22-4782498</t>
  </si>
  <si>
    <t>22-4782499</t>
  </si>
  <si>
    <t>22-4782500</t>
  </si>
  <si>
    <t>22-4782501</t>
  </si>
  <si>
    <t>22-4782502</t>
  </si>
  <si>
    <t>22-4782503</t>
  </si>
  <si>
    <t>22-4782504</t>
  </si>
  <si>
    <t>22-4782505</t>
  </si>
  <si>
    <r>
      <rPr>
        <sz val="6"/>
        <rFont val="Arial"/>
        <family val="2"/>
      </rPr>
      <t>CONNECTICUT'S PUBLIC HEALTH APPROACH TO ASTHMA CONTROL</t>
    </r>
  </si>
  <si>
    <t>22-4782506</t>
  </si>
  <si>
    <r>
      <rPr>
        <sz val="6"/>
        <rFont val="Arial"/>
        <family val="2"/>
      </rPr>
      <t xml:space="preserve">LEAD POISONING PREVENTION AND CONTROL
</t>
    </r>
    <r>
      <rPr>
        <sz val="6"/>
        <rFont val="Arial"/>
        <family val="2"/>
      </rPr>
      <t>THROUGH SURVEILLANCE, PARTNERSHIPS, AND PRIMARY PREVENTION</t>
    </r>
  </si>
  <si>
    <t>22-4782507</t>
  </si>
  <si>
    <r>
      <rPr>
        <sz val="6"/>
        <rFont val="Arial"/>
        <family val="2"/>
      </rPr>
      <t xml:space="preserve">ENHANCING INNOVATION AND CAPABILITIES OF THE CONNECTICUT ENVIRONMENTAL PUBLIC
</t>
    </r>
    <r>
      <rPr>
        <sz val="6"/>
        <rFont val="Arial"/>
        <family val="2"/>
      </rPr>
      <t>HEALTH TRACKING NETWORK</t>
    </r>
  </si>
  <si>
    <t>22-4782508</t>
  </si>
  <si>
    <r>
      <rPr>
        <sz val="6"/>
        <rFont val="Arial"/>
        <family val="2"/>
      </rPr>
      <t xml:space="preserve">LEAD POISONING PREVENTION AND CONTROL THROUGH SURVEILLANCE, PARTNERSHIPS, AND
</t>
    </r>
    <r>
      <rPr>
        <sz val="6"/>
        <rFont val="Arial"/>
        <family val="2"/>
      </rPr>
      <t>PRIMARY PREVENTION</t>
    </r>
  </si>
  <si>
    <t>22-4782509</t>
  </si>
  <si>
    <r>
      <rPr>
        <sz val="6"/>
        <rFont val="Arial"/>
        <family val="2"/>
      </rPr>
      <t>CONN: SUPPORT FOR PUBLIC HEALTH DRINKING WATER PROGRAMS TO REDUCE DRINKING WATER EXPOSURES</t>
    </r>
  </si>
  <si>
    <t>22-4782510</t>
  </si>
  <si>
    <t>22-4782511</t>
  </si>
  <si>
    <r>
      <rPr>
        <sz val="6"/>
        <rFont val="Arial"/>
        <family val="2"/>
      </rPr>
      <t xml:space="preserve">IMPROVING HEPATITIS B AND C CARE CASCADES;
</t>
    </r>
    <r>
      <rPr>
        <sz val="6"/>
        <rFont val="Arial"/>
        <family val="2"/>
      </rPr>
      <t>FOCUS ON INCREASED TESTING AND DIAGNOSIS IN CONNECTICUT</t>
    </r>
  </si>
  <si>
    <t>22-4782512</t>
  </si>
  <si>
    <r>
      <rPr>
        <sz val="6"/>
        <rFont val="Arial"/>
        <family val="2"/>
      </rPr>
      <t xml:space="preserve">STRENGTHENING STD PREVENTION AND
</t>
    </r>
    <r>
      <rPr>
        <sz val="6"/>
        <rFont val="Arial"/>
        <family val="2"/>
      </rPr>
      <t>CONTROL FOR HEALTH DEPARTMENTS (STD PCHD)</t>
    </r>
  </si>
  <si>
    <t>22-4782513</t>
  </si>
  <si>
    <r>
      <rPr>
        <sz val="6"/>
        <rFont val="Arial"/>
        <family val="2"/>
      </rPr>
      <t xml:space="preserve">THE CONNECTICUT DEPARTMENT OF PUBLIC HEALTH (CTDPH) PS18-1802 INTEGRATED HIV SURVEILLANCE AND PREVENTION PROGRAMS
</t>
    </r>
    <r>
      <rPr>
        <sz val="6"/>
        <rFont val="Arial"/>
        <family val="2"/>
      </rPr>
      <t>FOR HEALTH DEPARTMENTS.</t>
    </r>
  </si>
  <si>
    <t>22-4782514</t>
  </si>
  <si>
    <r>
      <rPr>
        <sz val="6"/>
        <rFont val="Arial"/>
        <family val="2"/>
      </rPr>
      <t>TUBERCULOSIS ELIMINATION AND LABORATORY COOPERATIVE AGREEMENT</t>
    </r>
  </si>
  <si>
    <t>22-4782515</t>
  </si>
  <si>
    <t>22-4782516</t>
  </si>
  <si>
    <t>22-4782517</t>
  </si>
  <si>
    <t>22-4782518</t>
  </si>
  <si>
    <t>22-4782519</t>
  </si>
  <si>
    <t>22-4782520</t>
  </si>
  <si>
    <t>22-4782521</t>
  </si>
  <si>
    <r>
      <rPr>
        <sz val="6"/>
        <rFont val="Arial"/>
        <family val="2"/>
      </rPr>
      <t xml:space="preserve">AFIX-OB: A CUSTOMIZABLE QUALITY
</t>
    </r>
    <r>
      <rPr>
        <sz val="6"/>
        <rFont val="Arial"/>
        <family val="2"/>
      </rPr>
      <t>IMPROVEMENT INTERVENTION TO INCREASE MATERNAL VACCINE UPTAKE</t>
    </r>
  </si>
  <si>
    <t>22-4782522</t>
  </si>
  <si>
    <t>22-4782523</t>
  </si>
  <si>
    <t>22-4782524</t>
  </si>
  <si>
    <t>22-4782525</t>
  </si>
  <si>
    <t>22-4782526</t>
  </si>
  <si>
    <t>22-4782527</t>
  </si>
  <si>
    <t>22-4782528</t>
  </si>
  <si>
    <r>
      <rPr>
        <sz val="6"/>
        <rFont val="Arial"/>
        <family val="2"/>
      </rPr>
      <t xml:space="preserve">COMPREHENSIVELY PROFILING SOCIAL MIXING PATTERNS IN WORKPLACE SETTINGS TO MODEL
</t>
    </r>
    <r>
      <rPr>
        <sz val="6"/>
        <rFont val="Arial"/>
        <family val="2"/>
      </rPr>
      <t>PANDEMIC INFLUENZA TRANSMISSION</t>
    </r>
  </si>
  <si>
    <t>22-4782529</t>
  </si>
  <si>
    <r>
      <rPr>
        <sz val="6"/>
        <rFont val="Arial"/>
        <family val="2"/>
      </rPr>
      <t>PROMOTING ADOLESCENT HEALTH THROUGH SCHOOL-BASED SURVEILLANCE IN CONNECTICUT</t>
    </r>
  </si>
  <si>
    <t>22-4782530</t>
  </si>
  <si>
    <r>
      <rPr>
        <sz val="6"/>
        <rFont val="Arial"/>
        <family val="2"/>
      </rPr>
      <t>RAPE PREVENTION AND EDUCATION AT A COMMUNITY LEVEL IN THE STATE OF CT</t>
    </r>
  </si>
  <si>
    <t>22-4782531</t>
  </si>
  <si>
    <r>
      <rPr>
        <sz val="6"/>
        <rFont val="Arial"/>
        <family val="2"/>
      </rPr>
      <t>MAINTAINING THE CONNECTICUT VIOLENT DEATH REPORTING SYSTEM</t>
    </r>
  </si>
  <si>
    <t>22-4782532</t>
  </si>
  <si>
    <t>22-4782533</t>
  </si>
  <si>
    <r>
      <rPr>
        <sz val="6"/>
        <rFont val="Arial"/>
        <family val="2"/>
      </rPr>
      <t>CONNECTICUT DRUG OVERDOSE DATA TO ACTION (CT OD2A)</t>
    </r>
  </si>
  <si>
    <t>22-4782534</t>
  </si>
  <si>
    <r>
      <rPr>
        <sz val="6"/>
        <rFont val="Arial"/>
        <family val="2"/>
      </rPr>
      <t xml:space="preserve">A MULTI-TIERED SAFETY NET FOLLOWING NALOXONE RESUSCITATION FROM OPIOID
</t>
    </r>
    <r>
      <rPr>
        <sz val="6"/>
        <rFont val="Arial"/>
        <family val="2"/>
      </rPr>
      <t>OVERDOSE</t>
    </r>
  </si>
  <si>
    <t>22-4782535</t>
  </si>
  <si>
    <r>
      <rPr>
        <sz val="6"/>
        <rFont val="Arial"/>
        <family val="2"/>
      </rPr>
      <t xml:space="preserve">UNIVERSITY OF CONNECTICUT STUDY ON AGING,
</t>
    </r>
    <r>
      <rPr>
        <sz val="6"/>
        <rFont val="Arial"/>
        <family val="2"/>
      </rPr>
      <t>MUSCULOSKELETAL DISORDERS AND WORK CAPACITY</t>
    </r>
  </si>
  <si>
    <t>22-4782536</t>
  </si>
  <si>
    <r>
      <rPr>
        <sz val="6"/>
        <rFont val="Arial"/>
        <family val="2"/>
      </rPr>
      <t>DECIPHERING OCCUPATIONAL ASTHMA PATHOGENESIS CAUSED BY ISOCYANATE</t>
    </r>
  </si>
  <si>
    <t>22-4782537</t>
  </si>
  <si>
    <r>
      <rPr>
        <sz val="6"/>
        <rFont val="Arial"/>
        <family val="2"/>
      </rPr>
      <t>CONNECTICUT OCCUPATIONAL HEALTH FUNDAMENTAL-PLUS SURVEILLANCE PROGRAM</t>
    </r>
  </si>
  <si>
    <t>22-4782538</t>
  </si>
  <si>
    <r>
      <rPr>
        <sz val="6"/>
        <rFont val="Arial"/>
        <family val="2"/>
      </rPr>
      <t>OCCUPATIONAL HEALTH PSYCHOLOGY TRAINING</t>
    </r>
  </si>
  <si>
    <t>22-4782539</t>
  </si>
  <si>
    <r>
      <rPr>
        <sz val="6"/>
        <rFont val="Arial"/>
        <family val="2"/>
      </rPr>
      <t>IMPROVING COMMUNICATION IN NOISE WHEN WEARING HEARING PROTECTION</t>
    </r>
  </si>
  <si>
    <t>22-4782540</t>
  </si>
  <si>
    <r>
      <rPr>
        <sz val="6"/>
        <rFont val="Arial"/>
        <family val="2"/>
      </rPr>
      <t>OCCUPATIONAL SAFETY AND HEALTH TRAINING PROJECT GRANT</t>
    </r>
  </si>
  <si>
    <t>22-4782541</t>
  </si>
  <si>
    <t>22-4782542</t>
  </si>
  <si>
    <r>
      <rPr>
        <sz val="6"/>
        <rFont val="Arial"/>
        <family val="2"/>
      </rPr>
      <t xml:space="preserve">STATE OF CONNECTICUT DEPARTMENT OF PUBLIC HEALTH - PUBLIC HEALTH EMERGENCY
</t>
    </r>
    <r>
      <rPr>
        <sz val="6"/>
        <rFont val="Arial"/>
        <family val="2"/>
      </rPr>
      <t>PREPAREDNESS COOPERATIVE AGREEMENT</t>
    </r>
  </si>
  <si>
    <t>22-4782543</t>
  </si>
  <si>
    <t>22-4782544</t>
  </si>
  <si>
    <t>22-4782545</t>
  </si>
  <si>
    <t>22-4782546</t>
  </si>
  <si>
    <t>22-4782547</t>
  </si>
  <si>
    <r>
      <rPr>
        <sz val="6"/>
        <rFont val="Arial"/>
        <family val="2"/>
      </rPr>
      <t xml:space="preserve">THE MUSCULAR DYSTROPHY SURVEILLANCE, TRACKING AND RESEARCH NETWORK (MD STARNET) COMPONENT C-ENHANCED-
</t>
    </r>
    <r>
      <rPr>
        <sz val="6"/>
        <rFont val="Arial"/>
        <family val="2"/>
      </rPr>
      <t>DISSEMINATION</t>
    </r>
  </si>
  <si>
    <t>22-4782548</t>
  </si>
  <si>
    <r>
      <rPr>
        <sz val="6"/>
        <rFont val="Arial"/>
        <family val="2"/>
      </rPr>
      <t>THE MUSCULAR DYSTROPHY SURVEILLANCE, TRACKING, AND RESEARCH NETWORK (MD STARNET) COMPONENT A - CORE-CURRENT</t>
    </r>
  </si>
  <si>
    <t>22-4782549</t>
  </si>
  <si>
    <r>
      <rPr>
        <sz val="6"/>
        <rFont val="Arial"/>
        <family val="2"/>
      </rPr>
      <t xml:space="preserve">THE MUSCULAR DYSTROPHY SURVEILLANCE, TRACKING, AND RESEARCH NETWORK (MD
</t>
    </r>
    <r>
      <rPr>
        <sz val="6"/>
        <rFont val="Arial"/>
        <family val="2"/>
      </rPr>
      <t>STARNET) COMPONENT E - ENHANCED ABSTRACTOR</t>
    </r>
  </si>
  <si>
    <t>22-4782550</t>
  </si>
  <si>
    <r>
      <rPr>
        <sz val="6"/>
        <rFont val="Arial"/>
        <family val="2"/>
      </rPr>
      <t>USING LONGITUDINAL DATA TO CHARACTERIZE THE NATURAL HISTORY OF FRAGILE X SYNDROME--COMPONENT A</t>
    </r>
  </si>
  <si>
    <t>22-4782551</t>
  </si>
  <si>
    <r>
      <rPr>
        <sz val="6"/>
        <rFont val="Arial"/>
        <family val="2"/>
      </rPr>
      <t xml:space="preserve">USING LONGITUDINAL DATA TO CHARACTERIZE THE NATURAL HISTORY OF FRAGILE X SYNDROME (FXS) TO IMPROVE SERVICES AND OUTCOMES-
</t>
    </r>
    <r>
      <rPr>
        <sz val="6"/>
        <rFont val="Arial"/>
        <family val="2"/>
      </rPr>
      <t>DATA COORDINATING CENTER (COMPONENT B)</t>
    </r>
  </si>
  <si>
    <t>22-4782552</t>
  </si>
  <si>
    <r>
      <rPr>
        <sz val="6"/>
        <rFont val="Arial"/>
        <family val="2"/>
      </rPr>
      <t xml:space="preserve">THE TOURETTE ASSOCIATION OF AMERICA OFFERS EVIDENCE-BASED INFORMATIONAL PROGRAMS AND DEVELOPS/DISSEMINATES
</t>
    </r>
    <r>
      <rPr>
        <sz val="6"/>
        <rFont val="Arial"/>
        <family val="2"/>
      </rPr>
      <t>RESOURCES ON RECOGNITION, DIAGNOSIS, AND MANAGEMENT OF TS.</t>
    </r>
  </si>
  <si>
    <t>22-4782553</t>
  </si>
  <si>
    <r>
      <rPr>
        <sz val="6"/>
        <rFont val="Arial"/>
        <family val="2"/>
      </rPr>
      <t xml:space="preserve">HEALTH INFORMATION, EDUCATION, AND PROMOTION FOR THE PREVENTION OF
</t>
    </r>
    <r>
      <rPr>
        <sz val="6"/>
        <rFont val="Arial"/>
        <family val="2"/>
      </rPr>
      <t>COMPLICATIONS IN HEMOPHILIA AND BLEEDING DISORDERS IN WOMEN.</t>
    </r>
  </si>
  <si>
    <t>22-4782554</t>
  </si>
  <si>
    <r>
      <rPr>
        <sz val="6"/>
        <rFont val="Arial"/>
        <family val="2"/>
      </rPr>
      <t>PUBLIC HEALTH SURVEILLANCE FOR THE PREVENTION OF COMPLICATIONS OF BLEEDING DISORDERS</t>
    </r>
  </si>
  <si>
    <t>22-4782555</t>
  </si>
  <si>
    <r>
      <rPr>
        <sz val="6"/>
        <rFont val="Arial"/>
        <family val="2"/>
      </rPr>
      <t>EPIDEMIOLOGY AND LABORATORY CAPACITY FOR PREVENTION AND CONTROL OF EMERGING INFECTIOUS DISEASES IN NEW YORK STATE</t>
    </r>
  </si>
  <si>
    <t>22-4782556</t>
  </si>
  <si>
    <r>
      <rPr>
        <sz val="6"/>
        <rFont val="Arial"/>
        <family val="2"/>
      </rPr>
      <t>THE EPIDEMIOLOGY AND LABORATORY CAPACITY FOR PREVENTION AND CONTROL OF EMERGING INFECTIOUS DISEASES(ELC)</t>
    </r>
  </si>
  <si>
    <t>22-4782557</t>
  </si>
  <si>
    <r>
      <rPr>
        <sz val="6"/>
        <rFont val="Arial"/>
        <family val="2"/>
      </rPr>
      <t>COOLEY'S ANEMIA FOUNDATION EVALUATION OF HEALTH PROMOTION AND PREVENTION PROGRAMS PROJECT</t>
    </r>
  </si>
  <si>
    <t>22-4782558</t>
  </si>
  <si>
    <r>
      <rPr>
        <sz val="6"/>
        <rFont val="Arial"/>
        <family val="2"/>
      </rPr>
      <t>THE NEW YORK COMPREHENSIVE THALASSEMIA CENTER - EXPANDED NETWORK</t>
    </r>
  </si>
  <si>
    <t>22-4782559</t>
  </si>
  <si>
    <r>
      <rPr>
        <sz val="6"/>
        <rFont val="Arial"/>
        <family val="2"/>
      </rPr>
      <t>STATE PUBLIC HEALTH APPROACHES TO ADDRESSING ARTHRITIS</t>
    </r>
  </si>
  <si>
    <t>22-4782560</t>
  </si>
  <si>
    <r>
      <rPr>
        <sz val="6"/>
        <rFont val="Arial"/>
        <family val="2"/>
      </rPr>
      <t>NEW YORK STATE BEHAVIORAL RISK FACTOR SURVEILLANCE SYSTEM</t>
    </r>
  </si>
  <si>
    <t>22-4782561</t>
  </si>
  <si>
    <r>
      <rPr>
        <sz val="6"/>
        <rFont val="Arial"/>
        <family val="2"/>
      </rPr>
      <t>NEW YORK STATE CANCER PREVENTION AND CONTROL PROGRAM</t>
    </r>
  </si>
  <si>
    <t>22-4782562</t>
  </si>
  <si>
    <r>
      <rPr>
        <sz val="6"/>
        <rFont val="Arial"/>
        <family val="2"/>
      </rPr>
      <t>NEW YORK STATE ORGANIZED APPROACHES TO INCREASE COLORECTAL CANCER SCREENING</t>
    </r>
  </si>
  <si>
    <t>22-4782563</t>
  </si>
  <si>
    <r>
      <rPr>
        <sz val="6"/>
        <rFont val="Arial"/>
        <family val="2"/>
      </rPr>
      <t xml:space="preserve">NETWORKING2SAVE LGBTQ: A TOBACCO- RELATED CANCER DISPARITY NETWORK FOR
</t>
    </r>
    <r>
      <rPr>
        <sz val="6"/>
        <rFont val="Arial"/>
        <family val="2"/>
      </rPr>
      <t>LGBTQ PERSONS.</t>
    </r>
  </si>
  <si>
    <t>22-4782564</t>
  </si>
  <si>
    <r>
      <rPr>
        <sz val="6"/>
        <rFont val="Arial"/>
        <family val="2"/>
      </rPr>
      <t>PROMOTING ADOLESCENT HEALTH THROUGH SCHOOL-BASED SURVEY SURVEILLANCE</t>
    </r>
  </si>
  <si>
    <t>22-4782565</t>
  </si>
  <si>
    <r>
      <rPr>
        <sz val="6"/>
        <rFont val="Arial"/>
        <family val="2"/>
      </rPr>
      <t>NYU-CUNY PREVENTION RESEARCH CENTER</t>
    </r>
  </si>
  <si>
    <t>22-4782566</t>
  </si>
  <si>
    <r>
      <rPr>
        <sz val="6"/>
        <rFont val="Arial"/>
        <family val="2"/>
      </rPr>
      <t>TAKE ACTION ABCD: IMPROVE A1C CONTROL, BLOOD PRESSURE CONTROL, CHOLESTEROL MANAGEMENT AND DIABETES PREVENTION</t>
    </r>
  </si>
  <si>
    <t>22-4782567</t>
  </si>
  <si>
    <r>
      <rPr>
        <sz val="6"/>
        <rFont val="Arial"/>
        <family val="2"/>
      </rPr>
      <t xml:space="preserve">INNOVATIVE STATE AND LOCAL PUBLIC HEALTH STRATEGIES TO PREVENT AND MANAGE
</t>
    </r>
    <r>
      <rPr>
        <sz val="6"/>
        <rFont val="Arial"/>
        <family val="2"/>
      </rPr>
      <t>DIABETES AND HEART DISEASE AND STROKE</t>
    </r>
  </si>
  <si>
    <t>22-4782568</t>
  </si>
  <si>
    <r>
      <rPr>
        <sz val="6"/>
        <rFont val="Arial"/>
        <family val="2"/>
      </rPr>
      <t xml:space="preserve">COMPONENT A: IMPACT OF COMMUNITY FACTORS ON GEOGRAPHIC DISPARITIES IN DIABETES AND
</t>
    </r>
    <r>
      <rPr>
        <sz val="6"/>
        <rFont val="Arial"/>
        <family val="2"/>
      </rPr>
      <t>OBESITY NATIONWIDE</t>
    </r>
  </si>
  <si>
    <t>22-4782569</t>
  </si>
  <si>
    <r>
      <rPr>
        <sz val="6"/>
        <rFont val="Arial"/>
        <family val="2"/>
      </rPr>
      <t>THE NYS DIABETES AND CARDIOVASCULAR DISEASE PREVENTION AND CONTROL PROGRAM</t>
    </r>
  </si>
  <si>
    <t>22-4782570</t>
  </si>
  <si>
    <t>22-4782571</t>
  </si>
  <si>
    <r>
      <rPr>
        <sz val="6"/>
        <rFont val="Arial"/>
        <family val="2"/>
      </rPr>
      <t xml:space="preserve">DIVERSITY WITHIN THE INCIDENCE, PREVALENCE, TREATMENT AND OUTCOMES OF PATIENTS WITH
</t>
    </r>
    <r>
      <rPr>
        <sz val="6"/>
        <rFont val="Arial"/>
        <family val="2"/>
      </rPr>
      <t>IBD</t>
    </r>
  </si>
  <si>
    <t>22-4782572</t>
  </si>
  <si>
    <r>
      <rPr>
        <sz val="6"/>
        <rFont val="Arial"/>
        <family val="2"/>
      </rPr>
      <t>COORDINATING CENTER FOR COMMUNITY-BASED INTERVENTIONS WITH VULNERABLE POPULATIONS</t>
    </r>
  </si>
  <si>
    <t>22-4782573</t>
  </si>
  <si>
    <r>
      <rPr>
        <sz val="6"/>
        <rFont val="Arial"/>
        <family val="2"/>
      </rPr>
      <t>MANHATTAN VISION SCREENING AND FOLLOW-UP STUDY IN VULNERABLE POPULATIONS</t>
    </r>
  </si>
  <si>
    <t>22-4782574</t>
  </si>
  <si>
    <r>
      <rPr>
        <sz val="6"/>
        <rFont val="Arial"/>
        <family val="2"/>
      </rPr>
      <t>SODIUM REDUCTION IN COMMUNITIES - NEW YORK CITY</t>
    </r>
  </si>
  <si>
    <t>22-4782575</t>
  </si>
  <si>
    <r>
      <rPr>
        <sz val="6"/>
        <rFont val="Arial"/>
        <family val="2"/>
      </rPr>
      <t xml:space="preserve">TAKE ACTION ABCD: IMPROVE A1C CONTROL, BLOOD PRESSURE CONTROL, CHOLESTEROL
</t>
    </r>
    <r>
      <rPr>
        <sz val="6"/>
        <rFont val="Arial"/>
        <family val="2"/>
      </rPr>
      <t>MANAGEMENT AND DIABETES PREVENTION</t>
    </r>
  </si>
  <si>
    <t>22-4782576</t>
  </si>
  <si>
    <t>22-4782577</t>
  </si>
  <si>
    <r>
      <rPr>
        <sz val="6"/>
        <rFont val="Arial"/>
        <family val="2"/>
      </rPr>
      <t>NEW YORK STATE SODIUM REDUCTION IN COMMUNITIES</t>
    </r>
  </si>
  <si>
    <t>22-4782578</t>
  </si>
  <si>
    <r>
      <rPr>
        <sz val="6"/>
        <rFont val="Arial"/>
        <family val="2"/>
      </rPr>
      <t>NYS COVERDELL ACUTE STROKE PREVENTION PROGRAM</t>
    </r>
  </si>
  <si>
    <t>22-4782579</t>
  </si>
  <si>
    <t>22-4782580</t>
  </si>
  <si>
    <r>
      <rPr>
        <sz val="6"/>
        <rFont val="Arial"/>
        <family val="2"/>
      </rPr>
      <t>STATE PHYSICAL ACTIVITY AND NUTRITION PROGRAM</t>
    </r>
  </si>
  <si>
    <t>22-4782581</t>
  </si>
  <si>
    <r>
      <rPr>
        <sz val="6"/>
        <rFont val="Arial"/>
        <family val="2"/>
      </rPr>
      <t xml:space="preserve">CDC'S PROMOTING ADOLESCENT HEALTH THROUGH SCHOOL-BASED HIV PREVENTION GRANT: NEW YORK CITY DEPARTMENT OF EDUCATION'S SCHOOL-BASED SURVEILLANCE
</t>
    </r>
    <r>
      <rPr>
        <sz val="6"/>
        <rFont val="Arial"/>
        <family val="2"/>
      </rPr>
      <t>AND SCHOOL-BASED HIV/STD PREVENTION APPLICATION</t>
    </r>
  </si>
  <si>
    <t>22-4782582</t>
  </si>
  <si>
    <r>
      <rPr>
        <sz val="6"/>
        <rFont val="Arial"/>
        <family val="2"/>
      </rPr>
      <t>NUTRITION STRATEGIES TO ADDRESS MICRONUTRIENT DEFICIENCIES</t>
    </r>
  </si>
  <si>
    <t>22-4782583</t>
  </si>
  <si>
    <t>22-4782584</t>
  </si>
  <si>
    <r>
      <rPr>
        <sz val="6"/>
        <rFont val="Arial"/>
        <family val="2"/>
      </rPr>
      <t>ROCHESTER PREVENTION RESEARCH CENTER</t>
    </r>
  </si>
  <si>
    <t>22-4782585</t>
  </si>
  <si>
    <r>
      <rPr>
        <sz val="6"/>
        <rFont val="Arial"/>
        <family val="2"/>
      </rPr>
      <t xml:space="preserve">THE FERRY CORRIDOR PARTNERSHIP: AN INITIATIVE TO REDUCE HEALTH DISPARITIES AND CHRONIC DISEASE BY BRINGING A LIFE OF WELLNESS TO THE FERRY STREET CORRIDOR IN
</t>
    </r>
    <r>
      <rPr>
        <sz val="6"/>
        <rFont val="Arial"/>
        <family val="2"/>
      </rPr>
      <t>BUFFALO, NY.</t>
    </r>
  </si>
  <si>
    <t>22-4782586</t>
  </si>
  <si>
    <r>
      <rPr>
        <sz val="6"/>
        <rFont val="Arial"/>
        <family val="2"/>
      </rPr>
      <t>TOWARD A HEALTHIER BRONX 2018-2023</t>
    </r>
  </si>
  <si>
    <t>22-4782587</t>
  </si>
  <si>
    <r>
      <rPr>
        <sz val="6"/>
        <rFont val="Arial"/>
        <family val="2"/>
      </rPr>
      <t xml:space="preserve">CDC'S PROMOTING ADOLESCENT HEALTH THROUGH SCHOOL-BASED HIV PREVENTION GRANT: NEW YORK CITY DEPARTMENT OF EDUCATION'S SCHOOL-BASED SURVEILLANCE AND SCHOOL-BASED HIV/STD PREVENTION
</t>
    </r>
    <r>
      <rPr>
        <sz val="6"/>
        <rFont val="Arial"/>
        <family val="2"/>
      </rPr>
      <t>APPLICATION</t>
    </r>
  </si>
  <si>
    <t>22-4782588</t>
  </si>
  <si>
    <r>
      <rPr>
        <sz val="6"/>
        <rFont val="Arial"/>
        <family val="2"/>
      </rPr>
      <t>NEW YORK STATE PERINATAL QUALITY COLLABORATIVE (NYSPQC)</t>
    </r>
  </si>
  <si>
    <t>22-4782589</t>
  </si>
  <si>
    <r>
      <rPr>
        <sz val="6"/>
        <rFont val="Arial"/>
        <family val="2"/>
      </rPr>
      <t>PREGNANCY RISK ASSESSMENT MONITORING SYSTEM (PRAMS)COMPONENT A</t>
    </r>
  </si>
  <si>
    <t>22-4782590</t>
  </si>
  <si>
    <r>
      <rPr>
        <sz val="6"/>
        <rFont val="Arial"/>
        <family val="2"/>
      </rPr>
      <t>PREVENTING MATERNAL DEATHS IN NEW YORK STATE THROUGH MATERNAL MORTALITY REVIEW</t>
    </r>
  </si>
  <si>
    <t>22-4782591</t>
  </si>
  <si>
    <r>
      <rPr>
        <sz val="6"/>
        <rFont val="Arial"/>
        <family val="2"/>
      </rPr>
      <t xml:space="preserve">PREGNANCY RISK ASSESSMENT MONITORING SYSTEM, A SURVEILLANCE SYSTEM OF MATERNAL ATTITUDES, EXPERIENCES AND BEHAVIORS THAT OCCUR AROUND THE TIME OF
</t>
    </r>
    <r>
      <rPr>
        <sz val="6"/>
        <rFont val="Arial"/>
        <family val="2"/>
      </rPr>
      <t>PREGNANCY TO INFORM LOCAL PROGRAMS AND POLICY.</t>
    </r>
  </si>
  <si>
    <t>22-4782592</t>
  </si>
  <si>
    <t>22-4782593</t>
  </si>
  <si>
    <t>22-4782594</t>
  </si>
  <si>
    <r>
      <rPr>
        <sz val="6"/>
        <rFont val="Arial"/>
        <family val="2"/>
      </rPr>
      <t>NY TCP: PROMOTING CESSATION AND QUITLINE SERVICES</t>
    </r>
  </si>
  <si>
    <t>22-4782595</t>
  </si>
  <si>
    <r>
      <rPr>
        <sz val="6"/>
        <rFont val="Arial"/>
        <family val="2"/>
      </rPr>
      <t xml:space="preserve">EPIDEMIOLOGY AND LABORATORY CAPACITY FOR PREVENTION AND CONTROL OF EMERGING
</t>
    </r>
    <r>
      <rPr>
        <sz val="6"/>
        <rFont val="Arial"/>
        <family val="2"/>
      </rPr>
      <t>INFECTIOUS DISEASES IN NEW YORK STATE</t>
    </r>
  </si>
  <si>
    <t>22-4782596</t>
  </si>
  <si>
    <r>
      <rPr>
        <sz val="6"/>
        <rFont val="Arial"/>
        <family val="2"/>
      </rPr>
      <t xml:space="preserve">STRENGTHENING EPIDEMIOLOGY, LABORATORY, &amp; HEALTH INFORMATION SYSTEMS CAPACITY IN
</t>
    </r>
    <r>
      <rPr>
        <sz val="6"/>
        <rFont val="Arial"/>
        <family val="2"/>
      </rPr>
      <t>NEW YORK STATE</t>
    </r>
  </si>
  <si>
    <t>22-4782597</t>
  </si>
  <si>
    <r>
      <rPr>
        <sz val="6"/>
        <rFont val="Arial"/>
        <family val="2"/>
      </rPr>
      <t xml:space="preserve">THE EPIDEMIOLOGY AND LABORATORY CAPACITY FOR PREVENTION AND CONTROL OF EMERGING
</t>
    </r>
    <r>
      <rPr>
        <sz val="6"/>
        <rFont val="Arial"/>
        <family val="2"/>
      </rPr>
      <t>INFECTIOUS DISEASES(ELC)</t>
    </r>
  </si>
  <si>
    <t>22-4782598</t>
  </si>
  <si>
    <t>22-4782599</t>
  </si>
  <si>
    <r>
      <rPr>
        <sz val="6"/>
        <rFont val="Arial"/>
        <family val="2"/>
      </rPr>
      <t xml:space="preserve">CDC-RFA-GH16-1719; GLOBAL EMERGENCY RESPONSE AND RECOVERY PARTNER ENGAGEMENT: EXPANDING EFFORTS AND STRATEGIES TO IMPROVE RAPID RESPONSE TO
</t>
    </r>
    <r>
      <rPr>
        <sz val="6"/>
        <rFont val="Arial"/>
        <family val="2"/>
      </rPr>
      <t>PUBLIC HEALTH EMERGENCIES GLOBALLY</t>
    </r>
  </si>
  <si>
    <t>22-4782600</t>
  </si>
  <si>
    <r>
      <rPr>
        <sz val="6"/>
        <rFont val="Arial"/>
        <family val="2"/>
      </rPr>
      <t xml:space="preserve">THE EPIDEMIOLOGY AND LABORATORY CAPACITY
</t>
    </r>
    <r>
      <rPr>
        <sz val="6"/>
        <rFont val="Arial"/>
        <family val="2"/>
      </rPr>
      <t>FOR PREVENTION AND CONTROL OF EMERGING INFECTIOUS DISEASES(ELC)</t>
    </r>
  </si>
  <si>
    <t>22-4782601</t>
  </si>
  <si>
    <r>
      <rPr>
        <sz val="6"/>
        <rFont val="Arial"/>
        <family val="2"/>
      </rPr>
      <t>CDC NATIONAL INFECTION CONTROL STRENGTHENING</t>
    </r>
  </si>
  <si>
    <t>22-4782602</t>
  </si>
  <si>
    <r>
      <rPr>
        <sz val="6"/>
        <rFont val="Arial"/>
        <family val="2"/>
      </rPr>
      <t xml:space="preserve">CDC-RFA-GH16-1719, TITLED GLOBAL EMERGENCY RESPONSE AND RECOVERY PARTNER ENGAGEMENT: EXPANDING EFFORTS AND STRATEGIES TO IMPROVE RAPID RESPONSE TO
</t>
    </r>
    <r>
      <rPr>
        <sz val="6"/>
        <rFont val="Arial"/>
        <family val="2"/>
      </rPr>
      <t>PUBLIC HEALTH EMERGENCIES GLOBALLY</t>
    </r>
  </si>
  <si>
    <t>22-4782603</t>
  </si>
  <si>
    <r>
      <rPr>
        <sz val="6"/>
        <rFont val="Arial"/>
        <family val="2"/>
      </rPr>
      <t xml:space="preserve">SUPPORT FOR ACTIVITIES TO ERADICATE POLIO, ACCELERATE CONTROL OF MEASLES AND RUBELLA WITH UNITED NATIONS CHILDREN'S
</t>
    </r>
    <r>
      <rPr>
        <sz val="6"/>
        <rFont val="Arial"/>
        <family val="2"/>
      </rPr>
      <t>FUND (UNICEF) - 2018</t>
    </r>
  </si>
  <si>
    <t>22-4782604</t>
  </si>
  <si>
    <r>
      <rPr>
        <sz val="6"/>
        <rFont val="Arial"/>
        <family val="2"/>
      </rPr>
      <t xml:space="preserve">EPIDEMIOLOGY AND LABORATORY CAPACITY FOR
</t>
    </r>
    <r>
      <rPr>
        <sz val="6"/>
        <rFont val="Arial"/>
        <family val="2"/>
      </rPr>
      <t>PREVENTION AND CONTROL OF EMERGING INFECTIOUS DISEASES IN NEW YORK STATE</t>
    </r>
  </si>
  <si>
    <t>22-4782605</t>
  </si>
  <si>
    <t>22-4782606</t>
  </si>
  <si>
    <t>22-4782607</t>
  </si>
  <si>
    <r>
      <rPr>
        <sz val="6"/>
        <rFont val="Arial"/>
        <family val="2"/>
      </rPr>
      <t>CDC UNDERGRADUATE PUBLIC HEALTH SCHOLARS PROGRAM</t>
    </r>
  </si>
  <si>
    <t>22-4782608</t>
  </si>
  <si>
    <t>22-4782609</t>
  </si>
  <si>
    <t>22-4782610</t>
  </si>
  <si>
    <t>22-4782611</t>
  </si>
  <si>
    <r>
      <rPr>
        <sz val="6"/>
        <rFont val="Arial"/>
        <family val="2"/>
      </rPr>
      <t xml:space="preserve">HEALTH RESEARCH INC./NEW YORK STATE
</t>
    </r>
    <r>
      <rPr>
        <sz val="6"/>
        <rFont val="Arial"/>
        <family val="2"/>
      </rPr>
      <t>DEPARTMENT OF HEALTH EMERGING INFECTIONS PROGRAM</t>
    </r>
  </si>
  <si>
    <t>22-4782612</t>
  </si>
  <si>
    <t>RM</t>
  </si>
  <si>
    <t>22-4782613</t>
  </si>
  <si>
    <t>22-4782614</t>
  </si>
  <si>
    <t>22-4782615</t>
  </si>
  <si>
    <r>
      <rPr>
        <sz val="6"/>
        <rFont val="Arial"/>
        <family val="2"/>
      </rPr>
      <t xml:space="preserve">HEALTH RESEARCH INC./NEW YORK STATE DEPARTMENT OF HEALTH EMERGING INFECTIONS
</t>
    </r>
    <r>
      <rPr>
        <sz val="6"/>
        <rFont val="Arial"/>
        <family val="2"/>
      </rPr>
      <t>PROGRAM</t>
    </r>
  </si>
  <si>
    <t>22-4782616</t>
  </si>
  <si>
    <t>22-4782617</t>
  </si>
  <si>
    <t>22-4782618</t>
  </si>
  <si>
    <t>22-4782619</t>
  </si>
  <si>
    <t>22-4782620</t>
  </si>
  <si>
    <t>22-4782621</t>
  </si>
  <si>
    <r>
      <rPr>
        <sz val="6"/>
        <rFont val="Arial"/>
        <family val="2"/>
      </rPr>
      <t>HEALTH RESEARCH INC./NEW YORK STATE DEPARTMENT OF HEALTH EMERGING INFECTIONS PROGRAM</t>
    </r>
  </si>
  <si>
    <t>22-4782622</t>
  </si>
  <si>
    <t>22-4782623</t>
  </si>
  <si>
    <t>22-4782624</t>
  </si>
  <si>
    <r>
      <rPr>
        <sz val="6"/>
        <rFont val="Arial"/>
        <family val="2"/>
      </rPr>
      <t>NORTHEAST REGIONAL CENTER FOR EXCELLENCE IN VECTOR BORNE DISEASES</t>
    </r>
  </si>
  <si>
    <t>22-4782625</t>
  </si>
  <si>
    <t>22-4782626</t>
  </si>
  <si>
    <t>22-4782627</t>
  </si>
  <si>
    <t>22-4782628</t>
  </si>
  <si>
    <t>22-4782629</t>
  </si>
  <si>
    <t>22-4782630</t>
  </si>
  <si>
    <r>
      <rPr>
        <sz val="6"/>
        <rFont val="Arial"/>
        <family val="2"/>
      </rPr>
      <t>NEW YORK STATE ASTHMA CONTROL PROGRAM</t>
    </r>
  </si>
  <si>
    <t>22-4782631</t>
  </si>
  <si>
    <t>22-4782632</t>
  </si>
  <si>
    <r>
      <rPr>
        <sz val="6"/>
        <rFont val="Arial"/>
        <family val="2"/>
      </rPr>
      <t xml:space="preserve">PPHF 2017:  LEAD POISONING PREVENTION CHILDHOOD LEAD POISONING PREVENTION-
</t>
    </r>
    <r>
      <rPr>
        <sz val="6"/>
        <rFont val="Arial"/>
        <family val="2"/>
      </rPr>
      <t>FINANCED SOLELY BY 2017 PREVENTION AND PUBLIC HEALTH FUNDS</t>
    </r>
  </si>
  <si>
    <t>22-4782633</t>
  </si>
  <si>
    <r>
      <rPr>
        <sz val="6"/>
        <rFont val="Arial"/>
        <family val="2"/>
      </rPr>
      <t>NEW YORK CITY CHILDHOOD LEAD POISONING PREVENTION AND SURVEILLANCE PROGRAM</t>
    </r>
  </si>
  <si>
    <t>22-4782634</t>
  </si>
  <si>
    <r>
      <rPr>
        <sz val="6"/>
        <rFont val="Arial"/>
        <family val="2"/>
      </rPr>
      <t xml:space="preserve">NYS ENVIRONMENTAL PUBLIC HEALTH TRACKING NETWORK MAINTENANCE AND ENHANCEMENT TO
</t>
    </r>
    <r>
      <rPr>
        <sz val="6"/>
        <rFont val="Arial"/>
        <family val="2"/>
      </rPr>
      <t>ACCOMMODATE SUB-COUNTY INDICATORS</t>
    </r>
  </si>
  <si>
    <t>22-4782635</t>
  </si>
  <si>
    <r>
      <rPr>
        <sz val="6"/>
        <rFont val="Arial"/>
        <family val="2"/>
      </rPr>
      <t xml:space="preserve">ENHANCING CAPABILITIES OF THE NEW YORK CITY ENVIRONMENTAL PUBLIC HEALTH TRACKING NETWORK THROUGH INNOVATIONS IN DATA
</t>
    </r>
    <r>
      <rPr>
        <sz val="6"/>
        <rFont val="Arial"/>
        <family val="2"/>
      </rPr>
      <t>SHARING, ANALYSIS AND COMMUNICATIONS</t>
    </r>
  </si>
  <si>
    <t>22-4782636</t>
  </si>
  <si>
    <r>
      <rPr>
        <sz val="6"/>
        <rFont val="Arial"/>
        <family val="2"/>
      </rPr>
      <t xml:space="preserve">PPHF 2017:  LEAD POISONING PREVENTION CHILDHOOD LEAD POISONING PREVENTION- FINANCED SOLELY BY 2017 PREVENTION AND
</t>
    </r>
    <r>
      <rPr>
        <sz val="6"/>
        <rFont val="Arial"/>
        <family val="2"/>
      </rPr>
      <t>PUBLIC HEALTH FUNDS</t>
    </r>
  </si>
  <si>
    <t>22-4782637</t>
  </si>
  <si>
    <t>S</t>
  </si>
  <si>
    <t>22-4782638</t>
  </si>
  <si>
    <r>
      <rPr>
        <sz val="6"/>
        <rFont val="Arial"/>
        <family val="2"/>
      </rPr>
      <t xml:space="preserve">BUILDING RESILIENCE AGAINST CLIMATE EFFECTS: ENHANCING COMMUNITY RESILIENCE BY IMPLEMENTING HEALTH ADAPTATIONS- NEW
</t>
    </r>
    <r>
      <rPr>
        <sz val="6"/>
        <rFont val="Arial"/>
        <family val="2"/>
      </rPr>
      <t>YORK CITY</t>
    </r>
  </si>
  <si>
    <t>22-4782639</t>
  </si>
  <si>
    <r>
      <rPr>
        <sz val="6"/>
        <rFont val="Arial"/>
        <family val="2"/>
      </rPr>
      <t xml:space="preserve">EVALUATING INTERVENTIONS TO IMPROVE FOOD
</t>
    </r>
    <r>
      <rPr>
        <sz val="6"/>
        <rFont val="Arial"/>
        <family val="2"/>
      </rPr>
      <t>SAFETY PRACTICES ACROSS NYC RESTAURANTS AND MOBILE FOOD VENDORS</t>
    </r>
  </si>
  <si>
    <t>22-4782640</t>
  </si>
  <si>
    <r>
      <rPr>
        <sz val="6"/>
        <rFont val="Arial"/>
        <family val="2"/>
      </rPr>
      <t xml:space="preserve">ENVIRONMENTAL HEALTH SPECIALISTS NETWORK
</t>
    </r>
    <r>
      <rPr>
        <sz val="6"/>
        <rFont val="Arial"/>
        <family val="2"/>
      </rPr>
      <t>(EHS-NET) - PRACTICE BASED RESEARCH TO IMPROVE FOOD SAFETY IN NEW YORK STATE</t>
    </r>
  </si>
  <si>
    <t>22-4782641</t>
  </si>
  <si>
    <t>22-4782642</t>
  </si>
  <si>
    <r>
      <rPr>
        <sz val="6"/>
        <rFont val="Arial"/>
        <family val="2"/>
      </rPr>
      <t xml:space="preserve">BUILDING RESILIENCE AGAINST CLIMATE EFFECTS (BRACE): ENHANCING COMMUNITY RESILIENCE BY IMPLEMENTING HEALTH
</t>
    </r>
    <r>
      <rPr>
        <sz val="6"/>
        <rFont val="Arial"/>
        <family val="2"/>
      </rPr>
      <t>ADAPTATIONS IN NEW YORK STATE</t>
    </r>
  </si>
  <si>
    <t>22-4782643</t>
  </si>
  <si>
    <r>
      <rPr>
        <sz val="6"/>
        <rFont val="Arial"/>
        <family val="2"/>
      </rPr>
      <t xml:space="preserve">NYSDOH: SUPPORT FOR PUBLIC HEALTH
</t>
    </r>
    <r>
      <rPr>
        <sz val="6"/>
        <rFont val="Arial"/>
        <family val="2"/>
      </rPr>
      <t>DRINKING WATER PROGRAMS TO REDUCE DRINKING WATER EXPOSURES</t>
    </r>
  </si>
  <si>
    <t>22-4782644</t>
  </si>
  <si>
    <r>
      <rPr>
        <sz val="6"/>
        <rFont val="Arial"/>
        <family val="2"/>
      </rPr>
      <t>MADISON COUNTY NY INDIVIDUAL WATER SYSTEM AND EH CAPACITY BUILDING INITIATIVE</t>
    </r>
  </si>
  <si>
    <t>22-4782645</t>
  </si>
  <si>
    <t>22-4782646</t>
  </si>
  <si>
    <r>
      <rPr>
        <sz val="6"/>
        <rFont val="Arial"/>
        <family val="2"/>
      </rPr>
      <t>NOVEL EXTRACELLULAR VESICLE AND MOLECULAR BIOMARKERS OF ENVIRONMENTAL EXPOSURE AND DISEASE PROGRESSION IN ALS</t>
    </r>
  </si>
  <si>
    <t>22-4782647</t>
  </si>
  <si>
    <r>
      <rPr>
        <sz val="6"/>
        <rFont val="Arial"/>
        <family val="2"/>
      </rPr>
      <t xml:space="preserve">EXPANDING NEW YORK STATE S BIOMONITORING PROGRAM FOR EMERGING AND LEGACY
</t>
    </r>
    <r>
      <rPr>
        <sz val="6"/>
        <rFont val="Arial"/>
        <family val="2"/>
      </rPr>
      <t>CONTAMINANTS</t>
    </r>
  </si>
  <si>
    <t>22-4782648</t>
  </si>
  <si>
    <r>
      <rPr>
        <sz val="6"/>
        <rFont val="Arial"/>
        <family val="2"/>
      </rPr>
      <t>NEW DISORDERS IMPLEMENTATION AND DATA HARMONIZATION</t>
    </r>
  </si>
  <si>
    <t>22-4782649</t>
  </si>
  <si>
    <t>22-4782650</t>
  </si>
  <si>
    <r>
      <rPr>
        <sz val="6"/>
        <rFont val="Arial"/>
        <family val="2"/>
      </rPr>
      <t>COMPREHENSIVE PREVENTION FOR COMMUNITIES OF COLOR (CPCC)</t>
    </r>
  </si>
  <si>
    <t>22-4782651</t>
  </si>
  <si>
    <r>
      <rPr>
        <sz val="6"/>
        <rFont val="Arial"/>
        <family val="2"/>
      </rPr>
      <t xml:space="preserve">COMPREHENSIVE HIGH-IMPACT HIV PREVENTION
</t>
    </r>
    <r>
      <rPr>
        <sz val="6"/>
        <rFont val="Arial"/>
        <family val="2"/>
      </rPr>
      <t>PROJECTS FOR YOUNG MEN OF COLOR WHO HAVE SEX WITH MEN</t>
    </r>
  </si>
  <si>
    <t>22-4782652</t>
  </si>
  <si>
    <r>
      <rPr>
        <sz val="6"/>
        <rFont val="Arial"/>
        <family val="2"/>
      </rPr>
      <t xml:space="preserve">NATIONAL HIGH IMPACT HIV PREVENTION (HIP) CLASSROOM LEARNING TRAINING CENTER (CLTC)
</t>
    </r>
    <r>
      <rPr>
        <sz val="6"/>
        <rFont val="Arial"/>
        <family val="2"/>
      </rPr>
      <t>- COMPONENT 1 TRACK B</t>
    </r>
  </si>
  <si>
    <t>22-4782653</t>
  </si>
  <si>
    <t>22-4782654</t>
  </si>
  <si>
    <t>22-4782655</t>
  </si>
  <si>
    <r>
      <rPr>
        <sz val="6"/>
        <rFont val="Arial"/>
        <family val="2"/>
      </rPr>
      <t xml:space="preserve">GMHC PROJECT ALLOW COMPREHENSIVE HIV PREVENTION SERVICES FOR YOUNG MEN OF COLOR WHO HAVE SEX WITH MEN IN NEW YORK
</t>
    </r>
    <r>
      <rPr>
        <sz val="6"/>
        <rFont val="Arial"/>
        <family val="2"/>
      </rPr>
      <t>CITY</t>
    </r>
  </si>
  <si>
    <t>22-4782656</t>
  </si>
  <si>
    <t>22-4782657</t>
  </si>
  <si>
    <r>
      <rPr>
        <sz val="6"/>
        <rFont val="Arial"/>
        <family val="2"/>
      </rPr>
      <t>NY - ENHANCE TB CONTROL EFFORTS THROUGH IMPROVED SURVEILLANCE AND CASE MGMT</t>
    </r>
  </si>
  <si>
    <t>22-4782658</t>
  </si>
  <si>
    <r>
      <rPr>
        <sz val="6"/>
        <rFont val="Arial"/>
        <family val="2"/>
      </rPr>
      <t xml:space="preserve">SUPPORTING STD PREVENTION, SURVEILLANCE,
</t>
    </r>
    <r>
      <rPr>
        <sz val="6"/>
        <rFont val="Arial"/>
        <family val="2"/>
      </rPr>
      <t>POLICY, AND EDUCATION ACTIVITIES WITHIN NYSDOH.</t>
    </r>
  </si>
  <si>
    <t>22-4782659</t>
  </si>
  <si>
    <r>
      <rPr>
        <sz val="6"/>
        <rFont val="Arial"/>
        <family val="2"/>
      </rPr>
      <t xml:space="preserve">COMPREHENSIVE HIGH-IMPACT HIV PREVENTION
</t>
    </r>
    <r>
      <rPr>
        <sz val="6"/>
        <rFont val="Arial"/>
        <family val="2"/>
      </rPr>
      <t>PROJECTS FOR COMMUNITY-BASED ORGANIZATIONS,</t>
    </r>
  </si>
  <si>
    <t>22-4782660</t>
  </si>
  <si>
    <t>22-4782661</t>
  </si>
  <si>
    <r>
      <rPr>
        <sz val="6"/>
        <rFont val="Arial"/>
        <family val="2"/>
      </rPr>
      <t>HANDS UNITED: SOUTHERN REGION TRACK B TA PROGRAM</t>
    </r>
  </si>
  <si>
    <t>22-4782662</t>
  </si>
  <si>
    <t>22-4782663</t>
  </si>
  <si>
    <t>22-4782664</t>
  </si>
  <si>
    <t>22-4782665</t>
  </si>
  <si>
    <r>
      <rPr>
        <sz val="6"/>
        <rFont val="Arial"/>
        <family val="2"/>
      </rPr>
      <t>NEW YORK CITY - TB ELIMINATION AND LABORATORY COOPERATIVE AGREEMENT</t>
    </r>
  </si>
  <si>
    <t>22-4782666</t>
  </si>
  <si>
    <r>
      <rPr>
        <sz val="6"/>
        <rFont val="Arial"/>
        <family val="2"/>
      </rPr>
      <t>NEW YORK CITY DEPARTMENT OF HEALTH &amp; MENTAL HYGIENE (NYC DOHMH) INTEGRATED HIV SURVEILLANCE &amp; PREVENTION PROGRAM</t>
    </r>
  </si>
  <si>
    <t>22-4782667</t>
  </si>
  <si>
    <r>
      <rPr>
        <sz val="6"/>
        <rFont val="Arial"/>
        <family val="2"/>
      </rPr>
      <t xml:space="preserve">NEW YORK CITY DEPARTMENT OF HEALTH &amp; MENTAL HYGIENE (NYC DOHMH) MEDICAL
</t>
    </r>
    <r>
      <rPr>
        <sz val="6"/>
        <rFont val="Arial"/>
        <family val="2"/>
      </rPr>
      <t>MONITORING PROJECT (MMP)</t>
    </r>
  </si>
  <si>
    <t>22-4782668</t>
  </si>
  <si>
    <r>
      <rPr>
        <sz val="6"/>
        <rFont val="Arial"/>
        <family val="2"/>
      </rPr>
      <t xml:space="preserve">NEW YORK CITY DEPARTMENT OF HEALTH &amp; MENTAL HYGIENE (NYC DOHMH) NATIONAL HIV
</t>
    </r>
    <r>
      <rPr>
        <sz val="6"/>
        <rFont val="Arial"/>
        <family val="2"/>
      </rPr>
      <t>BEHAVIORAL SURVEILLANCE SYSTEM (NHBS)</t>
    </r>
  </si>
  <si>
    <t>22-4782669</t>
  </si>
  <si>
    <r>
      <rPr>
        <sz val="6"/>
        <rFont val="Arial"/>
        <family val="2"/>
      </rPr>
      <t>NYC DOHMH CBA FOR HIGH IMPACT HIV PREVENTION PROGRAM INTEGRATION</t>
    </r>
  </si>
  <si>
    <t>22-4782670</t>
  </si>
  <si>
    <r>
      <rPr>
        <sz val="6"/>
        <rFont val="Arial"/>
        <family val="2"/>
      </rPr>
      <t xml:space="preserve">NYCDOHMH IMPROVING HEPATITIS B AND C CARE CASCADES; FOCUS ON INCREASED TESTING AND
</t>
    </r>
    <r>
      <rPr>
        <sz val="6"/>
        <rFont val="Arial"/>
        <family val="2"/>
      </rPr>
      <t>DIAGNOSIS</t>
    </r>
  </si>
  <si>
    <t>22-4782671</t>
  </si>
  <si>
    <t>22-4782672</t>
  </si>
  <si>
    <t>22-4782673</t>
  </si>
  <si>
    <r>
      <rPr>
        <sz val="6"/>
        <rFont val="Arial"/>
        <family val="2"/>
      </rPr>
      <t xml:space="preserve">THE DEVELOPMENT OF A COUPLES-FOCUSED HIV BEHAVIORAL INTERVENTION TO ENHANCE UPTAKE OF EVIDENCED INFORMED COMBINATION HIV PREVENTATIVE METHODS FOR HIGH-RISK HETEROSEXUALLY-IDENTIFIED BLACK YOUTH AND
</t>
    </r>
    <r>
      <rPr>
        <sz val="6"/>
        <rFont val="Arial"/>
        <family val="2"/>
      </rPr>
      <t>TH</t>
    </r>
  </si>
  <si>
    <t>22-4782674</t>
  </si>
  <si>
    <r>
      <rPr>
        <sz val="6"/>
        <rFont val="Arial"/>
        <family val="2"/>
      </rPr>
      <t xml:space="preserve">IMPACT OF NEIGHBORHOODS AND NETWORKS ON HIV PREVENTION AND CARE BEHAVIORS AMONG
</t>
    </r>
    <r>
      <rPr>
        <sz val="6"/>
        <rFont val="Arial"/>
        <family val="2"/>
      </rPr>
      <t>BLACK MSM IN THE DEEP SOUTH</t>
    </r>
  </si>
  <si>
    <t>22-4782675</t>
  </si>
  <si>
    <t>22-4782676</t>
  </si>
  <si>
    <r>
      <rPr>
        <sz val="6"/>
        <rFont val="Arial"/>
        <family val="2"/>
      </rPr>
      <t xml:space="preserve">COMPONENT A: INTEGRATED HIV SURVEILLANCE AND PREVENTION PROGRAM FOR THE NYS DEPARTMENT OF HEALTHCOMPONENT B: HIGH
</t>
    </r>
    <r>
      <rPr>
        <sz val="6"/>
        <rFont val="Arial"/>
        <family val="2"/>
      </rPr>
      <t>IMPACT PREVENTION AND SURVEILLANCE PROJECT (HIPS)</t>
    </r>
  </si>
  <si>
    <t>22-4782677</t>
  </si>
  <si>
    <r>
      <rPr>
        <sz val="6"/>
        <rFont val="Arial"/>
        <family val="2"/>
      </rPr>
      <t>FUNDS WILL SUPPRT NYSPTC/DISTC TO PROV TRNG TO STRGTH SKILLS</t>
    </r>
  </si>
  <si>
    <t>22-4782678</t>
  </si>
  <si>
    <t>22-4782679</t>
  </si>
  <si>
    <r>
      <rPr>
        <sz val="6"/>
        <rFont val="Arial"/>
        <family val="2"/>
      </rPr>
      <t>NATIONAL HIV BEHAVIORAL SURVEILLANCE (NHBS)</t>
    </r>
  </si>
  <si>
    <t>22-4782680</t>
  </si>
  <si>
    <r>
      <rPr>
        <sz val="6"/>
        <rFont val="Arial"/>
        <family val="2"/>
      </rPr>
      <t xml:space="preserve">PCDC'S HIGH-IMPACT HIV PREVENTION (HIP) TECHNICAL ASSISTANCE IN CLINICAL SETTINGS
</t>
    </r>
    <r>
      <rPr>
        <sz val="6"/>
        <rFont val="Arial"/>
        <family val="2"/>
      </rPr>
      <t>FOR NORTHEAST REGION OF US</t>
    </r>
  </si>
  <si>
    <t>22-4782681</t>
  </si>
  <si>
    <r>
      <rPr>
        <sz val="6"/>
        <rFont val="Arial"/>
        <family val="2"/>
      </rPr>
      <t>YOUNG MSM ALTERNATIVE PREVENTIVE AND CARE PROGRAM</t>
    </r>
  </si>
  <si>
    <t>22-4782682</t>
  </si>
  <si>
    <t>22-4782683</t>
  </si>
  <si>
    <r>
      <rPr>
        <sz val="6"/>
        <rFont val="Arial"/>
        <family val="2"/>
      </rPr>
      <t xml:space="preserve">MODELING HIV, VIRAL HEPATITIS, STI, AND TB TO IMPROVE PUBLIC HEALTH - CAMP 2.0: THE COALITION FOR APPLIED MODELING FOR
</t>
    </r>
    <r>
      <rPr>
        <sz val="6"/>
        <rFont val="Arial"/>
        <family val="2"/>
      </rPr>
      <t>PREVENTION</t>
    </r>
  </si>
  <si>
    <t>22-4782684</t>
  </si>
  <si>
    <t>22-4782685</t>
  </si>
  <si>
    <r>
      <rPr>
        <sz val="6"/>
        <rFont val="Arial"/>
        <family val="2"/>
      </rPr>
      <t>NATIONAL NETWORK OF SEXUALLY TRANSMITTED DISEASES CLINICAL PREVENTION TRAINING CENTERS (NNPTC)</t>
    </r>
  </si>
  <si>
    <t>22-4782686</t>
  </si>
  <si>
    <r>
      <rPr>
        <sz val="6"/>
        <rFont val="Arial"/>
        <family val="2"/>
      </rPr>
      <t>CAPACITY BUILDING ASSISTANCE (CBA) FOR HIGH IMPACT HIV PREVENTION PROGRAM INTEGRATION</t>
    </r>
  </si>
  <si>
    <t>22-4782687</t>
  </si>
  <si>
    <t>22-4782688</t>
  </si>
  <si>
    <t>22-4782689</t>
  </si>
  <si>
    <t>22-4782690</t>
  </si>
  <si>
    <t>22-4782691</t>
  </si>
  <si>
    <r>
      <rPr>
        <sz val="6"/>
        <rFont val="Arial"/>
        <family val="2"/>
      </rPr>
      <t xml:space="preserve">COMMUNITY APPROACHES TO REDUCING SEXUALLY TRANSMITTED DISEASES (CARS)
</t>
    </r>
    <r>
      <rPr>
        <sz val="6"/>
        <rFont val="Arial"/>
        <family val="2"/>
      </rPr>
      <t>BUFFALO NEW YORK</t>
    </r>
  </si>
  <si>
    <t>22-4782692</t>
  </si>
  <si>
    <t>22-4782693</t>
  </si>
  <si>
    <r>
      <rPr>
        <sz val="6"/>
        <rFont val="Arial"/>
        <family val="2"/>
      </rPr>
      <t xml:space="preserve">SUPPORTING STD PREVENTION, SURVEILLANCE, POLICY, AND EDUCATION ACTIVITIES WITHIN
</t>
    </r>
    <r>
      <rPr>
        <sz val="6"/>
        <rFont val="Arial"/>
        <family val="2"/>
      </rPr>
      <t>NYSDOH.</t>
    </r>
  </si>
  <si>
    <t>22-4782694</t>
  </si>
  <si>
    <r>
      <rPr>
        <sz val="6"/>
        <rFont val="Arial"/>
        <family val="2"/>
      </rPr>
      <t>NEW YORK CITY DEPARTMENT OF HEALTH &amp; MENTAL HYGIENE (NYC DOHMH) NATIONAL HIV BEHAVIORAL SURVEILLANCE SYSTEM (NHBS)</t>
    </r>
  </si>
  <si>
    <t>22-4782695</t>
  </si>
  <si>
    <t>22-4782696</t>
  </si>
  <si>
    <t>22-4782697</t>
  </si>
  <si>
    <t>22-4782698</t>
  </si>
  <si>
    <t>22-4782699</t>
  </si>
  <si>
    <t>22-4782700</t>
  </si>
  <si>
    <t>22-4782701</t>
  </si>
  <si>
    <t>22-4782702</t>
  </si>
  <si>
    <t>22-4782703</t>
  </si>
  <si>
    <r>
      <rPr>
        <sz val="6"/>
        <rFont val="Arial"/>
        <family val="2"/>
      </rPr>
      <t>NOVEL ANTI-VIRAL FORMULATION TO PREVENT RHINOVIRUS AND INFLUENZA</t>
    </r>
  </si>
  <si>
    <t>22-4782704</t>
  </si>
  <si>
    <t>22-4782705</t>
  </si>
  <si>
    <t>22-4782706</t>
  </si>
  <si>
    <t>22-4782707</t>
  </si>
  <si>
    <t>22-4782708</t>
  </si>
  <si>
    <t>22-4782709</t>
  </si>
  <si>
    <r>
      <rPr>
        <sz val="6"/>
        <rFont val="Arial"/>
        <family val="2"/>
      </rPr>
      <t xml:space="preserve">ENHANCED SURVEILLANCE FOR NEWLY PREVENTABLE DISEASES (ARI AND AGE
</t>
    </r>
    <r>
      <rPr>
        <sz val="6"/>
        <rFont val="Arial"/>
        <family val="2"/>
      </rPr>
      <t>SURVEILLANCE) ROCHESTER, NY</t>
    </r>
  </si>
  <si>
    <t>22-4782710</t>
  </si>
  <si>
    <r>
      <rPr>
        <sz val="6"/>
        <rFont val="Arial"/>
        <family val="2"/>
      </rPr>
      <t>THE VAX-MOM STUDY: INCREASING INFLUENZA AND TDAP VACCINATIONS OF PREGNANT WOMEN</t>
    </r>
  </si>
  <si>
    <t>22-4782711</t>
  </si>
  <si>
    <t>22-4782712</t>
  </si>
  <si>
    <t>22-4782713</t>
  </si>
  <si>
    <t>22-4782714</t>
  </si>
  <si>
    <t>22-4782715</t>
  </si>
  <si>
    <t>22-4782716</t>
  </si>
  <si>
    <r>
      <rPr>
        <sz val="6"/>
        <rFont val="Arial"/>
        <family val="2"/>
      </rPr>
      <t>ENHANCED SURVEILLANCE FOR NEWLY PREVENTABLE DISEASES (ARI AND AGE SURVEILLANCE) - ROCHESTER, NY</t>
    </r>
  </si>
  <si>
    <t>22-4782717</t>
  </si>
  <si>
    <t>22-4782718</t>
  </si>
  <si>
    <t>22-4782719</t>
  </si>
  <si>
    <t>22-4782720</t>
  </si>
  <si>
    <t>22-4782721</t>
  </si>
  <si>
    <t>22-4782722</t>
  </si>
  <si>
    <r>
      <rPr>
        <sz val="6"/>
        <rFont val="Arial"/>
        <family val="2"/>
      </rPr>
      <t>CE19-001, THE COLUMBIA CENTER FOR INJURY SCIENCE AND PREVENTION (CCISP)</t>
    </r>
  </si>
  <si>
    <t>22-4782723</t>
  </si>
  <si>
    <r>
      <rPr>
        <sz val="6"/>
        <rFont val="Arial"/>
        <family val="2"/>
      </rPr>
      <t>NEW YORK STATE CORE STATE VIOLENCE AND INJURY PREVENTION PROGRAM</t>
    </r>
  </si>
  <si>
    <t>22-4782724</t>
  </si>
  <si>
    <r>
      <rPr>
        <sz val="6"/>
        <rFont val="Arial"/>
        <family val="2"/>
      </rPr>
      <t xml:space="preserve">PATHWAYS TO SUCCESS: NYS BUILDING SUPPORTIVE COMMUNITIES FOR YOUNG FAMILIES
</t>
    </r>
    <r>
      <rPr>
        <sz val="6"/>
        <rFont val="Arial"/>
        <family val="2"/>
      </rPr>
      <t>IN NYC</t>
    </r>
  </si>
  <si>
    <t>22-4782725</t>
  </si>
  <si>
    <r>
      <rPr>
        <sz val="6"/>
        <rFont val="Arial"/>
        <family val="2"/>
      </rPr>
      <t xml:space="preserve">TESTING THE EFFICACY OF A STRENGTHS-BASED CURRICULUM TO REDUCE RISK FOR FUTURE SEXUAL VIOLENCE PERPETRATION AMONG
</t>
    </r>
    <r>
      <rPr>
        <sz val="6"/>
        <rFont val="Arial"/>
        <family val="2"/>
      </rPr>
      <t>MIDDLE SCHOOL BOYS</t>
    </r>
  </si>
  <si>
    <t>22-4782726</t>
  </si>
  <si>
    <t>22-4782727</t>
  </si>
  <si>
    <r>
      <rPr>
        <sz val="6"/>
        <rFont val="Arial"/>
        <family val="2"/>
      </rPr>
      <t>EMERGENCY DEPARTMENT SURVEILLANCE OF NONFATAL SUICIDE-RELATED OUTCOMES IN NYS</t>
    </r>
  </si>
  <si>
    <t>22-4782728</t>
  </si>
  <si>
    <r>
      <rPr>
        <sz val="6"/>
        <rFont val="Arial"/>
        <family val="2"/>
      </rPr>
      <t>NEW YORK VIOLENT DEATH REPORTING SYSTEM</t>
    </r>
  </si>
  <si>
    <t>22-4782729</t>
  </si>
  <si>
    <r>
      <rPr>
        <sz val="6"/>
        <rFont val="Arial"/>
        <family val="2"/>
      </rPr>
      <t>STRATEGIES TO OPERATIONALIZE THE PREVENTION OF OVERDOSE DEATH (STOP OD)</t>
    </r>
  </si>
  <si>
    <t>22-4782730</t>
  </si>
  <si>
    <t>22-4782731</t>
  </si>
  <si>
    <t>22-4782732</t>
  </si>
  <si>
    <t>22-4782733</t>
  </si>
  <si>
    <r>
      <rPr>
        <sz val="6"/>
        <rFont val="Arial"/>
        <family val="2"/>
      </rPr>
      <t>PREGNANCY RISK ASSESSMENT MONITORING SYSTEM (PRAMS) COMPONENT A</t>
    </r>
  </si>
  <si>
    <t>22-4782734</t>
  </si>
  <si>
    <t>22-4782735</t>
  </si>
  <si>
    <r>
      <rPr>
        <sz val="6"/>
        <rFont val="Arial"/>
        <family val="2"/>
      </rPr>
      <t xml:space="preserve">EVALUATION OF COMMUNITY-BASED DRUG USER HEALTH HUBS TO REDUCE OPIOID OVERDOSES IN
</t>
    </r>
    <r>
      <rPr>
        <sz val="6"/>
        <rFont val="Arial"/>
        <family val="2"/>
      </rPr>
      <t>NY STATE</t>
    </r>
  </si>
  <si>
    <t>22-4782736</t>
  </si>
  <si>
    <t>22-4782737</t>
  </si>
  <si>
    <r>
      <rPr>
        <sz val="6"/>
        <rFont val="Arial"/>
        <family val="2"/>
      </rPr>
      <t xml:space="preserve">RESEARCH GRANTS FOR THE PRIMARY OR SECONDARY PREVENTION OF OPIOID OVERDOSE
</t>
    </r>
    <r>
      <rPr>
        <sz val="6"/>
        <rFont val="Arial"/>
        <family val="2"/>
      </rPr>
      <t>(R01) - 2018</t>
    </r>
  </si>
  <si>
    <t>22-4782738</t>
  </si>
  <si>
    <r>
      <rPr>
        <sz val="6"/>
        <rFont val="Arial"/>
        <family val="2"/>
      </rPr>
      <t>RANDOMIZED CONTROLLED TRIAL OF RELAY- NYC'S NONFATAL OVERDOSE RESPONSE PROGRAM</t>
    </r>
  </si>
  <si>
    <t>22-4782739</t>
  </si>
  <si>
    <r>
      <rPr>
        <sz val="6"/>
        <rFont val="Arial"/>
        <family val="2"/>
      </rPr>
      <t>NEW YORK STATE - OVERDOSE DATA TO ACTION</t>
    </r>
  </si>
  <si>
    <t>22-4782740</t>
  </si>
  <si>
    <r>
      <rPr>
        <sz val="6"/>
        <rFont val="Arial"/>
        <family val="2"/>
      </rPr>
      <t xml:space="preserve">A RIGOROUS EVALUATION OF THE OPIOID INTERVENTION COURT STRATEGY- A PUBLIC
</t>
    </r>
    <r>
      <rPr>
        <sz val="6"/>
        <rFont val="Arial"/>
        <family val="2"/>
      </rPr>
      <t>HEALTH RESPONSE</t>
    </r>
  </si>
  <si>
    <t>22-4782741</t>
  </si>
  <si>
    <t>22-4782742</t>
  </si>
  <si>
    <t>22-4782743</t>
  </si>
  <si>
    <r>
      <rPr>
        <sz val="6"/>
        <rFont val="Arial"/>
        <family val="2"/>
      </rPr>
      <t>NIOSH (REGION LL) EDUCATION RESOURCES CENTER</t>
    </r>
  </si>
  <si>
    <t>22-4782744</t>
  </si>
  <si>
    <r>
      <rPr>
        <sz val="6"/>
        <rFont val="Arial"/>
        <family val="2"/>
      </rPr>
      <t>EXPLORING THE ROLE OF CLIENT DEATH SUPPORT IN HOME CARE WORKERS' GRIEF, STRESS, AND JOB SATISFACTION</t>
    </r>
  </si>
  <si>
    <t>22-4782745</t>
  </si>
  <si>
    <r>
      <rPr>
        <sz val="6"/>
        <rFont val="Arial"/>
        <family val="2"/>
      </rPr>
      <t xml:space="preserve">DOCUMENTING THE TRUE COST OF OCCUPATIONAL INJURY BURDEN IN AGRICULTURE: A MIXED METHODS EFFORT TO
</t>
    </r>
    <r>
      <rPr>
        <sz val="6"/>
        <rFont val="Arial"/>
        <family val="2"/>
      </rPr>
      <t>IMPROVE INJURY SURVEILLANCE METHODS</t>
    </r>
  </si>
  <si>
    <t>22-4782746</t>
  </si>
  <si>
    <r>
      <rPr>
        <sz val="6"/>
        <rFont val="Arial"/>
        <family val="2"/>
      </rPr>
      <t xml:space="preserve">GIVING SAFETY A COMPETITIVE ADVANTAGE: INCREASING PFD USE AMONG LOBSTER
</t>
    </r>
    <r>
      <rPr>
        <sz val="6"/>
        <rFont val="Arial"/>
        <family val="2"/>
      </rPr>
      <t>FISHERMEN</t>
    </r>
  </si>
  <si>
    <t>22-4782747</t>
  </si>
  <si>
    <r>
      <rPr>
        <sz val="6"/>
        <rFont val="Arial"/>
        <family val="2"/>
      </rPr>
      <t>THE NORTHEAST CENTER FOR AGRICULTURAL HEALTH-RENEWAL</t>
    </r>
  </si>
  <si>
    <t>22-4782748</t>
  </si>
  <si>
    <r>
      <rPr>
        <sz val="6"/>
        <rFont val="Arial"/>
        <family val="2"/>
      </rPr>
      <t xml:space="preserve">OCCUPATIONAL HEALTH AND SAFETY
</t>
    </r>
    <r>
      <rPr>
        <sz val="6"/>
        <rFont val="Arial"/>
        <family val="2"/>
      </rPr>
      <t>SURVEILLANCE AND INTERVENTION IN NEW YORK STATE</t>
    </r>
  </si>
  <si>
    <t>22-4782749</t>
  </si>
  <si>
    <r>
      <rPr>
        <sz val="6"/>
        <rFont val="Arial"/>
        <family val="2"/>
      </rPr>
      <t>TRANSGENERATIONAL WORK EXPOSURES, EDCS AND MALE FERTILITY</t>
    </r>
  </si>
  <si>
    <t>22-4782750</t>
  </si>
  <si>
    <t>22-4782751</t>
  </si>
  <si>
    <r>
      <rPr>
        <sz val="6"/>
        <rFont val="Arial"/>
        <family val="2"/>
      </rPr>
      <t>UNIVERSITY AT BUFFALO, SUNY OCCUPATIONAL SAFETY AND HEALTH TRAINING PROJECT</t>
    </r>
  </si>
  <si>
    <t>22-4782752</t>
  </si>
  <si>
    <t>22-4782753</t>
  </si>
  <si>
    <r>
      <rPr>
        <sz val="6"/>
        <rFont val="Arial"/>
        <family val="2"/>
      </rPr>
      <t xml:space="preserve">PUBLIC HEALTH EMERGENCY PREPAREDNESS
</t>
    </r>
    <r>
      <rPr>
        <sz val="6"/>
        <rFont val="Arial"/>
        <family val="2"/>
      </rPr>
      <t>COOPERATIVE AGREEMENT DEPARTMENT OF HEALTH AND HUMAN SERVICES</t>
    </r>
  </si>
  <si>
    <t>22-4782754</t>
  </si>
  <si>
    <r>
      <rPr>
        <sz val="6"/>
        <rFont val="Arial"/>
        <family val="2"/>
      </rPr>
      <t>NYC DOHMH FY19 BP1 PHEP</t>
    </r>
  </si>
  <si>
    <t>22-4782755</t>
  </si>
  <si>
    <r>
      <rPr>
        <sz val="6"/>
        <rFont val="Arial"/>
        <family val="2"/>
      </rPr>
      <t xml:space="preserve">INCREASING PUBLIC AWARENESS AND PROVIDER
</t>
    </r>
    <r>
      <rPr>
        <sz val="6"/>
        <rFont val="Arial"/>
        <family val="2"/>
      </rPr>
      <t>EDUCATION ABOUT PRIMARY IMMUNODEFICIENCY DISEASE</t>
    </r>
  </si>
  <si>
    <t>22-4782756</t>
  </si>
  <si>
    <t>22-4782757</t>
  </si>
  <si>
    <t>22-4782758</t>
  </si>
  <si>
    <t>22-4782759</t>
  </si>
  <si>
    <t>22-4782760</t>
  </si>
  <si>
    <t>22-4782761</t>
  </si>
  <si>
    <t>22-4782762</t>
  </si>
  <si>
    <t>22-4782763</t>
  </si>
  <si>
    <t>22-4782764</t>
  </si>
  <si>
    <r>
      <rPr>
        <sz val="6"/>
        <rFont val="Arial"/>
        <family val="2"/>
      </rPr>
      <t xml:space="preserve">DETECTION AND INCIDENCE OF THYROID CANCER
</t>
    </r>
    <r>
      <rPr>
        <sz val="6"/>
        <rFont val="Arial"/>
        <family val="2"/>
      </rPr>
      <t>AMONG THREE COHORTS OF WTC-EXPOSED RESCUE AND RECOVERY WORKERS</t>
    </r>
  </si>
  <si>
    <t>22-4782765</t>
  </si>
  <si>
    <r>
      <rPr>
        <sz val="6"/>
        <rFont val="Arial"/>
        <family val="2"/>
      </rPr>
      <t xml:space="preserve">EARLY DETECTION OF HEMATOLOGIC
</t>
    </r>
    <r>
      <rPr>
        <sz val="6"/>
        <rFont val="Arial"/>
        <family val="2"/>
      </rPr>
      <t>MALIGNANCIES IN NEW YORK FIREFIGHTERS EXPOSED</t>
    </r>
  </si>
  <si>
    <t>22-4782766</t>
  </si>
  <si>
    <r>
      <rPr>
        <sz val="6"/>
        <rFont val="Arial"/>
        <family val="2"/>
      </rPr>
      <t>INCIDENCE, LATENCY, AND SURVIVAL OF CANCER FOLLOWING WORLD TRADE CENTER EXPOSURE</t>
    </r>
  </si>
  <si>
    <t>22-4782767</t>
  </si>
  <si>
    <r>
      <rPr>
        <sz val="6"/>
        <rFont val="Arial"/>
        <family val="2"/>
      </rPr>
      <t xml:space="preserve">MAINTENANCE AND EXTENSION OF A COHORT OF CAREER FIREFIGHTERS AS A NON-WTC EXPOSED COMPARISON FOR THE FDNY FIREFIGHTER
</t>
    </r>
    <r>
      <rPr>
        <sz val="6"/>
        <rFont val="Arial"/>
        <family val="2"/>
      </rPr>
      <t>COHORT</t>
    </r>
  </si>
  <si>
    <t>22-4782768</t>
  </si>
  <si>
    <r>
      <rPr>
        <sz val="6"/>
        <rFont val="Arial"/>
        <family val="2"/>
      </rPr>
      <t xml:space="preserve">ASSESSING INFLAMMATORY AND BEHAVIORAL PATHWAYS LINKING PTSD TO INCREASED
</t>
    </r>
    <r>
      <rPr>
        <sz val="6"/>
        <rFont val="Arial"/>
        <family val="2"/>
      </rPr>
      <t>ASTHMA MORBIDITY IN WTC WORKERS</t>
    </r>
  </si>
  <si>
    <t>22-4782769</t>
  </si>
  <si>
    <r>
      <rPr>
        <sz val="6"/>
        <rFont val="Arial"/>
        <family val="2"/>
      </rPr>
      <t>CHRONIC OBSTRUCTIVE PULMONARY DISEASE IN WTC WORKERS - DIAGNOSES AND TRANSITIONS</t>
    </r>
  </si>
  <si>
    <t>22-4782770</t>
  </si>
  <si>
    <r>
      <rPr>
        <sz val="6"/>
        <rFont val="Arial"/>
        <family val="2"/>
      </rPr>
      <t>DEVELOPMENT AND IMPLEMENTATION OF A COMPARISON OCCUPATIONAL COHORT FOR THE WTC GRC</t>
    </r>
  </si>
  <si>
    <t>22-4782771</t>
  </si>
  <si>
    <r>
      <rPr>
        <sz val="6"/>
        <rFont val="Arial"/>
        <family val="2"/>
      </rPr>
      <t>EXPLORING MECHANISMS OF OBSTRUCTIVE SLEEP APNEA (OSA) IN WTC RESPONDERS</t>
    </r>
  </si>
  <si>
    <t>22-4782772</t>
  </si>
  <si>
    <r>
      <rPr>
        <sz val="6"/>
        <rFont val="Arial"/>
        <family val="2"/>
      </rPr>
      <t xml:space="preserve">HEPATOTOXIC EXPOSURES, PROGRESSIVE FATTY LIVER DISEASE (NASH), AND LIVER CANCER RISK IN THE WORLD TRADE CENTER HEALTH PROGRAM
</t>
    </r>
    <r>
      <rPr>
        <sz val="6"/>
        <rFont val="Arial"/>
        <family val="2"/>
      </rPr>
      <t>GENERAL RESPONDER COHORT</t>
    </r>
  </si>
  <si>
    <t>22-4782773</t>
  </si>
  <si>
    <r>
      <rPr>
        <sz val="6"/>
        <rFont val="Arial"/>
        <family val="2"/>
      </rPr>
      <t>IMPACT OF WTC DUST ON IMMUNE FUNCTIONS AND PROSTATE CANCER PROMOTION</t>
    </r>
  </si>
  <si>
    <t>22-4782774</t>
  </si>
  <si>
    <r>
      <rPr>
        <sz val="6"/>
        <rFont val="Arial"/>
        <family val="2"/>
      </rPr>
      <t>LINKING THE EFFECTS OF 9/11 TO KIDNEY DISEASE</t>
    </r>
  </si>
  <si>
    <t>22-4782775</t>
  </si>
  <si>
    <r>
      <rPr>
        <sz val="6"/>
        <rFont val="Arial"/>
        <family val="2"/>
      </rPr>
      <t>MORTALITY AMONG WTC RESCUE AND RECOVERY WORKERS</t>
    </r>
  </si>
  <si>
    <t>22-4782776</t>
  </si>
  <si>
    <r>
      <rPr>
        <sz val="6"/>
        <rFont val="Arial"/>
        <family val="2"/>
      </rPr>
      <t xml:space="preserve">NEUROIMAGING OF RESILIENCE IN WORLD TRADE
</t>
    </r>
    <r>
      <rPr>
        <sz val="6"/>
        <rFont val="Arial"/>
        <family val="2"/>
      </rPr>
      <t>CENTER RESPONDERS: A FOCUS ON EMOTIONAL PROCESSING, REWARD AND SOCIAL COGNITION</t>
    </r>
  </si>
  <si>
    <t>22-4782777</t>
  </si>
  <si>
    <r>
      <rPr>
        <sz val="6"/>
        <rFont val="Arial"/>
        <family val="2"/>
      </rPr>
      <t xml:space="preserve">OPTIMIZING LUNG CANCER SCREENING IN WORLD
</t>
    </r>
    <r>
      <rPr>
        <sz val="6"/>
        <rFont val="Arial"/>
        <family val="2"/>
      </rPr>
      <t>TRADE CENTER RESCUE AND RECOVERY WORKERS</t>
    </r>
  </si>
  <si>
    <t>22-4782778</t>
  </si>
  <si>
    <r>
      <rPr>
        <sz val="6"/>
        <rFont val="Arial"/>
        <family val="2"/>
      </rPr>
      <t xml:space="preserve">PULMONARY DISEASES IN WTC WORKERS: SYMPTOMS, FUNCTION, AND CHEST CT
</t>
    </r>
    <r>
      <rPr>
        <sz val="6"/>
        <rFont val="Arial"/>
        <family val="2"/>
      </rPr>
      <t>CORRELATES</t>
    </r>
  </si>
  <si>
    <t>22-4782779</t>
  </si>
  <si>
    <r>
      <rPr>
        <sz val="6"/>
        <rFont val="Arial"/>
        <family val="2"/>
      </rPr>
      <t xml:space="preserve">STRUCTURAL AND FUNCTIONAL NEUROIMAGING OF POST TRAUMATIC STRESS DISORDER AND COGNITIVE IMPAIRMENT IN WORLD TRADE
</t>
    </r>
    <r>
      <rPr>
        <sz val="6"/>
        <rFont val="Arial"/>
        <family val="2"/>
      </rPr>
      <t>CENTER RESPONDERS</t>
    </r>
  </si>
  <si>
    <t>22-4782780</t>
  </si>
  <si>
    <r>
      <rPr>
        <sz val="6"/>
        <rFont val="Arial"/>
        <family val="2"/>
      </rPr>
      <t>THYROID CANCER AGGRESSIVENESS IN WTC RESPONDERS</t>
    </r>
  </si>
  <si>
    <t>22-4782781</t>
  </si>
  <si>
    <r>
      <rPr>
        <sz val="6"/>
        <rFont val="Arial"/>
        <family val="2"/>
      </rPr>
      <t>WORLD TRADE CENTER TISSUE BIOBANK</t>
    </r>
  </si>
  <si>
    <t>22-4782782</t>
  </si>
  <si>
    <r>
      <rPr>
        <sz val="6"/>
        <rFont val="Arial"/>
        <family val="2"/>
      </rPr>
      <t>EXTENSION OF THE WORLD TRADE CENTER HEALTH REGISTRY (U50)</t>
    </r>
  </si>
  <si>
    <t>22-4782783</t>
  </si>
  <si>
    <r>
      <rPr>
        <sz val="6"/>
        <rFont val="Arial"/>
        <family val="2"/>
      </rPr>
      <t xml:space="preserve">METABOLOMICS OF WORLD TRADE CENTER-LUNG
</t>
    </r>
    <r>
      <rPr>
        <sz val="6"/>
        <rFont val="Arial"/>
        <family val="2"/>
      </rPr>
      <t>INJURY: BIOMARKER VALIDATION, LONGITUDINAL ASSESSMENT AND DIETARY INTERVENTION</t>
    </r>
  </si>
  <si>
    <t>22-4782784</t>
  </si>
  <si>
    <r>
      <rPr>
        <sz val="6"/>
        <rFont val="Arial"/>
        <family val="2"/>
      </rPr>
      <t xml:space="preserve">PRENATAL WTC CHEMICAL EXPOSURES, BIRTH OUTCOMES AND CARDIOMETABOLIC RISKS-
</t>
    </r>
    <r>
      <rPr>
        <sz val="6"/>
        <rFont val="Arial"/>
        <family val="2"/>
      </rPr>
      <t>RESUBMISSION-1</t>
    </r>
  </si>
  <si>
    <t>22-4782785</t>
  </si>
  <si>
    <r>
      <rPr>
        <sz val="6"/>
        <rFont val="Arial"/>
        <family val="2"/>
      </rPr>
      <t xml:space="preserve">ROLES FOR WTC DUST AND DEP CO-POLLUTANT IN FIRST RESPONDER CARDIOVASCULAR
</t>
    </r>
    <r>
      <rPr>
        <sz val="6"/>
        <rFont val="Arial"/>
        <family val="2"/>
      </rPr>
      <t>AILMENTS</t>
    </r>
  </si>
  <si>
    <t>22-4782786</t>
  </si>
  <si>
    <r>
      <rPr>
        <sz val="6"/>
        <rFont val="Arial"/>
        <family val="2"/>
      </rPr>
      <t>TREATMENT RESPONSE OF WTC RELATED AIRWAY INJURY</t>
    </r>
  </si>
  <si>
    <t>22-4782787</t>
  </si>
  <si>
    <r>
      <rPr>
        <sz val="6"/>
        <rFont val="Arial"/>
        <family val="2"/>
      </rPr>
      <t>9/11 TRAUMA AND TOXICITY IN CHILDHOOD: LONGITUDINAL HEALTH AND BEHAVIORAL OUTCOMES</t>
    </r>
  </si>
  <si>
    <t>22-4782788</t>
  </si>
  <si>
    <r>
      <rPr>
        <sz val="6"/>
        <rFont val="Arial"/>
        <family val="2"/>
      </rPr>
      <t>MULTIMODAL NEUROIMAGING OF COGNITIVE AND EMOTIONAL NETWORKS IN YOUNG ADULTS EXPOSED TO 9/11 AS CHILDREN</t>
    </r>
  </si>
  <si>
    <t>22-4782789</t>
  </si>
  <si>
    <r>
      <rPr>
        <sz val="6"/>
        <rFont val="Arial"/>
        <family val="2"/>
      </rPr>
      <t xml:space="preserve">RDOC DOMAINS UNDERLYING EMOTIONAL HEALTH AND TRAJECTORIES OF PSYCHOPATHOLOGY IN FAMILIES OF WTC FIRST
</t>
    </r>
    <r>
      <rPr>
        <sz val="6"/>
        <rFont val="Arial"/>
        <family val="2"/>
      </rPr>
      <t>RESPONDERS AND EVACUEES: A GENOME-WIDE GXE STUDY</t>
    </r>
  </si>
  <si>
    <t>22-4782790</t>
  </si>
  <si>
    <r>
      <rPr>
        <sz val="6"/>
        <rFont val="Arial"/>
        <family val="2"/>
      </rPr>
      <t xml:space="preserve">INFORMED/SHARED DECISION MAKING FOR PROSTATE CANCER SCREENING AMONG
</t>
    </r>
    <r>
      <rPr>
        <sz val="6"/>
        <rFont val="Arial"/>
        <family val="2"/>
      </rPr>
      <t>MEMBERS OF THE WORLD TRADE CENTER HEALTH PROGRAM</t>
    </r>
  </si>
  <si>
    <t>22-4782791</t>
  </si>
  <si>
    <r>
      <rPr>
        <sz val="6"/>
        <rFont val="Arial"/>
        <family val="2"/>
      </rPr>
      <t>LONGITUDINAL GENOME-WIDE TRANSCRIPTOME STUDY OF PTSD SYMPTOM CHANGE IN WTC RESPONDERS</t>
    </r>
  </si>
  <si>
    <t>22-4782792</t>
  </si>
  <si>
    <r>
      <rPr>
        <sz val="6"/>
        <rFont val="Arial"/>
        <family val="2"/>
      </rPr>
      <t>PERSONALITY-INFORMED CARE MODEL FOR 9/11- RELATED COMORBID CONDITIONS</t>
    </r>
  </si>
  <si>
    <t>22-4782793</t>
  </si>
  <si>
    <r>
      <rPr>
        <sz val="6"/>
        <rFont val="Arial"/>
        <family val="2"/>
      </rPr>
      <t>POLYGENIC PREDICTION OF PTSD TRAJECTORIES AND INFLAMMATION IN 9/11 RESPONDERS</t>
    </r>
  </si>
  <si>
    <t>22-4782794</t>
  </si>
  <si>
    <r>
      <rPr>
        <sz val="6"/>
        <rFont val="Arial"/>
        <family val="2"/>
      </rPr>
      <t xml:space="preserve">WA STATE ORGANIZED APPROACHES TO INCREASE COLORECTAL CANCER SCREENING.
</t>
    </r>
    <r>
      <rPr>
        <sz val="6"/>
        <rFont val="Arial"/>
        <family val="2"/>
      </rPr>
      <t>COMPONENT ONE AND TWO.</t>
    </r>
  </si>
  <si>
    <t>22-4782795</t>
  </si>
  <si>
    <r>
      <rPr>
        <sz val="6"/>
        <rFont val="Arial"/>
        <family val="2"/>
      </rPr>
      <t xml:space="preserve">WASHINGTON STATE 2015-2020 BRFSS - APPLICATION FOR 5 YEAR PROJECT PERIOD TO SUPPORT PLANNING, COLLECTION, SURVEILLANCE AND DISSEMINATION OF DATA FROM THE BEHAVIORAL RISK FACTOR
</t>
    </r>
    <r>
      <rPr>
        <sz val="6"/>
        <rFont val="Arial"/>
        <family val="2"/>
      </rPr>
      <t>SURVEILLANCE SYSTEM</t>
    </r>
  </si>
  <si>
    <t>22-4782796</t>
  </si>
  <si>
    <r>
      <rPr>
        <sz val="6"/>
        <rFont val="Arial"/>
        <family val="2"/>
      </rPr>
      <t>WELL-INTEGRATED SCREENING AND EVALUATION FOR WOMEN ACROSS THE NATION.</t>
    </r>
  </si>
  <si>
    <t>22-4782797</t>
  </si>
  <si>
    <t>22-4782798</t>
  </si>
  <si>
    <r>
      <rPr>
        <sz val="6"/>
        <rFont val="Arial"/>
        <family val="2"/>
      </rPr>
      <t>SEARCH FOR DIABETES IN YOUTH REGISTRY STUDY, PHASE 4: WASHINGTON CENTER</t>
    </r>
  </si>
  <si>
    <t>22-4782799</t>
  </si>
  <si>
    <r>
      <rPr>
        <sz val="6"/>
        <rFont val="Arial"/>
        <family val="2"/>
      </rPr>
      <t>GHWIC COMPONENT 2</t>
    </r>
  </si>
  <si>
    <t>22-4782800</t>
  </si>
  <si>
    <r>
      <rPr>
        <sz val="6"/>
        <rFont val="Arial"/>
        <family val="2"/>
      </rPr>
      <t>ABCDE IN WA</t>
    </r>
  </si>
  <si>
    <t>22-4782801</t>
  </si>
  <si>
    <t>22-4782802</t>
  </si>
  <si>
    <r>
      <rPr>
        <sz val="6"/>
        <rFont val="Arial"/>
        <family val="2"/>
      </rPr>
      <t xml:space="preserve">KING COUNTY SODIUM REDUCTION PARTNERSHIP- SODIUM REDUCTION IN HIGH- NEED SCHOOL DISTRICTS AND EMERGENCY
</t>
    </r>
    <r>
      <rPr>
        <sz val="6"/>
        <rFont val="Arial"/>
        <family val="2"/>
      </rPr>
      <t>FOOD SYSTEM.</t>
    </r>
  </si>
  <si>
    <t>22-4782803</t>
  </si>
  <si>
    <r>
      <rPr>
        <sz val="6"/>
        <rFont val="Arial"/>
        <family val="2"/>
      </rPr>
      <t xml:space="preserve">INNOVATIVE STATE AND LOCAL PUBLIC HEALTH
</t>
    </r>
    <r>
      <rPr>
        <sz val="6"/>
        <rFont val="Arial"/>
        <family val="2"/>
      </rPr>
      <t>STRATEGIES TO PREVENT AND MANAGE DIABETES AND HEART DISEASE AND STROKE</t>
    </r>
  </si>
  <si>
    <t>22-4782804</t>
  </si>
  <si>
    <r>
      <rPr>
        <sz val="6"/>
        <rFont val="Arial"/>
        <family val="2"/>
      </rPr>
      <t>WASHINGTON STATE PAUL COVERDELL ACUTE STROKE PREVENTION AND CARE</t>
    </r>
  </si>
  <si>
    <t>22-4782805</t>
  </si>
  <si>
    <t>22-4782806</t>
  </si>
  <si>
    <t>22-4782807</t>
  </si>
  <si>
    <r>
      <rPr>
        <sz val="6"/>
        <rFont val="Arial"/>
        <family val="2"/>
      </rPr>
      <t>REPLACEMENT GRANT</t>
    </r>
  </si>
  <si>
    <t>22-4782808</t>
  </si>
  <si>
    <r>
      <rPr>
        <sz val="6"/>
        <rFont val="Arial"/>
        <family val="2"/>
      </rPr>
      <t>SPANWA</t>
    </r>
  </si>
  <si>
    <t>22-4782809</t>
  </si>
  <si>
    <t>22-4782810</t>
  </si>
  <si>
    <t>22-4782811</t>
  </si>
  <si>
    <r>
      <rPr>
        <sz val="6"/>
        <rFont val="Arial"/>
        <family val="2"/>
      </rPr>
      <t>TAKING CARE OF OURSELVES WITH TRADITIONAL FOODS AND CULTURE</t>
    </r>
  </si>
  <si>
    <t>22-4782812</t>
  </si>
  <si>
    <r>
      <rPr>
        <sz val="6"/>
        <rFont val="Arial"/>
        <family val="2"/>
      </rPr>
      <t>KING COUNTY RACIAL AND ETHNIC APPROACHES TO COMMUNITY HEALTH (REACH)</t>
    </r>
  </si>
  <si>
    <t>22-4782813</t>
  </si>
  <si>
    <r>
      <rPr>
        <sz val="6"/>
        <rFont val="Arial"/>
        <family val="2"/>
      </rPr>
      <t>BUILDING RESILIENCE AND ACTION TO NURTURE COMMUNITY HEALTH (BRANCH)</t>
    </r>
  </si>
  <si>
    <t>22-4782814</t>
  </si>
  <si>
    <r>
      <rPr>
        <sz val="6"/>
        <rFont val="Arial"/>
        <family val="2"/>
      </rPr>
      <t>GATHER: GROWING AWARENESS OF TRADITIONS THAT HEAL EVERYONE IN RECIPROCITY</t>
    </r>
  </si>
  <si>
    <t>22-4782815</t>
  </si>
  <si>
    <t>22-4782816</t>
  </si>
  <si>
    <r>
      <rPr>
        <sz val="6"/>
        <rFont val="Arial"/>
        <family val="2"/>
      </rPr>
      <t>PROMOTING ADOLESCENT HEALTH THROUGH SCHOOL-BASED HIV PREVENTION, COMPONENTS 1 AND 2</t>
    </r>
  </si>
  <si>
    <t>22-4782817</t>
  </si>
  <si>
    <r>
      <rPr>
        <sz val="6"/>
        <rFont val="Arial"/>
        <family val="2"/>
      </rPr>
      <t xml:space="preserve">SUDDEN UNEXPECTED INFANT DEATH (SUID) CASE REGISTRY IN PIERCE COUNTY,
</t>
    </r>
    <r>
      <rPr>
        <sz val="6"/>
        <rFont val="Arial"/>
        <family val="2"/>
      </rPr>
      <t>WASHINGTON</t>
    </r>
  </si>
  <si>
    <t>22-4782818</t>
  </si>
  <si>
    <t>22-4782819</t>
  </si>
  <si>
    <r>
      <rPr>
        <sz val="6"/>
        <rFont val="Arial"/>
        <family val="2"/>
      </rPr>
      <t>PREVENTING MATERNAL DEATHS: SUPPORTING MATERNAL MORTALITY REVIEW COMMITTEES</t>
    </r>
  </si>
  <si>
    <t>22-4782820</t>
  </si>
  <si>
    <r>
      <rPr>
        <sz val="6"/>
        <rFont val="Arial"/>
        <family val="2"/>
      </rPr>
      <t xml:space="preserve">IMPROVING STUDENT HEALTH AND ACADEMIC ACHIEVEMENT THROUGH NUTRITION, PHYSICAL ACTIVITY AND THE MANAGEMENT OF CHRONIC CONDITIONS IN SCHOOLS CDC-RFA-DP18-1801,
</t>
    </r>
    <r>
      <rPr>
        <sz val="6"/>
        <rFont val="Arial"/>
        <family val="2"/>
      </rPr>
      <t>HEALTHY SCHOOLS WASHINGTON</t>
    </r>
  </si>
  <si>
    <t>22-4782821</t>
  </si>
  <si>
    <r>
      <rPr>
        <sz val="6"/>
        <rFont val="Arial"/>
        <family val="2"/>
      </rPr>
      <t>TOBACCO CONTROL PROGRAMS</t>
    </r>
  </si>
  <si>
    <t>22-4782822</t>
  </si>
  <si>
    <t>22-4782823</t>
  </si>
  <si>
    <r>
      <rPr>
        <sz val="6"/>
        <rFont val="Arial"/>
        <family val="2"/>
      </rPr>
      <t xml:space="preserve">THE WASHINGTON STATE DEPARTMENT OF HEALTH PROPOSES TO USE THESE FUNDS TO INCREASE THE NUMBER OFCALLERS TO THE
</t>
    </r>
    <r>
      <rPr>
        <sz val="6"/>
        <rFont val="Arial"/>
        <family val="2"/>
      </rPr>
      <t>WASHINGTON QUITLINE.</t>
    </r>
  </si>
  <si>
    <t>22-4782824</t>
  </si>
  <si>
    <t>5R01AI123856-02</t>
  </si>
  <si>
    <t>ID</t>
  </si>
  <si>
    <t>REPORTID</t>
  </si>
  <si>
    <t>-</t>
  </si>
  <si>
    <t>T</t>
  </si>
  <si>
    <t>D</t>
  </si>
  <si>
    <t>G</t>
  </si>
  <si>
    <t>H</t>
  </si>
  <si>
    <t>F</t>
  </si>
  <si>
    <t>5R01AI</t>
  </si>
  <si>
    <t>7S01CD</t>
  </si>
  <si>
    <t>3D01RG</t>
  </si>
  <si>
    <t>2B01PE</t>
  </si>
  <si>
    <t>Captext20</t>
  </si>
  <si>
    <t>Findings20</t>
  </si>
  <si>
    <t>Findingstext20</t>
  </si>
  <si>
    <t>notes20</t>
  </si>
  <si>
    <t>SEQ_NUMBER</t>
  </si>
  <si>
    <t>AUDITYEAR</t>
  </si>
  <si>
    <t>FINDINGREFNUMS</t>
  </si>
  <si>
    <t>TEXT</t>
  </si>
  <si>
    <t>ELECAUDITSID</t>
  </si>
  <si>
    <t>ELECAUDITFINDINGSID</t>
  </si>
  <si>
    <t>FINDINGSREFNUMS</t>
  </si>
  <si>
    <t>TYPEREQUIREMENT</t>
  </si>
  <si>
    <t>MODIFIEDOPINION</t>
  </si>
  <si>
    <t>OTHERNONCOMPLIANCE</t>
  </si>
  <si>
    <t>MATERIALWEAKNESS</t>
  </si>
  <si>
    <t>SIGNIFICANTDEFICIENCY</t>
  </si>
  <si>
    <t>OTHERFINDINGS</t>
  </si>
  <si>
    <t>QCOSTS</t>
  </si>
  <si>
    <t>REPEATFINDING</t>
  </si>
  <si>
    <t>PRIORFINDINGREFNUMS</t>
  </si>
  <si>
    <t>VERSION</t>
  </si>
  <si>
    <t>TYPE_ID</t>
  </si>
  <si>
    <t>NOTE_INDEX</t>
  </si>
  <si>
    <t>TITLE</t>
  </si>
  <si>
    <t>CONTENT</t>
  </si>
  <si>
    <t>type of audit report</t>
  </si>
  <si>
    <t>Is management adhering to Federal statutes, regulations, and the terms and conditions of Federal awards</t>
  </si>
  <si>
    <t>Is the competence and experience of personnel who administer the Federal programs low</t>
  </si>
  <si>
    <t>Are multiple internal control structures present</t>
  </si>
  <si>
    <t>Are there multiple internal control structures?</t>
  </si>
  <si>
    <t>Are there multiple units / more than one unit</t>
  </si>
  <si>
    <t>Is there as weak system for monitoring subrecipients?</t>
  </si>
  <si>
    <t xml:space="preserve">Prior (or reapeat) audit findings has a significant impact on a Federal program </t>
  </si>
  <si>
    <t>Prior (or reapeat) audit findings has not been corrected</t>
  </si>
  <si>
    <t>Does the entity disburse funds through third party contracts?</t>
  </si>
  <si>
    <t>IS there any sign of accounting weakness?</t>
  </si>
  <si>
    <t>Grant Description</t>
  </si>
  <si>
    <t>Grantor Federal Agency</t>
  </si>
  <si>
    <t>Major Project</t>
  </si>
  <si>
    <t>material weaknesses</t>
  </si>
  <si>
    <t>modified opinion</t>
  </si>
  <si>
    <t>questioned costs that exceed 5% - Federal awards expended</t>
  </si>
  <si>
    <t>Type A or B Program</t>
  </si>
  <si>
    <t>SubAwardee</t>
  </si>
  <si>
    <t>Subawardee amount &gt; 25%</t>
  </si>
  <si>
    <t>Audit Finding resolution</t>
  </si>
  <si>
    <t>Other Details</t>
  </si>
  <si>
    <t>Date</t>
  </si>
  <si>
    <t>FindingNUmber</t>
  </si>
  <si>
    <t>FindingTitle</t>
  </si>
  <si>
    <t>Due date</t>
  </si>
  <si>
    <t>Subrecipient given</t>
  </si>
  <si>
    <t>pass-through entity</t>
  </si>
  <si>
    <t>Comes under Oversight</t>
  </si>
  <si>
    <t>Oversight Entity Remarks</t>
  </si>
  <si>
    <t>Budget Start Date</t>
  </si>
  <si>
    <t>Budget End Date</t>
  </si>
  <si>
    <t>Federal Funds</t>
  </si>
  <si>
    <t>Multiple grantee subrecipient</t>
  </si>
  <si>
    <t>Is grantee Subrecipient</t>
  </si>
  <si>
    <t>Money put in by grantee</t>
  </si>
  <si>
    <t>&gt;5%</t>
  </si>
  <si>
    <t>A = Adverse opinion</t>
  </si>
  <si>
    <t>and rule</t>
  </si>
  <si>
    <t>Column AO</t>
  </si>
  <si>
    <t>to create</t>
  </si>
  <si>
    <t>&gt;50%</t>
  </si>
  <si>
    <t>Risk in starting year</t>
  </si>
  <si>
    <t>Risk in ending year</t>
  </si>
  <si>
    <t>If own funds lesser than federal funds for Type B it’s a risk</t>
  </si>
  <si>
    <t>Column AL</t>
  </si>
  <si>
    <t>If AY</t>
  </si>
  <si>
    <t>Own funds &lt;50% of grant</t>
  </si>
  <si>
    <t>Less risk</t>
  </si>
  <si>
    <t>Lesser risk</t>
  </si>
  <si>
    <t>Use cluster 11</t>
  </si>
  <si>
    <t>A. Activities allowed or unallowed</t>
  </si>
  <si>
    <t>III.1</t>
  </si>
  <si>
    <t>III.2</t>
  </si>
  <si>
    <t>III.3</t>
  </si>
  <si>
    <t>Corrective action not filed in time</t>
  </si>
  <si>
    <t>If one subrecipient has &gt;50% of grant</t>
  </si>
  <si>
    <t>B. Allowable costs/cost principles</t>
  </si>
  <si>
    <t>It is multiple grantee</t>
  </si>
  <si>
    <t>C. Cash management</t>
  </si>
  <si>
    <t>Type A Low risk if III.1,2,3 there in the previous two years</t>
  </si>
  <si>
    <t>D. Davis – Bacon Act</t>
  </si>
  <si>
    <t>Formulas</t>
  </si>
  <si>
    <t>E. Eligibility</t>
  </si>
  <si>
    <t>F. Equipment and real property management</t>
  </si>
  <si>
    <t>G. Matching, level of effort, earmarking</t>
  </si>
  <si>
    <t>H. Period of availability of Federal funds</t>
  </si>
  <si>
    <t>I. Procurement and suspension and debarment</t>
  </si>
  <si>
    <t>J. Program income</t>
  </si>
  <si>
    <t>K. Real property acquisition and relocation assistance</t>
  </si>
  <si>
    <t>L. Reporting</t>
  </si>
  <si>
    <t>M. Subrecipient monitoring</t>
  </si>
  <si>
    <t>N. Special tests and provisions</t>
  </si>
  <si>
    <t>O. None</t>
  </si>
  <si>
    <t>P. Other</t>
  </si>
  <si>
    <t>For a major program type of audit report</t>
  </si>
  <si>
    <t xml:space="preserve">U = Unqualified opinion </t>
  </si>
  <si>
    <t>Q = Qualified opinion</t>
  </si>
  <si>
    <t>D = Disclaimer of opinion</t>
  </si>
  <si>
    <t>Find Type A or B</t>
  </si>
  <si>
    <t>&gt;750,000 in year for grantee</t>
  </si>
  <si>
    <t>&gt;20,000,000</t>
  </si>
  <si>
    <t>Low Risk</t>
  </si>
  <si>
    <t>CHARTSTABLES    Field, can be ignored in captext20</t>
  </si>
  <si>
    <t xml:space="preserve">The first report is an opinion, or a disclaimer thereof, on whether the recipient's financial statements are presented in conformity with US Generally Accepted Accounting Principles, identical to a financial audit's report on a non-recipient entity. </t>
  </si>
  <si>
    <t xml:space="preserve">The second report is about the status of internal controls relative to the financial statements and major programs. </t>
  </si>
  <si>
    <t>The third report is an opinion, or a disclaimer thereof, on the degree to which the recipient has complied with laws, regulations, and the terms and conditions of the federal assistance awards. Following the last two reports, if the Single Audit produced audit findings, the auditor must prepare the Schedule of Findings and Questioned Costs discussed earlier</t>
  </si>
  <si>
    <t>All the fields in the analysis to be included in the Single Audit Report Screen or any other screen</t>
  </si>
  <si>
    <t>Can type in plain english the quries …</t>
  </si>
  <si>
    <t>https://www.ucop.edu/financial-accounting/financial-reports/a-133-audit-reports.html</t>
  </si>
  <si>
    <t>Include agency type in NoA</t>
  </si>
  <si>
    <t>In pass through entity the federaL AGENCY offering grant agency is the sponsor</t>
  </si>
  <si>
    <t>https://extranet.fredhutch.org/en/u/osr/audit.html</t>
  </si>
  <si>
    <t>Grants and Contracts Accounting Subrecipient Monitoring Form revised 3-31-2017</t>
  </si>
  <si>
    <t xml:space="preserve"> Subrecipient Certification and Financial Form</t>
  </si>
  <si>
    <t>If subrecipient has not submitted a Single Audit Report through the FAC, or has a Program-Specific Audit, send the audit report and the completed Subrecipient Certification and Financial Form to a-133data@fredhutch.org</t>
  </si>
  <si>
    <t>https://www.law.cornell.edu/cfr/text/2/200.331</t>
  </si>
  <si>
    <t>For a Type A program to be considered low-risk, it must have been audited as a major program in at least one of the two most recent audit periods (in the most recent audit period in the case of a biennial audit), and, in the most recent audit period, the program must have not had:</t>
  </si>
  <si>
    <r>
      <t xml:space="preserve">(i) Internal control deficiencies which were identified as </t>
    </r>
    <r>
      <rPr>
        <sz val="11"/>
        <color rgb="FFFF0000"/>
        <rFont val="Calibri"/>
        <family val="2"/>
        <scheme val="minor"/>
      </rPr>
      <t>material weaknesses</t>
    </r>
    <r>
      <rPr>
        <sz val="11"/>
        <color theme="1"/>
        <rFont val="Calibri"/>
        <family val="2"/>
        <scheme val="minor"/>
      </rPr>
      <t xml:space="preserve"> in the auditor's report on internal control for major programs as required under § 200.515 Audit reporting, paragraph (c);</t>
    </r>
  </si>
  <si>
    <r>
      <t xml:space="preserve">(ii) A </t>
    </r>
    <r>
      <rPr>
        <sz val="11"/>
        <color rgb="FFFF0000"/>
        <rFont val="Calibri"/>
        <family val="2"/>
        <scheme val="minor"/>
      </rPr>
      <t>modified opinion</t>
    </r>
    <r>
      <rPr>
        <sz val="11"/>
        <color theme="1"/>
        <rFont val="Calibri"/>
        <family val="2"/>
        <scheme val="minor"/>
      </rPr>
      <t xml:space="preserve"> on the program in the auditor's report on major programs as required under § 200.515 Audit reporting, paragraph (c); or</t>
    </r>
  </si>
  <si>
    <r>
      <t>(iii) Known or likely</t>
    </r>
    <r>
      <rPr>
        <b/>
        <sz val="11"/>
        <color theme="1"/>
        <rFont val="Calibri"/>
        <family val="2"/>
        <scheme val="minor"/>
      </rPr>
      <t xml:space="preserve"> </t>
    </r>
    <r>
      <rPr>
        <b/>
        <sz val="11"/>
        <color rgb="FFFF0000"/>
        <rFont val="Calibri"/>
        <family val="2"/>
        <scheme val="minor"/>
      </rPr>
      <t xml:space="preserve">questioned costs that exceed five percent of the total Federal awards </t>
    </r>
    <r>
      <rPr>
        <sz val="11"/>
        <color rgb="FFFF0000"/>
        <rFont val="Calibri"/>
        <family val="2"/>
        <scheme val="minor"/>
      </rPr>
      <t>expended for the program</t>
    </r>
    <r>
      <rPr>
        <sz val="11"/>
        <color theme="1"/>
        <rFont val="Calibri"/>
        <family val="2"/>
        <scheme val="minor"/>
      </rPr>
      <t>.</t>
    </r>
  </si>
  <si>
    <t>(1) Weaknesses in internal control over Federal programs would indicate higher risk. Consideration should be given to the control environment over Federal programs and such factors as the expectation of management's adherence to Federal statutes, regulations, and the terms and conditions of Federal awards and the competence and experience of personnel who administer the Federal programs.</t>
  </si>
  <si>
    <t>(i) A Federal program administered under multiple internal control structures may have higher risk. When assessing risk in a large single audit, the auditor must consider whether weaknesses are isolated in a single operating unit (e.g., one college campus) or pervasive throughout the entity.</t>
  </si>
  <si>
    <t>(ii) When significant parts of a Federal program are passed through to subrecipients, a weak system for monitoring subrecipients would indicate higher risk.</t>
  </si>
  <si>
    <t>(2) Prior audit findings would indicate higher risk, particularly when the situations identified in the audit findings could have a significant impact on a Federal program or have not been corrected.</t>
  </si>
  <si>
    <t>(3) Federal programs not recently audited as major programs may be of higher risk than Federal programs recently audited as major programs without audit findings.</t>
  </si>
  <si>
    <t>(c) Oversight exercised by Federal agencies and pass-through entities.</t>
  </si>
  <si>
    <t>(1) Oversight exercised by Federal agencies or pass-through entities could be used to assess risk. For example, recent monitoring or other reviews performed by an oversight entity that disclosed no significant problems would indicate lower risk, whereas monitoring that disclosed significant problems would indicate higher risk.</t>
  </si>
  <si>
    <t>(d) Inherent risk of the Federal program.</t>
  </si>
  <si>
    <t>(1) The nature of a Federal program may indicate risk. Consideration should be given to the complexity of the program and the extent to which the Federal program contracts for goods and services. For example, Federal programs that disburse funds through third party contracts or have eligibility criteria may be of higher risk. Federal programs primarily involving staff payroll costs may have high risk for noncompliance with requirements of § 200.430 Compensation - personal services, but otherwise be at low risk.</t>
  </si>
  <si>
    <t>(2) The phase of a Federal program in its life cycle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t>
  </si>
  <si>
    <t>(3) The phase of a Federal program in its life cycle at the auditee may indicate risk. For example, during the first and last years that an auditee participates in a Federal program, the risk may be higher due to start-up or closeout of program activities and staff.</t>
  </si>
  <si>
    <t>(4) Type B programs with larger Federal awards expended would be of higher risk than programs with substantially smaller Federal awards expended.</t>
  </si>
  <si>
    <t>For a Type A program to be considered low risk according to 2 C.F.R. 200.518, it must have been audited as a major program at least once in the past two years and must not have had</t>
  </si>
  <si>
    <t>Material weaknesses in internal control</t>
  </si>
  <si>
    <t>A modified opinion in the audit report</t>
  </si>
  <si>
    <t>Known or likely questioned costs exceeding 5% of total federal award expenditures</t>
  </si>
  <si>
    <t>Low- or high-risk auditee</t>
  </si>
  <si>
    <t>Before determining which federal programs to examine, the auditor must first determine, based on specific criteria, whether the recipient is a high-risk auditee or a low-risk auditee. A high-risk auditee is a recipient which has a high risk of not complying with federal laws and regulations, while a low-risk auditee is the exact opposite. The Uniform Guidance has set certain requirements a recipient must meet to be considered a low-risk auditee. This includes the following to be evaluated for each of the preceding two audit periods:[14]</t>
  </si>
  <si>
    <t>Single audits have been performed on an annual basis in prior years.</t>
  </si>
  <si>
    <t>The auditor's opinions on the financial statements and the Schedule of Federal Expenditures (discussed later) were unmodified.</t>
  </si>
  <si>
    <t>There are no material weaknesses identified.</t>
  </si>
  <si>
    <t>The auditor did not report a substantial doubt about the auditee's ability to continue as a going concern.</t>
  </si>
  <si>
    <t>None of the Federal programs had audit findings from any of the following in either of the preceding two audit periods in which they were classified as Type A programs:</t>
  </si>
  <si>
    <t>Internal control deficiencies that were identified as material weaknesses in the auditor's report on internal control for major programs;</t>
  </si>
  <si>
    <t>A modified opinion on a major program in the auditor's report on major programs; or</t>
  </si>
  <si>
    <t>Known or likely questioned costs that exceeded five percent of the total Federal awards expended for a Type A program during the audit period.</t>
  </si>
  <si>
    <t>The Uniform Guidance uses the high- and low-risk determination to regulate the dollar amount of federal expenditures to be audited. Although the actual work necessary for a Single Audit is established by the auditor, the OMB has set a limit for auditing high-risk and low-risk auditees. For high-risk auditees, the auditor is required to audit not less than 40% of all the federal assistance received during the year. For low-risk auditees, that limit is decreased to 20%.[15]</t>
  </si>
  <si>
    <t>This determination affects the entire Single Audit because the auditor adjusts the scope of the audit accordingly. Since the auditor must provide an opinion to the federal government on whether the recipient and its programs complied with laws and regulations, the auditor performs sufficient procedures to confirm the opinion is correct</t>
  </si>
  <si>
    <t>Total Federal awards expended</t>
  </si>
  <si>
    <t>Type A threshold</t>
  </si>
  <si>
    <t>Equal to or exceed $750,000 but less than or equal to $25 million</t>
  </si>
  <si>
    <t>Exceed $25 million but less than or equal to $100 million</t>
  </si>
  <si>
    <t>Total Federal awards expended times .03.</t>
  </si>
  <si>
    <t>Exceed $100 million but less than or equal to $1 billion</t>
  </si>
  <si>
    <t>$3 million.</t>
  </si>
  <si>
    <t>Exceed $1 billion but less than or equal to $10 billion</t>
  </si>
  <si>
    <t>Total Federal awards expended times .003.</t>
  </si>
  <si>
    <t>Exceed $10 billion but less than or equal to $20 billion</t>
  </si>
  <si>
    <t>$30 million.</t>
  </si>
  <si>
    <t>Exceed $20 billion</t>
  </si>
  <si>
    <t>Total Federal awards expended times .0015.</t>
  </si>
  <si>
    <t>Type B threshold</t>
  </si>
  <si>
    <t xml:space="preserve">Equal to or exceed $750,000 </t>
  </si>
  <si>
    <t>Which is not Type B</t>
  </si>
  <si>
    <t>the determination of Type A and Type B programs must be based upon the Federal awards expended during the two-year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</si>
</sst>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_(&quot;$&quot;* #,##0_);_(&quot;$&quot;* \(#,##0\);_(&quot;$&quot;* &quot;-&quot;??_);_(@_)"/>
    <numFmt numFmtId="165" formatCode="[$-409]d\-mmm\-yy;@"/>
    <numFmt numFmtId="166" formatCode="_(&quot;$&quot;* #,##0.0_);_(&quot;$&quot;* \(#,##0.0\);_(&quot;$&quot;* &quot;-&quot;?_);_(@_)"/>
  </numFmts>
  <fonts count="19">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b/>
      <sz val="14"/>
      <color theme="0"/>
      <name val="Calibri"/>
      <family val="2"/>
      <scheme val="minor"/>
    </font>
    <font>
      <b/>
      <sz val="11"/>
      <color rgb="FFFF0000"/>
      <name val="Calibri"/>
      <family val="2"/>
      <scheme val="minor"/>
    </font>
    <font>
      <sz val="9"/>
      <color indexed="81"/>
      <name val="Tahoma"/>
      <charset val="1"/>
    </font>
    <font>
      <b/>
      <sz val="9"/>
      <color indexed="81"/>
      <name val="Tahoma"/>
      <charset val="1"/>
    </font>
    <font>
      <b/>
      <sz val="11"/>
      <color theme="8" tint="-0.499984740745262"/>
      <name val="Calibri"/>
      <family val="2"/>
      <scheme val="minor"/>
    </font>
    <font>
      <sz val="9"/>
      <color indexed="81"/>
      <name val="Tahoma"/>
      <family val="2"/>
    </font>
    <font>
      <b/>
      <sz val="9"/>
      <color indexed="81"/>
      <name val="Tahoma"/>
      <family val="2"/>
    </font>
    <font>
      <u/>
      <sz val="11"/>
      <color theme="10"/>
      <name val="Calibri"/>
      <family val="2"/>
      <scheme val="minor"/>
    </font>
    <font>
      <b/>
      <sz val="11"/>
      <color theme="9" tint="-0.499984740745262"/>
      <name val="Calibri"/>
      <family val="2"/>
      <scheme val="minor"/>
    </font>
    <font>
      <b/>
      <sz val="11"/>
      <color theme="0"/>
      <name val="Calibri"/>
      <family val="2"/>
      <scheme val="minor"/>
    </font>
    <font>
      <sz val="11"/>
      <color theme="1"/>
      <name val="Calibri"/>
      <family val="2"/>
      <scheme val="minor"/>
    </font>
    <font>
      <sz val="10"/>
      <color rgb="FF000000"/>
      <name val="Times New Roman"/>
      <charset val="204"/>
    </font>
    <font>
      <sz val="6"/>
      <name val="Arial"/>
    </font>
    <font>
      <sz val="6"/>
      <name val="Arial"/>
      <family val="2"/>
    </font>
    <font>
      <b/>
      <sz val="12"/>
      <color theme="0"/>
      <name val="Calibri"/>
      <family val="2"/>
      <scheme val="minor"/>
    </font>
  </fonts>
  <fills count="21">
    <fill>
      <patternFill patternType="none"/>
    </fill>
    <fill>
      <patternFill patternType="gray125"/>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D3D3"/>
      </patternFill>
    </fill>
    <fill>
      <patternFill patternType="solid">
        <fgColor theme="4" tint="0.59999389629810485"/>
        <bgColor indexed="64"/>
      </patternFill>
    </fill>
    <fill>
      <patternFill patternType="solid">
        <fgColor theme="6"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3D3D3"/>
      </left>
      <right style="thin">
        <color rgb="FFD3D3D3"/>
      </right>
      <top/>
      <bottom style="thin">
        <color rgb="FFD3D3D3"/>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bottom/>
      <diagonal/>
    </border>
  </borders>
  <cellStyleXfs count="4">
    <xf numFmtId="0" fontId="0" fillId="0" borderId="0"/>
    <xf numFmtId="0" fontId="11" fillId="0" borderId="0" applyNumberFormat="0" applyFill="0" applyBorder="0" applyAlignment="0" applyProtection="0"/>
    <xf numFmtId="44" fontId="14" fillId="0" borderId="0" applyFont="0" applyFill="0" applyBorder="0" applyAlignment="0" applyProtection="0"/>
    <xf numFmtId="0" fontId="15" fillId="0" borderId="0"/>
  </cellStyleXfs>
  <cellXfs count="146">
    <xf numFmtId="0" fontId="0" fillId="0" borderId="0" xfId="0"/>
    <xf numFmtId="0" fontId="0" fillId="0" borderId="0" xfId="0" applyAlignment="1">
      <alignment horizontal="left" vertical="top"/>
    </xf>
    <xf numFmtId="8" fontId="0" fillId="0" borderId="0" xfId="0" applyNumberFormat="1" applyAlignment="1">
      <alignment horizontal="left" vertical="top"/>
    </xf>
    <xf numFmtId="0" fontId="2" fillId="0" borderId="0" xfId="0" applyFont="1" applyAlignment="1">
      <alignment vertical="center"/>
    </xf>
    <xf numFmtId="0" fontId="2" fillId="0" borderId="0" xfId="0" applyFont="1" applyAlignment="1">
      <alignment horizontal="left" vertical="top"/>
    </xf>
    <xf numFmtId="0" fontId="0" fillId="0" borderId="0" xfId="0" applyAlignment="1">
      <alignment vertical="center" wrapText="1"/>
    </xf>
    <xf numFmtId="0" fontId="0" fillId="0" borderId="0" xfId="0" applyAlignment="1">
      <alignment wrapText="1"/>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0" fillId="8" borderId="0" xfId="0" applyFill="1"/>
    <xf numFmtId="0" fontId="0" fillId="6" borderId="0" xfId="0" applyFill="1" applyAlignment="1">
      <alignment wrapText="1"/>
    </xf>
    <xf numFmtId="0" fontId="0" fillId="10" borderId="0" xfId="0" applyFill="1" applyAlignment="1">
      <alignment wrapText="1"/>
    </xf>
    <xf numFmtId="0" fontId="2" fillId="12" borderId="0" xfId="0" applyFont="1" applyFill="1" applyAlignment="1">
      <alignment horizontal="center" vertical="center" wrapText="1"/>
    </xf>
    <xf numFmtId="0" fontId="0" fillId="11" borderId="0" xfId="0" applyFill="1" applyAlignment="1">
      <alignment wrapText="1"/>
    </xf>
    <xf numFmtId="0" fontId="11" fillId="0" borderId="0" xfId="1" applyAlignment="1">
      <alignment wrapText="1"/>
    </xf>
    <xf numFmtId="0" fontId="8" fillId="15" borderId="0" xfId="0" applyFont="1" applyFill="1" applyAlignment="1">
      <alignment horizontal="center" vertical="center" wrapText="1"/>
    </xf>
    <xf numFmtId="0" fontId="4" fillId="5" borderId="0" xfId="0" applyFont="1" applyFill="1"/>
    <xf numFmtId="0" fontId="5" fillId="0" borderId="0" xfId="0" applyFont="1" applyAlignment="1">
      <alignment wrapText="1"/>
    </xf>
    <xf numFmtId="0" fontId="11" fillId="0" borderId="0" xfId="1"/>
    <xf numFmtId="0" fontId="1" fillId="0" borderId="0" xfId="0" applyFont="1"/>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xf numFmtId="0" fontId="0" fillId="14" borderId="1" xfId="0" applyFill="1" applyBorder="1"/>
    <xf numFmtId="0" fontId="0" fillId="11" borderId="1" xfId="0" applyFill="1" applyBorder="1" applyAlignment="1">
      <alignment wrapText="1"/>
    </xf>
    <xf numFmtId="0" fontId="0" fillId="7" borderId="1" xfId="0" applyFill="1" applyBorder="1" applyAlignment="1">
      <alignment wrapText="1"/>
    </xf>
    <xf numFmtId="0" fontId="0" fillId="14" borderId="1" xfId="0" applyFill="1" applyBorder="1" applyAlignment="1">
      <alignment wrapText="1"/>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wrapText="1"/>
    </xf>
    <xf numFmtId="9" fontId="0" fillId="0" borderId="5" xfId="0" applyNumberFormat="1" applyBorder="1" applyAlignment="1">
      <alignment horizontal="center" vertical="center" wrapText="1"/>
    </xf>
    <xf numFmtId="0" fontId="0" fillId="0" borderId="6" xfId="0" applyBorder="1"/>
    <xf numFmtId="9" fontId="0" fillId="0" borderId="7" xfId="0" applyNumberFormat="1" applyBorder="1" applyAlignment="1">
      <alignment horizontal="center" vertical="center" wrapText="1"/>
    </xf>
    <xf numFmtId="0" fontId="0" fillId="0" borderId="8" xfId="0" applyBorder="1" applyAlignment="1">
      <alignment wrapText="1"/>
    </xf>
    <xf numFmtId="0" fontId="0" fillId="0" borderId="8" xfId="0" applyBorder="1"/>
    <xf numFmtId="0" fontId="0" fillId="0" borderId="9" xfId="0" applyBorder="1" applyAlignment="1">
      <alignment wrapText="1"/>
    </xf>
    <xf numFmtId="0" fontId="0" fillId="0" borderId="5" xfId="0" applyBorder="1"/>
    <xf numFmtId="0" fontId="0" fillId="0" borderId="7" xfId="0" applyBorder="1"/>
    <xf numFmtId="0" fontId="0" fillId="0" borderId="9" xfId="0" applyBorder="1"/>
    <xf numFmtId="0" fontId="0" fillId="0" borderId="0" xfId="0" applyAlignment="1">
      <alignment vertical="top" wrapText="1"/>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quotePrefix="1"/>
    <xf numFmtId="0" fontId="0" fillId="0" borderId="10" xfId="0" applyBorder="1" applyAlignment="1">
      <alignment horizontal="center" vertical="top" wrapText="1"/>
    </xf>
    <xf numFmtId="0" fontId="16" fillId="0" borderId="11" xfId="0" applyFont="1" applyBorder="1" applyAlignment="1">
      <alignment horizontal="left" vertical="center" wrapText="1" indent="5"/>
    </xf>
    <xf numFmtId="0" fontId="16" fillId="0" borderId="11" xfId="0" applyFont="1" applyBorder="1" applyAlignment="1">
      <alignment horizontal="left" vertical="top" wrapText="1"/>
    </xf>
    <xf numFmtId="0" fontId="16" fillId="0" borderId="11" xfId="0" applyFont="1" applyBorder="1" applyAlignment="1">
      <alignment horizontal="left" vertical="top" wrapText="1" indent="1"/>
    </xf>
    <xf numFmtId="0" fontId="0" fillId="0" borderId="11" xfId="0" applyBorder="1" applyAlignment="1">
      <alignment horizontal="center" vertical="top" wrapText="1"/>
    </xf>
    <xf numFmtId="0" fontId="16" fillId="0" borderId="10" xfId="0" applyFont="1" applyBorder="1" applyAlignment="1">
      <alignment horizontal="center" vertical="top" wrapText="1"/>
    </xf>
    <xf numFmtId="0" fontId="16" fillId="0" borderId="11" xfId="0" applyFont="1" applyBorder="1" applyAlignment="1">
      <alignment horizontal="center" vertical="center" wrapText="1"/>
    </xf>
    <xf numFmtId="0" fontId="16" fillId="0" borderId="11" xfId="0" applyFont="1" applyBorder="1" applyAlignment="1">
      <alignment horizontal="center" vertical="top" wrapText="1"/>
    </xf>
    <xf numFmtId="0" fontId="16" fillId="0" borderId="10" xfId="0" applyFont="1" applyBorder="1" applyAlignment="1">
      <alignment horizontal="left" vertical="top" wrapText="1" indent="1"/>
    </xf>
    <xf numFmtId="0" fontId="16" fillId="0" borderId="11" xfId="0" applyFont="1" applyBorder="1" applyAlignment="1">
      <alignment horizontal="left" vertical="center" wrapText="1" indent="1"/>
    </xf>
    <xf numFmtId="0" fontId="0" fillId="18" borderId="0" xfId="0" applyFill="1" applyAlignment="1">
      <alignment horizontal="left" vertical="top" wrapText="1"/>
    </xf>
    <xf numFmtId="0" fontId="16" fillId="0" borderId="10" xfId="0" applyFont="1" applyBorder="1" applyAlignment="1">
      <alignment horizontal="left" vertical="top" wrapText="1"/>
    </xf>
    <xf numFmtId="0" fontId="16" fillId="0" borderId="10" xfId="0" applyFont="1" applyBorder="1" applyAlignment="1">
      <alignment horizontal="center" vertical="center" wrapText="1"/>
    </xf>
    <xf numFmtId="0" fontId="16" fillId="0" borderId="10" xfId="0" applyFont="1" applyBorder="1" applyAlignment="1">
      <alignment horizontal="left" vertical="center" wrapText="1" indent="1"/>
    </xf>
    <xf numFmtId="0" fontId="16" fillId="0" borderId="11" xfId="0" applyFont="1" applyBorder="1" applyAlignment="1">
      <alignment horizontal="left" vertical="top" wrapText="1" indent="2"/>
    </xf>
    <xf numFmtId="0" fontId="0" fillId="0" borderId="11" xfId="0" applyBorder="1" applyAlignment="1">
      <alignment horizontal="left" vertical="top" wrapText="1" indent="1"/>
    </xf>
    <xf numFmtId="0" fontId="0" fillId="0" borderId="11" xfId="0" applyBorder="1" applyAlignment="1">
      <alignment horizontal="left" vertical="top" wrapText="1"/>
    </xf>
    <xf numFmtId="0" fontId="16" fillId="0" borderId="11" xfId="0" applyFont="1" applyBorder="1" applyAlignment="1">
      <alignment horizontal="left" vertical="center" wrapText="1" indent="3"/>
    </xf>
    <xf numFmtId="0" fontId="0" fillId="0" borderId="11" xfId="0" applyBorder="1" applyAlignment="1">
      <alignment horizontal="left" vertical="top" wrapText="1" indent="2"/>
    </xf>
    <xf numFmtId="0" fontId="16" fillId="0" borderId="11" xfId="0" applyFont="1" applyBorder="1" applyAlignment="1">
      <alignment horizontal="left" vertical="center" wrapText="1" indent="2"/>
    </xf>
    <xf numFmtId="0" fontId="16" fillId="0" borderId="10" xfId="0" applyFont="1" applyBorder="1" applyAlignment="1">
      <alignment horizontal="left" vertical="center" wrapText="1" indent="3"/>
    </xf>
    <xf numFmtId="0" fontId="0" fillId="0" borderId="10" xfId="0" applyBorder="1" applyAlignment="1">
      <alignment horizontal="left" vertical="top" wrapText="1" indent="1"/>
    </xf>
    <xf numFmtId="0" fontId="15" fillId="0" borderId="10" xfId="3" applyBorder="1" applyAlignment="1">
      <alignment horizontal="center" vertical="top" wrapText="1"/>
    </xf>
    <xf numFmtId="0" fontId="16" fillId="0" borderId="10" xfId="3" applyFont="1" applyBorder="1" applyAlignment="1">
      <alignment horizontal="left" vertical="top" wrapText="1"/>
    </xf>
    <xf numFmtId="0" fontId="16" fillId="0" borderId="10" xfId="3" applyFont="1" applyBorder="1" applyAlignment="1">
      <alignment horizontal="center" vertical="center" wrapText="1"/>
    </xf>
    <xf numFmtId="0" fontId="16" fillId="0" borderId="11" xfId="3" applyFont="1" applyBorder="1" applyAlignment="1">
      <alignment horizontal="center" vertical="top" wrapText="1"/>
    </xf>
    <xf numFmtId="0" fontId="16" fillId="0" borderId="11" xfId="3" applyFont="1" applyBorder="1" applyAlignment="1">
      <alignment horizontal="left" vertical="top" wrapText="1" indent="2"/>
    </xf>
    <xf numFmtId="0" fontId="15" fillId="0" borderId="11" xfId="3" applyBorder="1" applyAlignment="1">
      <alignment horizontal="center" vertical="top" wrapText="1"/>
    </xf>
    <xf numFmtId="0" fontId="16" fillId="0" borderId="11" xfId="3" applyFont="1" applyBorder="1" applyAlignment="1">
      <alignment horizontal="center" vertical="center" wrapText="1"/>
    </xf>
    <xf numFmtId="0" fontId="16" fillId="0" borderId="11" xfId="3" applyFont="1" applyBorder="1" applyAlignment="1">
      <alignment horizontal="left" vertical="top" wrapText="1" indent="1"/>
    </xf>
    <xf numFmtId="0" fontId="16" fillId="0" borderId="11" xfId="3" applyFont="1" applyBorder="1" applyAlignment="1">
      <alignment horizontal="left" vertical="top" wrapText="1"/>
    </xf>
    <xf numFmtId="0" fontId="15" fillId="0" borderId="11" xfId="3" applyBorder="1" applyAlignment="1">
      <alignment horizontal="left" vertical="top" wrapText="1"/>
    </xf>
    <xf numFmtId="0" fontId="16" fillId="0" borderId="11" xfId="3" applyFont="1" applyBorder="1" applyAlignment="1">
      <alignment horizontal="left" vertical="center" wrapText="1" indent="2"/>
    </xf>
    <xf numFmtId="0" fontId="16" fillId="0" borderId="10" xfId="0" applyFont="1" applyBorder="1" applyAlignment="1">
      <alignment horizontal="left" vertical="center" wrapText="1" indent="2"/>
    </xf>
    <xf numFmtId="0" fontId="16" fillId="0" borderId="11" xfId="0" applyFont="1" applyBorder="1" applyAlignment="1">
      <alignment horizontal="left" vertical="top" wrapText="1" indent="3"/>
    </xf>
    <xf numFmtId="0" fontId="16" fillId="0" borderId="10" xfId="0" applyFont="1" applyBorder="1" applyAlignment="1">
      <alignment horizontal="left" vertical="top" wrapText="1" indent="2"/>
    </xf>
    <xf numFmtId="0" fontId="16" fillId="0" borderId="11" xfId="0" applyFont="1" applyBorder="1" applyAlignment="1">
      <alignment horizontal="left" vertical="center" wrapText="1"/>
    </xf>
    <xf numFmtId="0" fontId="16" fillId="0" borderId="11" xfId="0" applyFont="1" applyBorder="1" applyAlignment="1">
      <alignment horizontal="left" vertical="center" wrapText="1" indent="4"/>
    </xf>
    <xf numFmtId="164" fontId="0" fillId="0" borderId="0" xfId="2" applyNumberFormat="1" applyFont="1"/>
    <xf numFmtId="0" fontId="0" fillId="0" borderId="5" xfId="0" applyBorder="1" applyAlignment="1">
      <alignment horizontal="left" vertical="top"/>
    </xf>
    <xf numFmtId="0" fontId="0" fillId="0" borderId="1" xfId="0" applyBorder="1" applyAlignment="1">
      <alignment horizontal="left" vertical="top"/>
    </xf>
    <xf numFmtId="0" fontId="0" fillId="19" borderId="7" xfId="0" applyFill="1" applyBorder="1" applyAlignment="1">
      <alignment horizontal="left" vertical="top" wrapText="1"/>
    </xf>
    <xf numFmtId="0" fontId="0" fillId="19" borderId="8" xfId="0" applyFill="1" applyBorder="1" applyAlignment="1">
      <alignment horizontal="left" vertical="top" wrapText="1"/>
    </xf>
    <xf numFmtId="164" fontId="0" fillId="0" borderId="0" xfId="0" applyNumberFormat="1"/>
    <xf numFmtId="0" fontId="0" fillId="20" borderId="1" xfId="0" applyFill="1" applyBorder="1" applyAlignment="1">
      <alignment wrapText="1"/>
    </xf>
    <xf numFmtId="0" fontId="0" fillId="0" borderId="12" xfId="0" applyBorder="1" applyAlignment="1">
      <alignment wrapText="1"/>
    </xf>
    <xf numFmtId="0" fontId="18" fillId="5" borderId="2" xfId="0" applyFont="1" applyFill="1" applyBorder="1" applyAlignment="1">
      <alignment horizontal="center" vertical="center"/>
    </xf>
    <xf numFmtId="0" fontId="18" fillId="5" borderId="3" xfId="0" applyFont="1" applyFill="1" applyBorder="1" applyAlignment="1">
      <alignment horizontal="center" vertical="center" wrapText="1"/>
    </xf>
    <xf numFmtId="0" fontId="18" fillId="5" borderId="4" xfId="0" applyFont="1" applyFill="1" applyBorder="1" applyAlignment="1">
      <alignment horizontal="center" vertical="center" wrapText="1"/>
    </xf>
    <xf numFmtId="0" fontId="0" fillId="11" borderId="1" xfId="0" applyFill="1" applyBorder="1" applyAlignment="1">
      <alignment vertical="top" wrapText="1"/>
    </xf>
    <xf numFmtId="0" fontId="0" fillId="0" borderId="1" xfId="0" applyBorder="1" applyAlignment="1">
      <alignment vertical="top"/>
    </xf>
    <xf numFmtId="0" fontId="0" fillId="20" borderId="1" xfId="0" applyFill="1" applyBorder="1" applyAlignment="1">
      <alignment vertical="top" wrapText="1"/>
    </xf>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11" borderId="6" xfId="0" applyFill="1" applyBorder="1" applyAlignment="1">
      <alignment vertical="top" wrapText="1"/>
    </xf>
    <xf numFmtId="0" fontId="0" fillId="11" borderId="8" xfId="0" applyFill="1" applyBorder="1" applyAlignment="1">
      <alignment wrapText="1"/>
    </xf>
    <xf numFmtId="0" fontId="0" fillId="0" borderId="5" xfId="0" applyBorder="1" applyAlignment="1">
      <alignment vertical="top"/>
    </xf>
    <xf numFmtId="0" fontId="0" fillId="0" borderId="6" xfId="0" applyBorder="1" applyAlignment="1">
      <alignment vertical="top" wrapText="1"/>
    </xf>
    <xf numFmtId="0" fontId="0" fillId="0" borderId="7" xfId="0" applyBorder="1" applyAlignment="1">
      <alignment vertical="top"/>
    </xf>
    <xf numFmtId="0" fontId="0" fillId="0" borderId="9" xfId="0" applyBorder="1" applyAlignment="1">
      <alignment vertical="top" wrapText="1"/>
    </xf>
    <xf numFmtId="1" fontId="0" fillId="0" borderId="1" xfId="0" applyNumberFormat="1" applyBorder="1" applyAlignment="1">
      <alignment horizontal="center" vertical="center" wrapText="1"/>
    </xf>
    <xf numFmtId="9" fontId="0" fillId="0" borderId="1" xfId="0" applyNumberFormat="1" applyBorder="1" applyAlignment="1">
      <alignment horizontal="left" vertical="top" wrapText="1"/>
    </xf>
    <xf numFmtId="0" fontId="0" fillId="0" borderId="6" xfId="0" applyBorder="1" applyAlignment="1">
      <alignment horizontal="center" vertical="center" wrapText="1"/>
    </xf>
    <xf numFmtId="9" fontId="0" fillId="0" borderId="6" xfId="0" applyNumberFormat="1" applyBorder="1" applyAlignment="1">
      <alignment horizontal="center" vertical="center" wrapText="1"/>
    </xf>
    <xf numFmtId="1" fontId="0" fillId="0" borderId="8"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5" borderId="2" xfId="0" applyFont="1" applyFill="1" applyBorder="1" applyAlignment="1">
      <alignment horizontal="center" vertical="center" wrapText="1"/>
    </xf>
    <xf numFmtId="0" fontId="8" fillId="15" borderId="1" xfId="0" applyFont="1" applyFill="1" applyBorder="1" applyAlignment="1">
      <alignment horizontal="center" vertical="center" wrapText="1"/>
    </xf>
    <xf numFmtId="0" fontId="8" fillId="15" borderId="1" xfId="0" applyFont="1" applyFill="1" applyBorder="1" applyAlignment="1">
      <alignment horizontal="center" vertical="top" wrapText="1"/>
    </xf>
    <xf numFmtId="0" fontId="8" fillId="15" borderId="1" xfId="0" applyFont="1" applyFill="1" applyBorder="1" applyAlignment="1">
      <alignment horizontal="left" vertical="top" wrapText="1"/>
    </xf>
    <xf numFmtId="0" fontId="12" fillId="6"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8" fillId="16"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0" fillId="10" borderId="1" xfId="0" applyFill="1" applyBorder="1" applyAlignment="1">
      <alignment horizontal="left" vertical="top"/>
    </xf>
    <xf numFmtId="0" fontId="0" fillId="0" borderId="1" xfId="0" quotePrefix="1" applyBorder="1" applyAlignment="1">
      <alignment horizontal="left" vertical="top"/>
    </xf>
    <xf numFmtId="164" fontId="0" fillId="0" borderId="1" xfId="2" applyNumberFormat="1" applyFont="1" applyBorder="1" applyAlignment="1">
      <alignment horizontal="left" vertical="top"/>
    </xf>
    <xf numFmtId="165" fontId="0" fillId="0" borderId="1" xfId="0" applyNumberFormat="1" applyBorder="1" applyAlignment="1">
      <alignment horizontal="left" vertical="top"/>
    </xf>
    <xf numFmtId="164" fontId="0" fillId="0" borderId="1" xfId="0" applyNumberFormat="1" applyBorder="1" applyAlignment="1">
      <alignment horizontal="left" vertical="top"/>
    </xf>
    <xf numFmtId="44" fontId="0" fillId="0" borderId="1" xfId="0" applyNumberFormat="1" applyBorder="1" applyAlignment="1">
      <alignment horizontal="left" vertical="top"/>
    </xf>
    <xf numFmtId="166" fontId="0" fillId="0" borderId="1" xfId="0" applyNumberFormat="1" applyBorder="1" applyAlignment="1">
      <alignment horizontal="left" vertical="top"/>
    </xf>
    <xf numFmtId="164" fontId="0" fillId="17" borderId="1" xfId="2" applyNumberFormat="1" applyFont="1" applyFill="1" applyBorder="1" applyAlignment="1">
      <alignment horizontal="left" vertical="top"/>
    </xf>
    <xf numFmtId="9" fontId="0" fillId="0" borderId="1" xfId="0" applyNumberFormat="1" applyBorder="1" applyAlignment="1">
      <alignment horizontal="left" vertical="top"/>
    </xf>
    <xf numFmtId="0" fontId="4" fillId="5" borderId="3" xfId="0" applyFont="1" applyFill="1" applyBorder="1"/>
    <xf numFmtId="0" fontId="8" fillId="15"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0" fillId="10" borderId="6" xfId="0" applyFill="1" applyBorder="1" applyAlignment="1">
      <alignment horizontal="left" vertical="top"/>
    </xf>
    <xf numFmtId="0" fontId="0" fillId="0" borderId="6" xfId="0" applyBorder="1" applyAlignment="1">
      <alignment horizontal="left" vertical="top"/>
    </xf>
    <xf numFmtId="44" fontId="0" fillId="0" borderId="6" xfId="0" applyNumberFormat="1" applyBorder="1" applyAlignment="1">
      <alignment horizontal="left" vertical="top"/>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7" borderId="0" xfId="0" applyFont="1" applyFill="1" applyAlignment="1">
      <alignment horizontal="center"/>
    </xf>
    <xf numFmtId="0" fontId="4" fillId="9" borderId="0" xfId="0" applyFont="1" applyFill="1" applyAlignment="1">
      <alignment horizontal="center"/>
    </xf>
    <xf numFmtId="0" fontId="4" fillId="5" borderId="0" xfId="0" applyFont="1" applyFill="1" applyAlignment="1">
      <alignment horizontal="center"/>
    </xf>
    <xf numFmtId="15" fontId="0" fillId="0" borderId="1" xfId="0" quotePrefix="1" applyNumberFormat="1" applyBorder="1" applyAlignment="1">
      <alignment horizontal="left" vertical="top"/>
    </xf>
  </cellXfs>
  <cellStyles count="4">
    <cellStyle name="Currency" xfId="2" builtinId="4"/>
    <cellStyle name="Hyperlink" xfId="1" builtinId="8"/>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13</xdr:col>
      <xdr:colOff>1021842</xdr:colOff>
      <xdr:row>75</xdr:row>
      <xdr:rowOff>67055</xdr:rowOff>
    </xdr:from>
    <xdr:ext cx="9525" cy="18415"/>
    <xdr:sp macro="" textlink="">
      <xdr:nvSpPr>
        <xdr:cNvPr id="2" name="Shape 2">
          <a:extLst>
            <a:ext uri="{FF2B5EF4-FFF2-40B4-BE49-F238E27FC236}">
              <a16:creationId xmlns:a16="http://schemas.microsoft.com/office/drawing/2014/main" id="{00000000-0008-0000-0000-000002000000}"/>
            </a:ext>
          </a:extLst>
        </xdr:cNvPr>
        <xdr:cNvSpPr/>
      </xdr:nvSpPr>
      <xdr:spPr>
        <a:xfrm>
          <a:off x="3260217" y="3943730"/>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13</xdr:col>
      <xdr:colOff>1021842</xdr:colOff>
      <xdr:row>83</xdr:row>
      <xdr:rowOff>72390</xdr:rowOff>
    </xdr:from>
    <xdr:ext cx="9525" cy="18415"/>
    <xdr:sp macro="" textlink="">
      <xdr:nvSpPr>
        <xdr:cNvPr id="3" name="Shape 3">
          <a:extLst>
            <a:ext uri="{FF2B5EF4-FFF2-40B4-BE49-F238E27FC236}">
              <a16:creationId xmlns:a16="http://schemas.microsoft.com/office/drawing/2014/main" id="{00000000-0008-0000-0000-000003000000}"/>
            </a:ext>
          </a:extLst>
        </xdr:cNvPr>
        <xdr:cNvSpPr/>
      </xdr:nvSpPr>
      <xdr:spPr>
        <a:xfrm>
          <a:off x="3260217" y="6663690"/>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oneCellAnchor>
    <xdr:from>
      <xdr:col>41</xdr:col>
      <xdr:colOff>1021842</xdr:colOff>
      <xdr:row>75</xdr:row>
      <xdr:rowOff>67055</xdr:rowOff>
    </xdr:from>
    <xdr:ext cx="9525" cy="18415"/>
    <xdr:sp macro="" textlink="">
      <xdr:nvSpPr>
        <xdr:cNvPr id="5" name="Shape 2">
          <a:extLst>
            <a:ext uri="{FF2B5EF4-FFF2-40B4-BE49-F238E27FC236}">
              <a16:creationId xmlns:a16="http://schemas.microsoft.com/office/drawing/2014/main" id="{00000000-0008-0000-0000-000005000000}"/>
            </a:ext>
          </a:extLst>
        </xdr:cNvPr>
        <xdr:cNvSpPr/>
      </xdr:nvSpPr>
      <xdr:spPr>
        <a:xfrm>
          <a:off x="18561449" y="70796984"/>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41</xdr:col>
      <xdr:colOff>1021842</xdr:colOff>
      <xdr:row>83</xdr:row>
      <xdr:rowOff>72390</xdr:rowOff>
    </xdr:from>
    <xdr:ext cx="9525" cy="18415"/>
    <xdr:sp macro="" textlink="">
      <xdr:nvSpPr>
        <xdr:cNvPr id="6" name="Shape 3">
          <a:extLst>
            <a:ext uri="{FF2B5EF4-FFF2-40B4-BE49-F238E27FC236}">
              <a16:creationId xmlns:a16="http://schemas.microsoft.com/office/drawing/2014/main" id="{00000000-0008-0000-0000-000006000000}"/>
            </a:ext>
          </a:extLst>
        </xdr:cNvPr>
        <xdr:cNvSpPr/>
      </xdr:nvSpPr>
      <xdr:spPr>
        <a:xfrm>
          <a:off x="18561449" y="77850819"/>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oneCellAnchor>
    <xdr:from>
      <xdr:col>43</xdr:col>
      <xdr:colOff>1021842</xdr:colOff>
      <xdr:row>75</xdr:row>
      <xdr:rowOff>67055</xdr:rowOff>
    </xdr:from>
    <xdr:ext cx="9525" cy="18415"/>
    <xdr:sp macro="" textlink="">
      <xdr:nvSpPr>
        <xdr:cNvPr id="7" name="Shape 2">
          <a:extLst>
            <a:ext uri="{FF2B5EF4-FFF2-40B4-BE49-F238E27FC236}">
              <a16:creationId xmlns:a16="http://schemas.microsoft.com/office/drawing/2014/main" id="{00000000-0008-0000-0000-000007000000}"/>
            </a:ext>
          </a:extLst>
        </xdr:cNvPr>
        <xdr:cNvSpPr/>
      </xdr:nvSpPr>
      <xdr:spPr>
        <a:xfrm>
          <a:off x="18561449" y="105086984"/>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43</xdr:col>
      <xdr:colOff>1021842</xdr:colOff>
      <xdr:row>83</xdr:row>
      <xdr:rowOff>72390</xdr:rowOff>
    </xdr:from>
    <xdr:ext cx="9525" cy="18415"/>
    <xdr:sp macro="" textlink="">
      <xdr:nvSpPr>
        <xdr:cNvPr id="8" name="Shape 3">
          <a:extLst>
            <a:ext uri="{FF2B5EF4-FFF2-40B4-BE49-F238E27FC236}">
              <a16:creationId xmlns:a16="http://schemas.microsoft.com/office/drawing/2014/main" id="{00000000-0008-0000-0000-000008000000}"/>
            </a:ext>
          </a:extLst>
        </xdr:cNvPr>
        <xdr:cNvSpPr/>
      </xdr:nvSpPr>
      <xdr:spPr>
        <a:xfrm>
          <a:off x="18561449" y="116522319"/>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oneCellAnchor>
    <xdr:from>
      <xdr:col>85</xdr:col>
      <xdr:colOff>1021842</xdr:colOff>
      <xdr:row>75</xdr:row>
      <xdr:rowOff>67055</xdr:rowOff>
    </xdr:from>
    <xdr:ext cx="9525" cy="18415"/>
    <xdr:sp macro="" textlink="">
      <xdr:nvSpPr>
        <xdr:cNvPr id="9" name="Shape 2">
          <a:extLst>
            <a:ext uri="{FF2B5EF4-FFF2-40B4-BE49-F238E27FC236}">
              <a16:creationId xmlns:a16="http://schemas.microsoft.com/office/drawing/2014/main" id="{00000000-0008-0000-0000-000009000000}"/>
            </a:ext>
          </a:extLst>
        </xdr:cNvPr>
        <xdr:cNvSpPr/>
      </xdr:nvSpPr>
      <xdr:spPr>
        <a:xfrm>
          <a:off x="82515021" y="5007429"/>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85</xdr:col>
      <xdr:colOff>1021842</xdr:colOff>
      <xdr:row>83</xdr:row>
      <xdr:rowOff>72390</xdr:rowOff>
    </xdr:from>
    <xdr:ext cx="9525" cy="18415"/>
    <xdr:sp macro="" textlink="">
      <xdr:nvSpPr>
        <xdr:cNvPr id="10" name="Shape 3">
          <a:extLst>
            <a:ext uri="{FF2B5EF4-FFF2-40B4-BE49-F238E27FC236}">
              <a16:creationId xmlns:a16="http://schemas.microsoft.com/office/drawing/2014/main" id="{00000000-0008-0000-0000-00000A000000}"/>
            </a:ext>
          </a:extLst>
        </xdr:cNvPr>
        <xdr:cNvSpPr/>
      </xdr:nvSpPr>
      <xdr:spPr>
        <a:xfrm>
          <a:off x="82515021" y="5007429"/>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oneCellAnchor>
    <xdr:from>
      <xdr:col>85</xdr:col>
      <xdr:colOff>1021842</xdr:colOff>
      <xdr:row>75</xdr:row>
      <xdr:rowOff>67055</xdr:rowOff>
    </xdr:from>
    <xdr:ext cx="9525" cy="18415"/>
    <xdr:sp macro="" textlink="">
      <xdr:nvSpPr>
        <xdr:cNvPr id="11" name="Shape 2">
          <a:extLst>
            <a:ext uri="{FF2B5EF4-FFF2-40B4-BE49-F238E27FC236}">
              <a16:creationId xmlns:a16="http://schemas.microsoft.com/office/drawing/2014/main" id="{00000000-0008-0000-0000-00000B000000}"/>
            </a:ext>
          </a:extLst>
        </xdr:cNvPr>
        <xdr:cNvSpPr/>
      </xdr:nvSpPr>
      <xdr:spPr>
        <a:xfrm>
          <a:off x="141115542" y="106413680"/>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85</xdr:col>
      <xdr:colOff>1021842</xdr:colOff>
      <xdr:row>83</xdr:row>
      <xdr:rowOff>72390</xdr:rowOff>
    </xdr:from>
    <xdr:ext cx="9525" cy="18415"/>
    <xdr:sp macro="" textlink="">
      <xdr:nvSpPr>
        <xdr:cNvPr id="12" name="Shape 3">
          <a:extLst>
            <a:ext uri="{FF2B5EF4-FFF2-40B4-BE49-F238E27FC236}">
              <a16:creationId xmlns:a16="http://schemas.microsoft.com/office/drawing/2014/main" id="{00000000-0008-0000-0000-00000C000000}"/>
            </a:ext>
          </a:extLst>
        </xdr:cNvPr>
        <xdr:cNvSpPr/>
      </xdr:nvSpPr>
      <xdr:spPr>
        <a:xfrm>
          <a:off x="141115542" y="117849015"/>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19</xdr:col>
      <xdr:colOff>1021842</xdr:colOff>
      <xdr:row>73</xdr:row>
      <xdr:rowOff>67055</xdr:rowOff>
    </xdr:from>
    <xdr:ext cx="9525" cy="18415"/>
    <xdr:sp macro="" textlink="">
      <xdr:nvSpPr>
        <xdr:cNvPr id="2" name="Shape 2">
          <a:extLst>
            <a:ext uri="{FF2B5EF4-FFF2-40B4-BE49-F238E27FC236}">
              <a16:creationId xmlns:a16="http://schemas.microsoft.com/office/drawing/2014/main" id="{00000000-0008-0000-0400-000002000000}"/>
            </a:ext>
          </a:extLst>
        </xdr:cNvPr>
        <xdr:cNvSpPr/>
      </xdr:nvSpPr>
      <xdr:spPr>
        <a:xfrm>
          <a:off x="18519267" y="70009130"/>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19</xdr:col>
      <xdr:colOff>1021842</xdr:colOff>
      <xdr:row>81</xdr:row>
      <xdr:rowOff>72390</xdr:rowOff>
    </xdr:from>
    <xdr:ext cx="9525" cy="18415"/>
    <xdr:sp macro="" textlink="">
      <xdr:nvSpPr>
        <xdr:cNvPr id="3" name="Shape 3">
          <a:extLst>
            <a:ext uri="{FF2B5EF4-FFF2-40B4-BE49-F238E27FC236}">
              <a16:creationId xmlns:a16="http://schemas.microsoft.com/office/drawing/2014/main" id="{00000000-0008-0000-0400-000003000000}"/>
            </a:ext>
          </a:extLst>
        </xdr:cNvPr>
        <xdr:cNvSpPr/>
      </xdr:nvSpPr>
      <xdr:spPr>
        <a:xfrm>
          <a:off x="18519267" y="76796265"/>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oneCellAnchor>
    <xdr:from>
      <xdr:col>19</xdr:col>
      <xdr:colOff>1139189</xdr:colOff>
      <xdr:row>408</xdr:row>
      <xdr:rowOff>159257</xdr:rowOff>
    </xdr:from>
    <xdr:ext cx="233679" cy="56515"/>
    <xdr:sp macro="" textlink="">
      <xdr:nvSpPr>
        <xdr:cNvPr id="4" name="Shape 2">
          <a:extLst>
            <a:ext uri="{FF2B5EF4-FFF2-40B4-BE49-F238E27FC236}">
              <a16:creationId xmlns:a16="http://schemas.microsoft.com/office/drawing/2014/main" id="{00000000-0008-0000-0400-000004000000}"/>
            </a:ext>
          </a:extLst>
        </xdr:cNvPr>
        <xdr:cNvSpPr/>
      </xdr:nvSpPr>
      <xdr:spPr>
        <a:xfrm>
          <a:off x="18636614" y="356222807"/>
          <a:ext cx="233679" cy="56515"/>
        </a:xfrm>
        <a:custGeom>
          <a:avLst/>
          <a:gdLst/>
          <a:ahLst/>
          <a:cxnLst/>
          <a:rect l="0" t="0" r="0" b="0"/>
          <a:pathLst>
            <a:path w="233679" h="56515">
              <a:moveTo>
                <a:pt x="44183" y="32004"/>
              </a:moveTo>
              <a:lnTo>
                <a:pt x="0" y="32004"/>
              </a:lnTo>
              <a:lnTo>
                <a:pt x="0" y="39624"/>
              </a:lnTo>
              <a:lnTo>
                <a:pt x="44183" y="39624"/>
              </a:lnTo>
              <a:lnTo>
                <a:pt x="44183" y="32004"/>
              </a:lnTo>
              <a:close/>
            </a:path>
            <a:path w="233679" h="56515">
              <a:moveTo>
                <a:pt x="103632" y="10668"/>
              </a:moveTo>
              <a:lnTo>
                <a:pt x="102108" y="7620"/>
              </a:lnTo>
              <a:lnTo>
                <a:pt x="96012" y="1524"/>
              </a:lnTo>
              <a:lnTo>
                <a:pt x="92964" y="0"/>
              </a:lnTo>
              <a:lnTo>
                <a:pt x="82296" y="0"/>
              </a:lnTo>
              <a:lnTo>
                <a:pt x="77724" y="1524"/>
              </a:lnTo>
              <a:lnTo>
                <a:pt x="74676" y="3048"/>
              </a:lnTo>
              <a:lnTo>
                <a:pt x="71628" y="6096"/>
              </a:lnTo>
              <a:lnTo>
                <a:pt x="70104" y="10668"/>
              </a:lnTo>
              <a:lnTo>
                <a:pt x="70104" y="15240"/>
              </a:lnTo>
              <a:lnTo>
                <a:pt x="77724" y="16764"/>
              </a:lnTo>
              <a:lnTo>
                <a:pt x="77724" y="13716"/>
              </a:lnTo>
              <a:lnTo>
                <a:pt x="79248" y="10668"/>
              </a:lnTo>
              <a:lnTo>
                <a:pt x="80772" y="9144"/>
              </a:lnTo>
              <a:lnTo>
                <a:pt x="82296" y="6096"/>
              </a:lnTo>
              <a:lnTo>
                <a:pt x="91440" y="6096"/>
              </a:lnTo>
              <a:lnTo>
                <a:pt x="92964" y="9144"/>
              </a:lnTo>
              <a:lnTo>
                <a:pt x="96012" y="12192"/>
              </a:lnTo>
              <a:lnTo>
                <a:pt x="96012" y="18288"/>
              </a:lnTo>
              <a:lnTo>
                <a:pt x="94488" y="19812"/>
              </a:lnTo>
              <a:lnTo>
                <a:pt x="91440" y="25908"/>
              </a:lnTo>
              <a:lnTo>
                <a:pt x="86868" y="30480"/>
              </a:lnTo>
              <a:lnTo>
                <a:pt x="80772" y="35052"/>
              </a:lnTo>
              <a:lnTo>
                <a:pt x="73152" y="42672"/>
              </a:lnTo>
              <a:lnTo>
                <a:pt x="68580" y="51816"/>
              </a:lnTo>
              <a:lnTo>
                <a:pt x="68580" y="56388"/>
              </a:lnTo>
              <a:lnTo>
                <a:pt x="103632" y="56388"/>
              </a:lnTo>
              <a:lnTo>
                <a:pt x="103632" y="48768"/>
              </a:lnTo>
              <a:lnTo>
                <a:pt x="79248" y="48768"/>
              </a:lnTo>
              <a:lnTo>
                <a:pt x="79248" y="47244"/>
              </a:lnTo>
              <a:lnTo>
                <a:pt x="80772" y="45720"/>
              </a:lnTo>
              <a:lnTo>
                <a:pt x="80772" y="44196"/>
              </a:lnTo>
              <a:lnTo>
                <a:pt x="82296" y="44196"/>
              </a:lnTo>
              <a:lnTo>
                <a:pt x="83820" y="41148"/>
              </a:lnTo>
              <a:lnTo>
                <a:pt x="88392" y="38100"/>
              </a:lnTo>
              <a:lnTo>
                <a:pt x="102108" y="24384"/>
              </a:lnTo>
              <a:lnTo>
                <a:pt x="102108" y="21336"/>
              </a:lnTo>
              <a:lnTo>
                <a:pt x="103632" y="19812"/>
              </a:lnTo>
              <a:lnTo>
                <a:pt x="103632" y="10668"/>
              </a:lnTo>
              <a:close/>
            </a:path>
            <a:path w="233679" h="56515">
              <a:moveTo>
                <a:pt x="147828" y="18300"/>
              </a:moveTo>
              <a:lnTo>
                <a:pt x="146304" y="15252"/>
              </a:lnTo>
              <a:lnTo>
                <a:pt x="146304" y="12204"/>
              </a:lnTo>
              <a:lnTo>
                <a:pt x="143256" y="6108"/>
              </a:lnTo>
              <a:lnTo>
                <a:pt x="140208" y="3060"/>
              </a:lnTo>
              <a:lnTo>
                <a:pt x="140208" y="13728"/>
              </a:lnTo>
              <a:lnTo>
                <a:pt x="140208" y="36588"/>
              </a:lnTo>
              <a:lnTo>
                <a:pt x="138684" y="42684"/>
              </a:lnTo>
              <a:lnTo>
                <a:pt x="135636" y="48780"/>
              </a:lnTo>
              <a:lnTo>
                <a:pt x="132588" y="50304"/>
              </a:lnTo>
              <a:lnTo>
                <a:pt x="126492" y="50304"/>
              </a:lnTo>
              <a:lnTo>
                <a:pt x="121920" y="45732"/>
              </a:lnTo>
              <a:lnTo>
                <a:pt x="120396" y="42684"/>
              </a:lnTo>
              <a:lnTo>
                <a:pt x="118872" y="38112"/>
              </a:lnTo>
              <a:lnTo>
                <a:pt x="118872" y="19824"/>
              </a:lnTo>
              <a:lnTo>
                <a:pt x="120396" y="13728"/>
              </a:lnTo>
              <a:lnTo>
                <a:pt x="121920" y="9156"/>
              </a:lnTo>
              <a:lnTo>
                <a:pt x="123444" y="7632"/>
              </a:lnTo>
              <a:lnTo>
                <a:pt x="126492" y="6108"/>
              </a:lnTo>
              <a:lnTo>
                <a:pt x="132588" y="6108"/>
              </a:lnTo>
              <a:lnTo>
                <a:pt x="135636" y="7632"/>
              </a:lnTo>
              <a:lnTo>
                <a:pt x="137160" y="10680"/>
              </a:lnTo>
              <a:lnTo>
                <a:pt x="140208" y="13728"/>
              </a:lnTo>
              <a:lnTo>
                <a:pt x="140208" y="3060"/>
              </a:lnTo>
              <a:lnTo>
                <a:pt x="138684" y="1536"/>
              </a:lnTo>
              <a:lnTo>
                <a:pt x="135636" y="12"/>
              </a:lnTo>
              <a:lnTo>
                <a:pt x="121920" y="12"/>
              </a:lnTo>
              <a:lnTo>
                <a:pt x="114300" y="7632"/>
              </a:lnTo>
              <a:lnTo>
                <a:pt x="114300" y="12204"/>
              </a:lnTo>
              <a:lnTo>
                <a:pt x="111252" y="21348"/>
              </a:lnTo>
              <a:lnTo>
                <a:pt x="111252" y="38112"/>
              </a:lnTo>
              <a:lnTo>
                <a:pt x="112776" y="45732"/>
              </a:lnTo>
              <a:lnTo>
                <a:pt x="117348" y="51828"/>
              </a:lnTo>
              <a:lnTo>
                <a:pt x="120396" y="54876"/>
              </a:lnTo>
              <a:lnTo>
                <a:pt x="124968" y="56400"/>
              </a:lnTo>
              <a:lnTo>
                <a:pt x="134112" y="56400"/>
              </a:lnTo>
              <a:lnTo>
                <a:pt x="143256" y="51828"/>
              </a:lnTo>
              <a:lnTo>
                <a:pt x="144018" y="50304"/>
              </a:lnTo>
              <a:lnTo>
                <a:pt x="144780" y="48780"/>
              </a:lnTo>
              <a:lnTo>
                <a:pt x="147828" y="39636"/>
              </a:lnTo>
              <a:lnTo>
                <a:pt x="147828" y="18300"/>
              </a:lnTo>
              <a:close/>
            </a:path>
            <a:path w="233679" h="56515">
              <a:moveTo>
                <a:pt x="179832" y="12"/>
              </a:moveTo>
              <a:lnTo>
                <a:pt x="175260" y="12"/>
              </a:lnTo>
              <a:lnTo>
                <a:pt x="173736" y="1536"/>
              </a:lnTo>
              <a:lnTo>
                <a:pt x="172212" y="4584"/>
              </a:lnTo>
              <a:lnTo>
                <a:pt x="164592" y="12204"/>
              </a:lnTo>
              <a:lnTo>
                <a:pt x="160020" y="13728"/>
              </a:lnTo>
              <a:lnTo>
                <a:pt x="160020" y="19824"/>
              </a:lnTo>
              <a:lnTo>
                <a:pt x="163068" y="19824"/>
              </a:lnTo>
              <a:lnTo>
                <a:pt x="166116" y="16776"/>
              </a:lnTo>
              <a:lnTo>
                <a:pt x="169164" y="15252"/>
              </a:lnTo>
              <a:lnTo>
                <a:pt x="172212" y="12204"/>
              </a:lnTo>
              <a:lnTo>
                <a:pt x="172212" y="56400"/>
              </a:lnTo>
              <a:lnTo>
                <a:pt x="179832" y="56400"/>
              </a:lnTo>
              <a:lnTo>
                <a:pt x="179832" y="12"/>
              </a:lnTo>
              <a:close/>
            </a:path>
            <a:path w="233679" h="56515">
              <a:moveTo>
                <a:pt x="233172" y="15252"/>
              </a:moveTo>
              <a:lnTo>
                <a:pt x="231648" y="10680"/>
              </a:lnTo>
              <a:lnTo>
                <a:pt x="230124" y="7632"/>
              </a:lnTo>
              <a:lnTo>
                <a:pt x="228600" y="6108"/>
              </a:lnTo>
              <a:lnTo>
                <a:pt x="227076" y="4584"/>
              </a:lnTo>
              <a:lnTo>
                <a:pt x="225552" y="3822"/>
              </a:lnTo>
              <a:lnTo>
                <a:pt x="225552" y="10680"/>
              </a:lnTo>
              <a:lnTo>
                <a:pt x="225552" y="24396"/>
              </a:lnTo>
              <a:lnTo>
                <a:pt x="219456" y="30492"/>
              </a:lnTo>
              <a:lnTo>
                <a:pt x="211836" y="30492"/>
              </a:lnTo>
              <a:lnTo>
                <a:pt x="208788" y="28968"/>
              </a:lnTo>
              <a:lnTo>
                <a:pt x="207264" y="27444"/>
              </a:lnTo>
              <a:lnTo>
                <a:pt x="205740" y="24396"/>
              </a:lnTo>
              <a:lnTo>
                <a:pt x="204216" y="22872"/>
              </a:lnTo>
              <a:lnTo>
                <a:pt x="204216" y="15252"/>
              </a:lnTo>
              <a:lnTo>
                <a:pt x="207264" y="9156"/>
              </a:lnTo>
              <a:lnTo>
                <a:pt x="210312" y="7632"/>
              </a:lnTo>
              <a:lnTo>
                <a:pt x="211836" y="6108"/>
              </a:lnTo>
              <a:lnTo>
                <a:pt x="219456" y="6108"/>
              </a:lnTo>
              <a:lnTo>
                <a:pt x="222504" y="7632"/>
              </a:lnTo>
              <a:lnTo>
                <a:pt x="225552" y="10680"/>
              </a:lnTo>
              <a:lnTo>
                <a:pt x="225552" y="3822"/>
              </a:lnTo>
              <a:lnTo>
                <a:pt x="224028" y="3060"/>
              </a:lnTo>
              <a:lnTo>
                <a:pt x="220980" y="12"/>
              </a:lnTo>
              <a:lnTo>
                <a:pt x="210312" y="12"/>
              </a:lnTo>
              <a:lnTo>
                <a:pt x="205740" y="1536"/>
              </a:lnTo>
              <a:lnTo>
                <a:pt x="199644" y="7632"/>
              </a:lnTo>
              <a:lnTo>
                <a:pt x="196596" y="12204"/>
              </a:lnTo>
              <a:lnTo>
                <a:pt x="196596" y="24396"/>
              </a:lnTo>
              <a:lnTo>
                <a:pt x="198120" y="27444"/>
              </a:lnTo>
              <a:lnTo>
                <a:pt x="201168" y="32016"/>
              </a:lnTo>
              <a:lnTo>
                <a:pt x="205740" y="35064"/>
              </a:lnTo>
              <a:lnTo>
                <a:pt x="208788" y="36588"/>
              </a:lnTo>
              <a:lnTo>
                <a:pt x="216408" y="36588"/>
              </a:lnTo>
              <a:lnTo>
                <a:pt x="217932" y="35064"/>
              </a:lnTo>
              <a:lnTo>
                <a:pt x="220980" y="35064"/>
              </a:lnTo>
              <a:lnTo>
                <a:pt x="225552" y="30492"/>
              </a:lnTo>
              <a:lnTo>
                <a:pt x="225552" y="38112"/>
              </a:lnTo>
              <a:lnTo>
                <a:pt x="224028" y="41160"/>
              </a:lnTo>
              <a:lnTo>
                <a:pt x="224028" y="44208"/>
              </a:lnTo>
              <a:lnTo>
                <a:pt x="222504" y="47256"/>
              </a:lnTo>
              <a:lnTo>
                <a:pt x="220980" y="47256"/>
              </a:lnTo>
              <a:lnTo>
                <a:pt x="217932" y="50304"/>
              </a:lnTo>
              <a:lnTo>
                <a:pt x="211836" y="50304"/>
              </a:lnTo>
              <a:lnTo>
                <a:pt x="210312" y="48780"/>
              </a:lnTo>
              <a:lnTo>
                <a:pt x="208788" y="48780"/>
              </a:lnTo>
              <a:lnTo>
                <a:pt x="207264" y="47256"/>
              </a:lnTo>
              <a:lnTo>
                <a:pt x="207264" y="45732"/>
              </a:lnTo>
              <a:lnTo>
                <a:pt x="205740" y="42684"/>
              </a:lnTo>
              <a:lnTo>
                <a:pt x="198120" y="42684"/>
              </a:lnTo>
              <a:lnTo>
                <a:pt x="199644" y="47256"/>
              </a:lnTo>
              <a:lnTo>
                <a:pt x="201168" y="50304"/>
              </a:lnTo>
              <a:lnTo>
                <a:pt x="204216" y="51828"/>
              </a:lnTo>
              <a:lnTo>
                <a:pt x="205740" y="54876"/>
              </a:lnTo>
              <a:lnTo>
                <a:pt x="210312" y="56400"/>
              </a:lnTo>
              <a:lnTo>
                <a:pt x="217932" y="56400"/>
              </a:lnTo>
              <a:lnTo>
                <a:pt x="222504" y="54876"/>
              </a:lnTo>
              <a:lnTo>
                <a:pt x="227076" y="50304"/>
              </a:lnTo>
              <a:lnTo>
                <a:pt x="230124" y="47256"/>
              </a:lnTo>
              <a:lnTo>
                <a:pt x="231648" y="42684"/>
              </a:lnTo>
              <a:lnTo>
                <a:pt x="233172" y="39636"/>
              </a:lnTo>
              <a:lnTo>
                <a:pt x="233172" y="28968"/>
              </a:lnTo>
              <a:lnTo>
                <a:pt x="233172" y="15252"/>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13</xdr:col>
      <xdr:colOff>1021842</xdr:colOff>
      <xdr:row>16</xdr:row>
      <xdr:rowOff>67055</xdr:rowOff>
    </xdr:from>
    <xdr:ext cx="9525" cy="18415"/>
    <xdr:sp macro="" textlink="">
      <xdr:nvSpPr>
        <xdr:cNvPr id="2" name="Shape 2">
          <a:extLst>
            <a:ext uri="{FF2B5EF4-FFF2-40B4-BE49-F238E27FC236}">
              <a16:creationId xmlns:a16="http://schemas.microsoft.com/office/drawing/2014/main" id="{00000000-0008-0000-0600-000002000000}"/>
            </a:ext>
          </a:extLst>
        </xdr:cNvPr>
        <xdr:cNvSpPr/>
      </xdr:nvSpPr>
      <xdr:spPr>
        <a:xfrm>
          <a:off x="3260217" y="3943730"/>
          <a:ext cx="9525" cy="18415"/>
        </a:xfrm>
        <a:custGeom>
          <a:avLst/>
          <a:gdLst/>
          <a:ahLst/>
          <a:cxnLst/>
          <a:rect l="0" t="0" r="0" b="0"/>
          <a:pathLst>
            <a:path w="9525" h="18415">
              <a:moveTo>
                <a:pt x="4572" y="18288"/>
              </a:moveTo>
              <a:lnTo>
                <a:pt x="1524" y="18288"/>
              </a:lnTo>
              <a:lnTo>
                <a:pt x="0" y="15240"/>
              </a:lnTo>
              <a:lnTo>
                <a:pt x="1524" y="15240"/>
              </a:lnTo>
              <a:lnTo>
                <a:pt x="4572" y="12192"/>
              </a:lnTo>
              <a:lnTo>
                <a:pt x="4572" y="7620"/>
              </a:lnTo>
              <a:lnTo>
                <a:pt x="1524" y="7620"/>
              </a:lnTo>
              <a:lnTo>
                <a:pt x="1524" y="0"/>
              </a:lnTo>
              <a:lnTo>
                <a:pt x="9144" y="0"/>
              </a:lnTo>
              <a:lnTo>
                <a:pt x="9144" y="9144"/>
              </a:lnTo>
              <a:lnTo>
                <a:pt x="7620" y="12192"/>
              </a:lnTo>
              <a:lnTo>
                <a:pt x="7620" y="13716"/>
              </a:lnTo>
              <a:lnTo>
                <a:pt x="6096" y="15240"/>
              </a:lnTo>
              <a:lnTo>
                <a:pt x="4572" y="18288"/>
              </a:lnTo>
              <a:close/>
            </a:path>
          </a:pathLst>
        </a:custGeom>
        <a:solidFill>
          <a:srgbClr val="000000">
            <a:alpha val="50000"/>
          </a:srgbClr>
        </a:solidFill>
      </xdr:spPr>
    </xdr:sp>
    <xdr:clientData/>
  </xdr:oneCellAnchor>
  <xdr:oneCellAnchor>
    <xdr:from>
      <xdr:col>13</xdr:col>
      <xdr:colOff>1021842</xdr:colOff>
      <xdr:row>24</xdr:row>
      <xdr:rowOff>72390</xdr:rowOff>
    </xdr:from>
    <xdr:ext cx="9525" cy="18415"/>
    <xdr:sp macro="" textlink="">
      <xdr:nvSpPr>
        <xdr:cNvPr id="3" name="Shape 3">
          <a:extLst>
            <a:ext uri="{FF2B5EF4-FFF2-40B4-BE49-F238E27FC236}">
              <a16:creationId xmlns:a16="http://schemas.microsoft.com/office/drawing/2014/main" id="{00000000-0008-0000-0600-000003000000}"/>
            </a:ext>
          </a:extLst>
        </xdr:cNvPr>
        <xdr:cNvSpPr/>
      </xdr:nvSpPr>
      <xdr:spPr>
        <a:xfrm>
          <a:off x="3260217" y="6663690"/>
          <a:ext cx="9525" cy="18415"/>
        </a:xfrm>
        <a:custGeom>
          <a:avLst/>
          <a:gdLst/>
          <a:ahLst/>
          <a:cxnLst/>
          <a:rect l="0" t="0" r="0" b="0"/>
          <a:pathLst>
            <a:path w="9525" h="18415">
              <a:moveTo>
                <a:pt x="1524" y="18288"/>
              </a:moveTo>
              <a:lnTo>
                <a:pt x="0" y="15240"/>
              </a:lnTo>
              <a:lnTo>
                <a:pt x="1524" y="15240"/>
              </a:lnTo>
              <a:lnTo>
                <a:pt x="3048" y="13716"/>
              </a:lnTo>
              <a:lnTo>
                <a:pt x="3048" y="12192"/>
              </a:lnTo>
              <a:lnTo>
                <a:pt x="4572" y="10668"/>
              </a:lnTo>
              <a:lnTo>
                <a:pt x="4572" y="7620"/>
              </a:lnTo>
              <a:lnTo>
                <a:pt x="1524" y="7620"/>
              </a:lnTo>
              <a:lnTo>
                <a:pt x="1524" y="0"/>
              </a:lnTo>
              <a:lnTo>
                <a:pt x="9144" y="0"/>
              </a:lnTo>
              <a:lnTo>
                <a:pt x="9144" y="9144"/>
              </a:lnTo>
              <a:lnTo>
                <a:pt x="7620" y="12192"/>
              </a:lnTo>
              <a:lnTo>
                <a:pt x="7620" y="13716"/>
              </a:lnTo>
              <a:lnTo>
                <a:pt x="4572" y="16764"/>
              </a:lnTo>
              <a:lnTo>
                <a:pt x="1524" y="18288"/>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law.cornell.edu/cfr/text/2/200.331" TargetMode="External"/><Relationship Id="rId2" Type="http://schemas.openxmlformats.org/officeDocument/2006/relationships/hyperlink" Target="https://extranet.fredhutch.org/en/u/osr/audit.html" TargetMode="External"/><Relationship Id="rId1" Type="http://schemas.openxmlformats.org/officeDocument/2006/relationships/hyperlink" Target="https://www.ucop.edu/financial-accounting/financial-reports/a-133-audit-repor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817"/>
  <sheetViews>
    <sheetView showGridLines="0" tabSelected="1" zoomScale="70" zoomScaleNormal="70" workbookViewId="0">
      <pane ySplit="3" topLeftCell="A4" activePane="bottomLeft" state="frozen"/>
      <selection pane="bottomLeft" sqref="A1:XFD1048576"/>
    </sheetView>
  </sheetViews>
  <sheetFormatPr defaultRowHeight="15"/>
  <cols>
    <col min="1" max="5" width="15.85546875" customWidth="1"/>
    <col min="6" max="6" width="44.5703125" customWidth="1"/>
    <col min="7" max="7" width="29.7109375" customWidth="1"/>
    <col min="8" max="8" width="29.5703125" customWidth="1"/>
    <col min="9" max="11" width="15.85546875" customWidth="1"/>
    <col min="12" max="13" width="22.5703125" customWidth="1"/>
    <col min="14" max="15" width="52.5703125" style="43" customWidth="1"/>
    <col min="16" max="16" width="15.85546875" customWidth="1"/>
    <col min="17" max="17" width="33.5703125" customWidth="1"/>
    <col min="18" max="18" width="15.85546875" customWidth="1"/>
    <col min="19" max="21" width="22.85546875" customWidth="1"/>
    <col min="22" max="22" width="37.42578125" customWidth="1"/>
    <col min="23" max="30" width="20.5703125" customWidth="1"/>
    <col min="31" max="31" width="129.5703125" style="43" customWidth="1"/>
    <col min="32" max="32" width="20.5703125" customWidth="1"/>
    <col min="33" max="33" width="135.85546875" style="43" customWidth="1"/>
    <col min="34" max="34" width="20.5703125" customWidth="1"/>
    <col min="35" max="35" width="63.42578125" style="43" customWidth="1"/>
    <col min="36" max="36" width="115.28515625" style="10" customWidth="1"/>
    <col min="37" max="56" width="20.5703125" customWidth="1"/>
    <col min="57" max="57" width="45" customWidth="1"/>
    <col min="58" max="58" width="37.28515625" customWidth="1"/>
    <col min="59" max="60" width="20.5703125" customWidth="1"/>
    <col min="61" max="64" width="15.85546875" customWidth="1"/>
    <col min="65" max="65" width="18.28515625" customWidth="1"/>
    <col min="66" max="67" width="15.85546875" customWidth="1"/>
    <col min="68" max="68" width="21.28515625" customWidth="1"/>
    <col min="69" max="69" width="15.85546875" customWidth="1"/>
    <col min="70" max="70" width="21.42578125" customWidth="1"/>
    <col min="71" max="73" width="15.85546875" customWidth="1"/>
    <col min="74" max="76" width="21.85546875" customWidth="1"/>
    <col min="77" max="77" width="19" customWidth="1"/>
    <col min="78" max="78" width="22.140625" customWidth="1"/>
    <col min="79" max="79" width="18.5703125" customWidth="1"/>
    <col min="80" max="80" width="20" customWidth="1"/>
    <col min="81" max="81" width="23" customWidth="1"/>
    <col min="82" max="82" width="22.28515625" customWidth="1"/>
    <col min="83" max="83" width="22.7109375" customWidth="1"/>
    <col min="84" max="84" width="34.140625" customWidth="1"/>
    <col min="85" max="85" width="22.7109375" customWidth="1"/>
    <col min="86" max="86" width="35" customWidth="1"/>
    <col min="87" max="93" width="22.7109375" customWidth="1"/>
    <col min="94" max="94" width="74.7109375" style="6" customWidth="1"/>
    <col min="95" max="103" width="22.7109375" customWidth="1"/>
    <col min="104" max="104" width="20.5703125" customWidth="1"/>
    <col min="105" max="106" width="21.28515625" customWidth="1"/>
    <col min="107" max="107" width="22.140625" customWidth="1"/>
    <col min="108" max="108" width="23.5703125" customWidth="1"/>
    <col min="109" max="109" width="15.85546875" customWidth="1"/>
    <col min="110" max="110" width="20.5703125" customWidth="1"/>
    <col min="111" max="111" width="15.85546875" customWidth="1"/>
    <col min="112" max="112" width="21.5703125" customWidth="1"/>
    <col min="113" max="115" width="15.85546875" customWidth="1"/>
    <col min="116" max="116" width="30.7109375" customWidth="1"/>
    <col min="117" max="117" width="24.5703125" customWidth="1"/>
    <col min="118" max="118" width="23.28515625" customWidth="1"/>
    <col min="119" max="123" width="15.85546875" customWidth="1"/>
    <col min="124" max="124" width="21.42578125" customWidth="1"/>
    <col min="125" max="126" width="15.85546875" customWidth="1"/>
    <col min="127" max="127" width="22.140625" customWidth="1"/>
    <col min="128" max="128" width="15.85546875" customWidth="1"/>
    <col min="129" max="130" width="26.42578125" customWidth="1"/>
    <col min="131" max="131" width="26" customWidth="1"/>
    <col min="132" max="132" width="15.85546875" customWidth="1"/>
  </cols>
  <sheetData>
    <row r="1" spans="1:98" s="6" customFormat="1" ht="30">
      <c r="A1" s="134"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15</v>
      </c>
      <c r="Q1" s="117" t="s">
        <v>16</v>
      </c>
      <c r="R1" s="117" t="s">
        <v>17</v>
      </c>
      <c r="S1" s="117" t="s">
        <v>18</v>
      </c>
      <c r="T1" s="117" t="s">
        <v>19</v>
      </c>
      <c r="U1" s="117" t="s">
        <v>20</v>
      </c>
      <c r="V1" s="117" t="s">
        <v>21</v>
      </c>
      <c r="W1" s="117" t="s">
        <v>22</v>
      </c>
      <c r="X1" s="117" t="s">
        <v>23</v>
      </c>
      <c r="Y1" s="117" t="s">
        <v>24</v>
      </c>
      <c r="Z1" s="117" t="s">
        <v>25</v>
      </c>
      <c r="AA1" s="117" t="s">
        <v>26</v>
      </c>
      <c r="AB1" s="117" t="s">
        <v>27</v>
      </c>
      <c r="AC1" s="117" t="s">
        <v>28</v>
      </c>
      <c r="AD1" s="117" t="s">
        <v>29</v>
      </c>
      <c r="AE1" s="118" t="s">
        <v>30</v>
      </c>
      <c r="AF1" s="117" t="s">
        <v>31</v>
      </c>
      <c r="AG1" s="118" t="s">
        <v>32</v>
      </c>
      <c r="AH1" s="117" t="s">
        <v>33</v>
      </c>
      <c r="AI1" s="118" t="s">
        <v>34</v>
      </c>
      <c r="AJ1" s="119" t="s">
        <v>35</v>
      </c>
      <c r="AK1" s="117" t="s">
        <v>36</v>
      </c>
      <c r="AL1" s="120" t="s">
        <v>0</v>
      </c>
      <c r="AM1" s="120" t="s">
        <v>2</v>
      </c>
      <c r="AN1" s="120" t="s">
        <v>3</v>
      </c>
      <c r="AO1" s="120" t="s">
        <v>4</v>
      </c>
      <c r="AP1" s="120" t="s">
        <v>5</v>
      </c>
      <c r="AQ1" s="120" t="s">
        <v>11</v>
      </c>
      <c r="AR1" s="120" t="s">
        <v>13</v>
      </c>
      <c r="AS1" s="120" t="s">
        <v>37</v>
      </c>
      <c r="AT1" s="120" t="s">
        <v>34</v>
      </c>
      <c r="AU1" s="120" t="s">
        <v>38</v>
      </c>
      <c r="AV1" s="120" t="s">
        <v>39</v>
      </c>
      <c r="AW1" s="120" t="s">
        <v>40</v>
      </c>
      <c r="AX1" s="120" t="s">
        <v>41</v>
      </c>
      <c r="AY1" s="120" t="s">
        <v>42</v>
      </c>
      <c r="AZ1" s="120" t="s">
        <v>43</v>
      </c>
      <c r="BA1" s="120" t="s">
        <v>44</v>
      </c>
      <c r="BB1" s="120" t="s">
        <v>45</v>
      </c>
      <c r="BC1" s="120" t="s">
        <v>46</v>
      </c>
      <c r="BD1" s="120" t="s">
        <v>39</v>
      </c>
      <c r="BE1" s="120" t="s">
        <v>47</v>
      </c>
      <c r="BF1" s="120" t="s">
        <v>48</v>
      </c>
      <c r="BG1" s="120" t="s">
        <v>49</v>
      </c>
      <c r="BH1" s="120" t="s">
        <v>50</v>
      </c>
      <c r="BI1" s="121" t="s">
        <v>0</v>
      </c>
      <c r="BJ1" s="121" t="s">
        <v>51</v>
      </c>
      <c r="BK1" s="121" t="s">
        <v>52</v>
      </c>
      <c r="BL1" s="121" t="s">
        <v>53</v>
      </c>
      <c r="BM1" s="121" t="s">
        <v>54</v>
      </c>
      <c r="BN1" s="121" t="s">
        <v>55</v>
      </c>
      <c r="BO1" s="121" t="s">
        <v>15</v>
      </c>
      <c r="BP1" s="121" t="s">
        <v>56</v>
      </c>
      <c r="BQ1" s="121" t="s">
        <v>57</v>
      </c>
      <c r="BR1" s="121" t="s">
        <v>58</v>
      </c>
      <c r="BS1" s="122" t="s">
        <v>0</v>
      </c>
      <c r="BT1" s="122" t="s">
        <v>51</v>
      </c>
      <c r="BU1" s="122" t="s">
        <v>52</v>
      </c>
      <c r="BV1" s="122" t="s">
        <v>53</v>
      </c>
      <c r="BW1" s="122" t="s">
        <v>59</v>
      </c>
      <c r="BX1" s="122" t="s">
        <v>60</v>
      </c>
      <c r="BY1" s="122" t="s">
        <v>54</v>
      </c>
      <c r="BZ1" s="122" t="s">
        <v>61</v>
      </c>
      <c r="CA1" s="122" t="s">
        <v>62</v>
      </c>
      <c r="CB1" s="122" t="s">
        <v>63</v>
      </c>
      <c r="CC1" s="122" t="s">
        <v>56</v>
      </c>
      <c r="CD1" s="122" t="s">
        <v>64</v>
      </c>
      <c r="CE1" s="123" t="s">
        <v>0</v>
      </c>
      <c r="CF1" s="123" t="s">
        <v>65</v>
      </c>
      <c r="CG1" s="123" t="s">
        <v>66</v>
      </c>
      <c r="CH1" s="123" t="s">
        <v>67</v>
      </c>
      <c r="CI1" s="123" t="s">
        <v>68</v>
      </c>
      <c r="CJ1" s="123" t="s">
        <v>4</v>
      </c>
      <c r="CK1" s="123" t="s">
        <v>69</v>
      </c>
      <c r="CL1" s="123" t="s">
        <v>70</v>
      </c>
      <c r="CM1" s="123" t="s">
        <v>71</v>
      </c>
      <c r="CN1" s="123" t="s">
        <v>72</v>
      </c>
      <c r="CO1" s="123" t="s">
        <v>73</v>
      </c>
      <c r="CP1" s="123" t="s">
        <v>74</v>
      </c>
      <c r="CQ1" s="123" t="s">
        <v>75</v>
      </c>
      <c r="CR1" s="123" t="s">
        <v>76</v>
      </c>
      <c r="CS1" s="123" t="s">
        <v>77</v>
      </c>
      <c r="CT1" s="135" t="s">
        <v>78</v>
      </c>
    </row>
    <row r="2" spans="1:98">
      <c r="A2" s="89"/>
      <c r="B2" s="90"/>
      <c r="C2" s="90"/>
      <c r="D2" s="90"/>
      <c r="E2" s="90"/>
      <c r="F2" s="90"/>
      <c r="G2" s="90"/>
      <c r="H2" s="90"/>
      <c r="I2" s="90"/>
      <c r="J2" s="90"/>
      <c r="K2" s="90"/>
      <c r="L2" s="90"/>
      <c r="M2" s="90"/>
      <c r="N2" s="24"/>
      <c r="O2" s="24"/>
      <c r="P2" s="90"/>
      <c r="Q2" s="90"/>
      <c r="R2" s="90"/>
      <c r="S2" s="90"/>
      <c r="T2" s="90"/>
      <c r="U2" s="90"/>
      <c r="V2" s="90"/>
      <c r="W2" s="24"/>
      <c r="X2" s="24"/>
      <c r="Y2" s="24"/>
      <c r="Z2" s="24"/>
      <c r="AA2" s="24"/>
      <c r="AB2" s="24"/>
      <c r="AC2" s="24"/>
      <c r="AD2" s="24"/>
      <c r="AE2" s="24"/>
      <c r="AF2" s="90"/>
      <c r="AG2" s="24"/>
      <c r="AH2" s="90"/>
      <c r="AI2" s="24"/>
      <c r="AJ2" s="24"/>
      <c r="AK2" s="124" t="s">
        <v>79</v>
      </c>
      <c r="AL2" s="124" t="s">
        <v>80</v>
      </c>
      <c r="AM2" s="124"/>
      <c r="AN2" s="124"/>
      <c r="AO2" s="124"/>
      <c r="AP2" s="124"/>
      <c r="AQ2" s="124"/>
      <c r="AR2" s="124"/>
      <c r="AS2" s="124"/>
      <c r="AT2" s="124"/>
      <c r="AU2" s="124"/>
      <c r="AV2" s="124"/>
      <c r="AW2" s="124"/>
      <c r="AX2" s="124"/>
      <c r="AY2" s="124"/>
      <c r="AZ2" s="124"/>
      <c r="BA2" s="124"/>
      <c r="BB2" s="124"/>
      <c r="BC2" s="124"/>
      <c r="BD2" s="124"/>
      <c r="BE2" s="124"/>
      <c r="BF2" s="124"/>
      <c r="BG2" s="124"/>
      <c r="BH2" s="124"/>
      <c r="BI2" s="90"/>
      <c r="BJ2" s="90"/>
      <c r="BK2" s="90"/>
      <c r="BL2" s="90"/>
      <c r="BM2" s="90"/>
      <c r="BN2" s="90"/>
      <c r="BO2" s="90"/>
      <c r="BP2" s="90"/>
      <c r="BQ2" s="90"/>
      <c r="BR2" s="90"/>
      <c r="BS2" s="90"/>
      <c r="BT2" s="90"/>
      <c r="BU2" s="90"/>
      <c r="BV2" s="90"/>
      <c r="BW2" s="90"/>
      <c r="BX2" s="124" t="s">
        <v>79</v>
      </c>
      <c r="BY2" s="90"/>
      <c r="BZ2" s="124" t="s">
        <v>79</v>
      </c>
      <c r="CA2" s="90"/>
      <c r="CB2" s="90"/>
      <c r="CC2" s="90"/>
      <c r="CD2" s="90"/>
      <c r="CE2" s="124" t="s">
        <v>80</v>
      </c>
      <c r="CF2" s="124"/>
      <c r="CG2" s="124"/>
      <c r="CH2" s="124"/>
      <c r="CI2" s="124"/>
      <c r="CJ2" s="124"/>
      <c r="CK2" s="124"/>
      <c r="CL2" s="124"/>
      <c r="CM2" s="124"/>
      <c r="CN2" s="124"/>
      <c r="CO2" s="124"/>
      <c r="CP2" s="124"/>
      <c r="CQ2" s="124"/>
      <c r="CR2" s="124"/>
      <c r="CS2" s="124"/>
      <c r="CT2" s="136"/>
    </row>
    <row r="3" spans="1:98">
      <c r="A3" s="89"/>
      <c r="B3" s="90"/>
      <c r="C3" s="90"/>
      <c r="D3" s="90"/>
      <c r="E3" s="90"/>
      <c r="F3" s="90"/>
      <c r="G3" s="90"/>
      <c r="H3" s="90"/>
      <c r="I3" s="90"/>
      <c r="J3" s="90"/>
      <c r="K3" s="90"/>
      <c r="L3" s="90"/>
      <c r="M3" s="90"/>
      <c r="N3" s="24"/>
      <c r="O3" s="24"/>
      <c r="P3" s="90"/>
      <c r="Q3" s="90"/>
      <c r="R3" s="90"/>
      <c r="S3" s="90"/>
      <c r="T3" s="90"/>
      <c r="U3" s="90"/>
      <c r="V3" s="90"/>
      <c r="W3" s="90"/>
      <c r="X3" s="90"/>
      <c r="Y3" s="90"/>
      <c r="Z3" s="90"/>
      <c r="AA3" s="90"/>
      <c r="AB3" s="90"/>
      <c r="AC3" s="90"/>
      <c r="AD3" s="90"/>
      <c r="AE3" s="24"/>
      <c r="AF3" s="90"/>
      <c r="AG3" s="24"/>
      <c r="AH3" s="90"/>
      <c r="AI3" s="24"/>
      <c r="AJ3" s="24"/>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137"/>
    </row>
    <row r="4" spans="1:98" ht="195">
      <c r="A4" s="89">
        <v>41363</v>
      </c>
      <c r="B4" s="90">
        <v>2020</v>
      </c>
      <c r="C4" s="90" t="s">
        <v>81</v>
      </c>
      <c r="D4" s="90" t="s">
        <v>82</v>
      </c>
      <c r="E4" s="125" t="s">
        <v>83</v>
      </c>
      <c r="F4" s="24" t="s">
        <v>84</v>
      </c>
      <c r="G4" s="90" t="s">
        <v>85</v>
      </c>
      <c r="H4" s="90" t="s">
        <v>86</v>
      </c>
      <c r="I4" s="90">
        <v>93</v>
      </c>
      <c r="J4" s="90">
        <v>157</v>
      </c>
      <c r="K4" s="90" t="s">
        <v>87</v>
      </c>
      <c r="L4" s="90" t="s">
        <v>88</v>
      </c>
      <c r="M4" s="90" t="s">
        <v>87</v>
      </c>
      <c r="N4" s="24" t="s">
        <v>89</v>
      </c>
      <c r="O4" s="24" t="str">
        <f>IF(ISNUMBER(SEARCH("Cancer",N4)),"Cancer",IF(ISNUMBER(SEARCH("health",N4)),"Public health",IF(ISNUMBER(SEARCH("disabilities",N4)),"Disabilities","Other")))</f>
        <v>Other</v>
      </c>
      <c r="P4" s="126">
        <v>969895</v>
      </c>
      <c r="Q4" s="90" t="s">
        <v>85</v>
      </c>
      <c r="R4" s="90" t="str">
        <f>IF(P4&gt;20000000,"B","A")</f>
        <v>A</v>
      </c>
      <c r="S4" s="90" t="s">
        <v>90</v>
      </c>
      <c r="T4" s="90">
        <v>2558888</v>
      </c>
      <c r="U4" s="90" t="s">
        <v>91</v>
      </c>
      <c r="V4" s="90" t="s">
        <v>85</v>
      </c>
      <c r="W4" s="90" t="s">
        <v>87</v>
      </c>
      <c r="X4" s="90" t="s">
        <v>85</v>
      </c>
      <c r="Y4" s="90" t="s">
        <v>85</v>
      </c>
      <c r="Z4" s="90" t="s">
        <v>87</v>
      </c>
      <c r="AA4" s="90" t="s">
        <v>85</v>
      </c>
      <c r="AB4" s="90" t="s">
        <v>87</v>
      </c>
      <c r="AC4" s="90" t="s">
        <v>85</v>
      </c>
      <c r="AD4" s="90">
        <v>0</v>
      </c>
      <c r="AE4" s="24" t="s">
        <v>92</v>
      </c>
      <c r="AF4" s="90" t="s">
        <v>91</v>
      </c>
      <c r="AG4" s="24" t="s">
        <v>93</v>
      </c>
      <c r="AH4" s="90">
        <v>76985</v>
      </c>
      <c r="AI4" s="24" t="s">
        <v>94</v>
      </c>
      <c r="AJ4" s="24" t="s">
        <v>95</v>
      </c>
      <c r="AK4" s="90" t="s">
        <v>85</v>
      </c>
      <c r="AL4" s="90">
        <v>41363</v>
      </c>
      <c r="AM4" s="90" t="s">
        <v>81</v>
      </c>
      <c r="AN4" s="90" t="s">
        <v>82</v>
      </c>
      <c r="AO4" s="125" t="s">
        <v>83</v>
      </c>
      <c r="AP4" s="24" t="s">
        <v>89</v>
      </c>
      <c r="AQ4" s="90" t="s">
        <v>88</v>
      </c>
      <c r="AR4" s="24" t="s">
        <v>89</v>
      </c>
      <c r="AS4" s="90">
        <v>2558888</v>
      </c>
      <c r="AT4" s="24" t="s">
        <v>94</v>
      </c>
      <c r="AU4" s="90" t="s">
        <v>85</v>
      </c>
      <c r="AV4" s="90" t="str">
        <f>IF(ISNUMBER(SEARCH("disagree",AE4)),"N","Y")</f>
        <v>Y</v>
      </c>
      <c r="AW4" s="90">
        <v>74144</v>
      </c>
      <c r="AX4" s="24" t="s">
        <v>96</v>
      </c>
      <c r="AY4" s="90" t="str">
        <f>CONCATENATE(AZ4,BA4,BB4,BC4)</f>
        <v>QCS</v>
      </c>
      <c r="AZ4" s="90" t="str">
        <f>IF(ISNUMBER(SEARCH("Y",AC4)),"R","")</f>
        <v/>
      </c>
      <c r="BA4" s="90" t="str">
        <f>IF(ISNUMBER(SEARCH("Y",Y4)),"M","")</f>
        <v/>
      </c>
      <c r="BB4" s="90" t="str">
        <f>IF(ISNUMBER(SEARCH("Y",AB4)),"QC","")</f>
        <v>QC</v>
      </c>
      <c r="BC4" s="90" t="str">
        <f>IF(ISNUMBER(SEARCH("Y",Z4)),"S","")</f>
        <v>S</v>
      </c>
      <c r="BD4" s="90"/>
      <c r="BE4" s="24" t="s">
        <v>97</v>
      </c>
      <c r="BF4" s="125" t="str">
        <f>IF(AND(AW4&gt;=56543,AW4&lt;=76543,LEN(AW4)&gt;0),"3 Feb 2020",IF(AND(AW4&gt;=66544,AW4&lt;=99999,LEN(AW4)&gt;0),"12 Sep 2020",""))</f>
        <v>3 Feb 2020</v>
      </c>
      <c r="BG4" s="125" t="str">
        <f>IF((AND(BF4="3 Feb 2020",LEN(BF4)&gt;0)),"Completed",IF((AND(BF4="12 Sep 2020",LEN(BF4)&gt;0)),"Pending",""))</f>
        <v>Completed</v>
      </c>
      <c r="BH4" s="90" t="str">
        <f>IF((AND(BF4="3 Feb 2020",LEN(BF4)&gt;0)),"3 Feb 2020","")</f>
        <v>3 Feb 2020</v>
      </c>
      <c r="BI4" s="90">
        <v>41363</v>
      </c>
      <c r="BJ4" s="90" t="str">
        <f>L4</f>
        <v>8L97IR76985-13</v>
      </c>
      <c r="BK4" s="127">
        <v>43508</v>
      </c>
      <c r="BL4" s="127">
        <v>44239</v>
      </c>
      <c r="BM4" s="128">
        <f>P4*1.1</f>
        <v>1066884.5</v>
      </c>
      <c r="BN4" s="129">
        <f>P4*0.9</f>
        <v>872905.5</v>
      </c>
      <c r="BO4" s="130">
        <f>P4*0.8</f>
        <v>775916</v>
      </c>
      <c r="BP4" s="90">
        <f>IF(Z4="Y",BM4*0.4,BM4*1.05)</f>
        <v>426753.80000000005</v>
      </c>
      <c r="BQ4" s="90">
        <f>BP4*0.8</f>
        <v>341403.04000000004</v>
      </c>
      <c r="BR4" s="90" t="str">
        <f>IF(ISNUMBER(SEARCH("subrecipient",#REF!)),P4*0.6,"")</f>
        <v/>
      </c>
      <c r="BS4" s="90">
        <v>41363</v>
      </c>
      <c r="BT4" s="90" t="str">
        <f>BJ4</f>
        <v>8L97IR76985-13</v>
      </c>
      <c r="BU4" s="127">
        <f>BK4</f>
        <v>43508</v>
      </c>
      <c r="BV4" s="127">
        <f>BL4</f>
        <v>44239</v>
      </c>
      <c r="BW4" s="90" t="str">
        <f>H4</f>
        <v>CDC</v>
      </c>
      <c r="BX4" s="90" t="str">
        <f>IF(H4="NATIONAL HEMOPHILIA FOUNDATION","Non Federal","Federal")</f>
        <v>Federal</v>
      </c>
      <c r="BY4" s="128">
        <f>BM4</f>
        <v>1066884.5</v>
      </c>
      <c r="BZ4" s="90" t="str">
        <f>IF(LEN(BR4)&gt;0,1,"")</f>
        <v/>
      </c>
      <c r="CA4" s="90" t="str">
        <f>IF(LEN(BR4)&gt;0,"VIRAL HEPATITIS PROJECT","")</f>
        <v/>
      </c>
      <c r="CB4" s="129" t="str">
        <f>IF(LEN(BR4)&gt;0,BM4*0.7,"")</f>
        <v/>
      </c>
      <c r="CC4" s="90">
        <f>BP4</f>
        <v>426753.80000000005</v>
      </c>
      <c r="CD4" s="90" t="str">
        <f>IF(LEN(BR4)&gt;0,"70%","")</f>
        <v/>
      </c>
      <c r="CE4" s="90">
        <f>BS4</f>
        <v>41363</v>
      </c>
      <c r="CF4" s="90" t="str">
        <f>CA4</f>
        <v/>
      </c>
      <c r="CG4" s="90"/>
      <c r="CH4" s="90"/>
      <c r="CI4" s="90"/>
      <c r="CJ4" s="90"/>
      <c r="CK4" s="90"/>
      <c r="CL4" s="90"/>
      <c r="CM4" s="90"/>
      <c r="CN4" s="90"/>
      <c r="CO4" s="90"/>
      <c r="CP4" s="90"/>
      <c r="CQ4" s="90"/>
      <c r="CR4" s="90"/>
      <c r="CS4" s="90"/>
      <c r="CT4" s="137"/>
    </row>
    <row r="5" spans="1:98" ht="180">
      <c r="A5" s="89">
        <v>41363</v>
      </c>
      <c r="B5" s="90">
        <v>2020</v>
      </c>
      <c r="C5" s="90" t="s">
        <v>81</v>
      </c>
      <c r="D5" s="90" t="s">
        <v>82</v>
      </c>
      <c r="E5" s="125" t="s">
        <v>98</v>
      </c>
      <c r="F5" s="24" t="s">
        <v>84</v>
      </c>
      <c r="G5" s="90" t="s">
        <v>85</v>
      </c>
      <c r="H5" s="90" t="s">
        <v>86</v>
      </c>
      <c r="I5" s="90">
        <v>93</v>
      </c>
      <c r="J5" s="90">
        <v>157</v>
      </c>
      <c r="K5" s="90" t="s">
        <v>87</v>
      </c>
      <c r="L5" s="90" t="s">
        <v>88</v>
      </c>
      <c r="M5" s="90" t="s">
        <v>87</v>
      </c>
      <c r="N5" s="24" t="s">
        <v>89</v>
      </c>
      <c r="O5" s="24" t="str">
        <f>IF(ISNUMBER(SEARCH("Cancer",N5)),"Cancer",IF(ISNUMBER(SEARCH("health",N5)),"Public health",IF(ISNUMBER(SEARCH("disabilities",N5)),"Disabilities","Other")))</f>
        <v>Other</v>
      </c>
      <c r="P5" s="126">
        <v>969895</v>
      </c>
      <c r="Q5" s="90" t="s">
        <v>85</v>
      </c>
      <c r="R5" s="90" t="str">
        <f>IF(P5&gt;20000000,"B","A")</f>
        <v>A</v>
      </c>
      <c r="S5" s="90" t="s">
        <v>90</v>
      </c>
      <c r="T5" s="90">
        <v>2558888</v>
      </c>
      <c r="U5" s="90" t="s">
        <v>91</v>
      </c>
      <c r="V5" s="90" t="s">
        <v>85</v>
      </c>
      <c r="W5" s="90" t="s">
        <v>87</v>
      </c>
      <c r="X5" s="90" t="s">
        <v>85</v>
      </c>
      <c r="Y5" s="90" t="s">
        <v>85</v>
      </c>
      <c r="Z5" s="90" t="s">
        <v>87</v>
      </c>
      <c r="AA5" s="90" t="s">
        <v>85</v>
      </c>
      <c r="AB5" s="90" t="s">
        <v>87</v>
      </c>
      <c r="AC5" s="90" t="s">
        <v>85</v>
      </c>
      <c r="AD5" s="90">
        <v>0</v>
      </c>
      <c r="AE5" s="24" t="s">
        <v>99</v>
      </c>
      <c r="AF5" s="90" t="s">
        <v>100</v>
      </c>
      <c r="AG5" s="24" t="s">
        <v>101</v>
      </c>
      <c r="AH5" s="90">
        <v>76984</v>
      </c>
      <c r="AI5" s="24" t="s">
        <v>102</v>
      </c>
      <c r="AJ5" s="24" t="s">
        <v>103</v>
      </c>
      <c r="AK5" s="90" t="s">
        <v>85</v>
      </c>
      <c r="AL5" s="90">
        <v>41363</v>
      </c>
      <c r="AM5" s="90" t="s">
        <v>81</v>
      </c>
      <c r="AN5" s="90" t="s">
        <v>82</v>
      </c>
      <c r="AO5" s="125" t="s">
        <v>98</v>
      </c>
      <c r="AP5" s="24" t="s">
        <v>89</v>
      </c>
      <c r="AQ5" s="90" t="s">
        <v>88</v>
      </c>
      <c r="AR5" s="24" t="s">
        <v>89</v>
      </c>
      <c r="AS5" s="90">
        <v>2558888</v>
      </c>
      <c r="AT5" s="24" t="s">
        <v>102</v>
      </c>
      <c r="AU5" s="90" t="s">
        <v>85</v>
      </c>
      <c r="AV5" s="90" t="str">
        <f>IF(ISNUMBER(SEARCH("disagree",AE5)),"N","Y")</f>
        <v>Y</v>
      </c>
      <c r="AW5" s="90">
        <v>94455</v>
      </c>
      <c r="AX5" s="24" t="s">
        <v>104</v>
      </c>
      <c r="AY5" s="90" t="str">
        <f>CONCATENATE(AZ5,BA5,BB5,BC5)</f>
        <v>QCS</v>
      </c>
      <c r="AZ5" s="90" t="str">
        <f>IF(ISNUMBER(SEARCH("Y",AC5)),"R","")</f>
        <v/>
      </c>
      <c r="BA5" s="90" t="str">
        <f>IF(ISNUMBER(SEARCH("Y",Y5)),"M","")</f>
        <v/>
      </c>
      <c r="BB5" s="90" t="str">
        <f>IF(ISNUMBER(SEARCH("Y",AB5)),"QC","")</f>
        <v>QC</v>
      </c>
      <c r="BC5" s="90" t="str">
        <f>IF(ISNUMBER(SEARCH("Y",Z5)),"S","")</f>
        <v>S</v>
      </c>
      <c r="BD5" s="90"/>
      <c r="BE5" s="24" t="s">
        <v>105</v>
      </c>
      <c r="BF5" s="125" t="str">
        <f>IF(AND(AW5&gt;=56543,AW5&lt;=76543,LEN(AW5)&gt;0),"3 Feb 2020",IF(AND(AW5&gt;=66544,AW5&lt;=99999,LEN(AW5)&gt;0),"12 Sep 2020",""))</f>
        <v>12 Sep 2020</v>
      </c>
      <c r="BG5" s="125" t="str">
        <f>IF((AND(BF5="3 Feb 2020",LEN(BF5)&gt;0)),"Completed",IF((AND(BF5="12 Sep 2020",LEN(BF5)&gt;0)),"Pending",""))</f>
        <v>Pending</v>
      </c>
      <c r="BH5" s="90" t="str">
        <f>IF((AND(BF5="3 Feb 2020",LEN(BF5)&gt;0)),"3 Feb 2020","")</f>
        <v/>
      </c>
      <c r="BI5" s="90">
        <v>41363</v>
      </c>
      <c r="BJ5" s="90" t="str">
        <f>L5</f>
        <v>8L97IR76985-13</v>
      </c>
      <c r="BK5" s="127">
        <v>43508</v>
      </c>
      <c r="BL5" s="127">
        <v>44239</v>
      </c>
      <c r="BM5" s="128">
        <f>P5*1.1</f>
        <v>1066884.5</v>
      </c>
      <c r="BN5" s="129">
        <f>P5*0.9</f>
        <v>872905.5</v>
      </c>
      <c r="BO5" s="130">
        <f>P5*0.8</f>
        <v>775916</v>
      </c>
      <c r="BP5" s="90">
        <f>IF(Z5="Y",BM5*0.4,BM5*1.05)</f>
        <v>426753.80000000005</v>
      </c>
      <c r="BQ5" s="90">
        <f>BP5*0.8</f>
        <v>341403.04000000004</v>
      </c>
      <c r="BR5" s="90" t="str">
        <f>IF(ISNUMBER(SEARCH("subrecipient",AI1)),P5*0.6,"")</f>
        <v/>
      </c>
      <c r="BS5" s="90">
        <v>41363</v>
      </c>
      <c r="BT5" s="90" t="str">
        <f>BJ5</f>
        <v>8L97IR76985-13</v>
      </c>
      <c r="BU5" s="127">
        <f>BK5</f>
        <v>43508</v>
      </c>
      <c r="BV5" s="127">
        <f>BL5</f>
        <v>44239</v>
      </c>
      <c r="BW5" s="90" t="str">
        <f>H5</f>
        <v>CDC</v>
      </c>
      <c r="BX5" s="90" t="str">
        <f>IF(H5="NATIONAL HEMOPHILIA FOUNDATION","Non Federal","Federal")</f>
        <v>Federal</v>
      </c>
      <c r="BY5" s="128">
        <f>BM5</f>
        <v>1066884.5</v>
      </c>
      <c r="BZ5" s="90" t="str">
        <f>IF(LEN(BR5)&gt;0,1,"")</f>
        <v/>
      </c>
      <c r="CA5" s="90" t="str">
        <f>IF(LEN(BR5)&gt;0,"VIRAL HEPATITIS PROJECT","")</f>
        <v/>
      </c>
      <c r="CB5" s="129" t="str">
        <f>IF(LEN(BR5)&gt;0,BM5*0.7,"")</f>
        <v/>
      </c>
      <c r="CC5" s="90">
        <f>BP5</f>
        <v>426753.80000000005</v>
      </c>
      <c r="CD5" s="90" t="str">
        <f>IF(LEN(BR5)&gt;0,"70%","")</f>
        <v/>
      </c>
      <c r="CE5" s="90">
        <f>BS5</f>
        <v>41363</v>
      </c>
      <c r="CF5" s="90" t="str">
        <f>CA5</f>
        <v/>
      </c>
      <c r="CG5" s="90"/>
      <c r="CH5" s="90"/>
      <c r="CI5" s="90"/>
      <c r="CJ5" s="90"/>
      <c r="CK5" s="90"/>
      <c r="CL5" s="90"/>
      <c r="CM5" s="90"/>
      <c r="CN5" s="90"/>
      <c r="CO5" s="90"/>
      <c r="CP5" s="90"/>
      <c r="CQ5" s="90"/>
      <c r="CR5" s="90"/>
      <c r="CS5" s="90"/>
      <c r="CT5" s="137"/>
    </row>
    <row r="6" spans="1:98" ht="195">
      <c r="A6" s="89">
        <v>41363</v>
      </c>
      <c r="B6" s="90">
        <v>2020</v>
      </c>
      <c r="C6" s="90" t="s">
        <v>81</v>
      </c>
      <c r="D6" s="90" t="s">
        <v>82</v>
      </c>
      <c r="E6" s="125" t="s">
        <v>106</v>
      </c>
      <c r="F6" s="24" t="s">
        <v>84</v>
      </c>
      <c r="G6" s="90" t="s">
        <v>85</v>
      </c>
      <c r="H6" s="90" t="s">
        <v>86</v>
      </c>
      <c r="I6" s="90">
        <v>93</v>
      </c>
      <c r="J6" s="90">
        <v>157</v>
      </c>
      <c r="K6" s="90" t="s">
        <v>87</v>
      </c>
      <c r="L6" s="90" t="s">
        <v>88</v>
      </c>
      <c r="M6" s="90" t="s">
        <v>87</v>
      </c>
      <c r="N6" s="24" t="s">
        <v>89</v>
      </c>
      <c r="O6" s="24" t="str">
        <f>IF(ISNUMBER(SEARCH("Cancer",N6)),"Cancer",IF(ISNUMBER(SEARCH("health",N6)),"Public health",IF(ISNUMBER(SEARCH("disabilities",N6)),"Disabilities","Other")))</f>
        <v>Other</v>
      </c>
      <c r="P6" s="126">
        <v>969895</v>
      </c>
      <c r="Q6" s="90" t="s">
        <v>87</v>
      </c>
      <c r="R6" s="90" t="str">
        <f>IF(P6&gt;20000000,"B","A")</f>
        <v>A</v>
      </c>
      <c r="S6" s="90" t="s">
        <v>90</v>
      </c>
      <c r="T6" s="90">
        <v>2558888</v>
      </c>
      <c r="U6" s="90" t="s">
        <v>91</v>
      </c>
      <c r="V6" s="90" t="s">
        <v>85</v>
      </c>
      <c r="W6" s="90" t="s">
        <v>87</v>
      </c>
      <c r="X6" s="90" t="s">
        <v>85</v>
      </c>
      <c r="Y6" s="90" t="s">
        <v>85</v>
      </c>
      <c r="Z6" s="90" t="s">
        <v>87</v>
      </c>
      <c r="AA6" s="90" t="s">
        <v>85</v>
      </c>
      <c r="AB6" s="90" t="s">
        <v>87</v>
      </c>
      <c r="AC6" s="90" t="s">
        <v>85</v>
      </c>
      <c r="AD6" s="90">
        <v>0</v>
      </c>
      <c r="AE6" s="24" t="s">
        <v>107</v>
      </c>
      <c r="AF6" s="90" t="s">
        <v>108</v>
      </c>
      <c r="AG6" s="24" t="s">
        <v>109</v>
      </c>
      <c r="AH6" s="90">
        <v>76986</v>
      </c>
      <c r="AI6" s="24" t="s">
        <v>110</v>
      </c>
      <c r="AJ6" s="24" t="s">
        <v>111</v>
      </c>
      <c r="AK6" s="90" t="s">
        <v>85</v>
      </c>
      <c r="AL6" s="90">
        <v>41363</v>
      </c>
      <c r="AM6" s="90" t="s">
        <v>81</v>
      </c>
      <c r="AN6" s="90" t="s">
        <v>82</v>
      </c>
      <c r="AO6" s="125" t="s">
        <v>106</v>
      </c>
      <c r="AP6" s="24" t="s">
        <v>89</v>
      </c>
      <c r="AQ6" s="90" t="s">
        <v>88</v>
      </c>
      <c r="AR6" s="24" t="s">
        <v>89</v>
      </c>
      <c r="AS6" s="90">
        <v>2558888</v>
      </c>
      <c r="AT6" s="24" t="s">
        <v>110</v>
      </c>
      <c r="AU6" s="90" t="s">
        <v>85</v>
      </c>
      <c r="AV6" s="90" t="str">
        <f>IF(ISNUMBER(SEARCH("disagree",AE6)),"N","Y")</f>
        <v>Y</v>
      </c>
      <c r="AW6" s="90">
        <v>92834</v>
      </c>
      <c r="AX6" s="24" t="s">
        <v>112</v>
      </c>
      <c r="AY6" s="90" t="str">
        <f>CONCATENATE(AZ6,BA6,BB6,BC6)</f>
        <v>QCS</v>
      </c>
      <c r="AZ6" s="90" t="str">
        <f>IF(ISNUMBER(SEARCH("Y",AC6)),"R","")</f>
        <v/>
      </c>
      <c r="BA6" s="90" t="str">
        <f>IF(ISNUMBER(SEARCH("Y",Y6)),"M","")</f>
        <v/>
      </c>
      <c r="BB6" s="90" t="str">
        <f>IF(ISNUMBER(SEARCH("Y",AB6)),"QC","")</f>
        <v>QC</v>
      </c>
      <c r="BC6" s="90" t="str">
        <f>IF(ISNUMBER(SEARCH("Y",Z6)),"S","")</f>
        <v>S</v>
      </c>
      <c r="BD6" s="90"/>
      <c r="BE6" s="24" t="s">
        <v>113</v>
      </c>
      <c r="BF6" s="125" t="str">
        <f>IF(AND(AW6&gt;=56543,AW6&lt;=76543,LEN(AW6)&gt;0),"3 Feb 2020",IF(AND(AW6&gt;=66544,AW6&lt;=99999,LEN(AW6)&gt;0),"12 Sep 2020",""))</f>
        <v>12 Sep 2020</v>
      </c>
      <c r="BG6" s="125" t="str">
        <f>IF((AND(BF6="3 Feb 2020",LEN(BF6)&gt;0)),"Completed",IF((AND(BF6="12 Sep 2020",LEN(BF6)&gt;0)),"Pending",""))</f>
        <v>Pending</v>
      </c>
      <c r="BH6" s="90" t="str">
        <f>IF((AND(BF6="3 Feb 2020",LEN(BF6)&gt;0)),"3 Feb 2020","")</f>
        <v/>
      </c>
      <c r="BI6" s="90">
        <v>41363</v>
      </c>
      <c r="BJ6" s="90" t="str">
        <f>L6</f>
        <v>8L97IR76985-13</v>
      </c>
      <c r="BK6" s="127">
        <v>43508</v>
      </c>
      <c r="BL6" s="127">
        <v>44239</v>
      </c>
      <c r="BM6" s="128">
        <f>P6*1.1</f>
        <v>1066884.5</v>
      </c>
      <c r="BN6" s="129">
        <f>P6*0.9</f>
        <v>872905.5</v>
      </c>
      <c r="BO6" s="130">
        <f>P6*0.8</f>
        <v>775916</v>
      </c>
      <c r="BP6" s="90">
        <f>IF(Z6="Y",BM6*0.4,BM6*1.05)</f>
        <v>426753.80000000005</v>
      </c>
      <c r="BQ6" s="90">
        <f>BP6*0.8</f>
        <v>341403.04000000004</v>
      </c>
      <c r="BR6" s="90" t="str">
        <f>IF(ISNUMBER(SEARCH("subrecipient",AI2)),P6*0.6,"")</f>
        <v/>
      </c>
      <c r="BS6" s="90">
        <v>41363</v>
      </c>
      <c r="BT6" s="90" t="str">
        <f>BJ6</f>
        <v>8L97IR76985-13</v>
      </c>
      <c r="BU6" s="127">
        <f>BK6</f>
        <v>43508</v>
      </c>
      <c r="BV6" s="127">
        <f>BL6</f>
        <v>44239</v>
      </c>
      <c r="BW6" s="90" t="str">
        <f>H6</f>
        <v>CDC</v>
      </c>
      <c r="BX6" s="90" t="str">
        <f>IF(H6="NATIONAL HEMOPHILIA FOUNDATION","Non Federal","Federal")</f>
        <v>Federal</v>
      </c>
      <c r="BY6" s="128">
        <f>BM6</f>
        <v>1066884.5</v>
      </c>
      <c r="BZ6" s="90" t="str">
        <f>IF(LEN(BR6)&gt;0,1,"")</f>
        <v/>
      </c>
      <c r="CA6" s="90" t="str">
        <f>IF(LEN(BR6)&gt;0,"VIRAL HEPATITIS PROJECT","")</f>
        <v/>
      </c>
      <c r="CB6" s="129" t="str">
        <f>IF(LEN(BR6)&gt;0,BM6*0.7,"")</f>
        <v/>
      </c>
      <c r="CC6" s="90">
        <f>BP6</f>
        <v>426753.80000000005</v>
      </c>
      <c r="CD6" s="90" t="str">
        <f>IF(LEN(BR6)&gt;0,"70%","")</f>
        <v/>
      </c>
      <c r="CE6" s="90">
        <f>BS6</f>
        <v>41363</v>
      </c>
      <c r="CF6" s="90" t="str">
        <f>CA6</f>
        <v/>
      </c>
      <c r="CG6" s="90"/>
      <c r="CH6" s="90"/>
      <c r="CI6" s="90"/>
      <c r="CJ6" s="90"/>
      <c r="CK6" s="90"/>
      <c r="CL6" s="90"/>
      <c r="CM6" s="90"/>
      <c r="CN6" s="90"/>
      <c r="CO6" s="90"/>
      <c r="CP6" s="90"/>
      <c r="CQ6" s="90"/>
      <c r="CR6" s="90"/>
      <c r="CS6" s="90"/>
      <c r="CT6" s="137"/>
    </row>
    <row r="7" spans="1:98" ht="120">
      <c r="A7" s="89">
        <v>45482</v>
      </c>
      <c r="B7" s="90">
        <v>2020</v>
      </c>
      <c r="C7" s="90" t="s">
        <v>81</v>
      </c>
      <c r="D7" s="90" t="s">
        <v>114</v>
      </c>
      <c r="E7" s="125" t="s">
        <v>115</v>
      </c>
      <c r="F7" s="24" t="s">
        <v>116</v>
      </c>
      <c r="G7" s="90" t="s">
        <v>87</v>
      </c>
      <c r="H7" s="90" t="s">
        <v>117</v>
      </c>
      <c r="I7" s="90">
        <v>93</v>
      </c>
      <c r="J7" s="90">
        <v>157</v>
      </c>
      <c r="K7" s="90" t="s">
        <v>85</v>
      </c>
      <c r="L7" s="90" t="s">
        <v>118</v>
      </c>
      <c r="M7" s="90" t="s">
        <v>119</v>
      </c>
      <c r="N7" s="24" t="s">
        <v>120</v>
      </c>
      <c r="O7" s="24" t="str">
        <f>IF(ISNUMBER(SEARCH("Cancer",N7)),"Cancer",IF(ISNUMBER(SEARCH("health",N7)),"Public health",IF(ISNUMBER(SEARCH("disabilities",N7)),"Disabilities","Other")))</f>
        <v>Public health</v>
      </c>
      <c r="P7" s="126">
        <v>858418</v>
      </c>
      <c r="Q7" s="90" t="s">
        <v>85</v>
      </c>
      <c r="R7" s="90" t="str">
        <f>IF(P7&gt;20000000,"B","A")</f>
        <v>A</v>
      </c>
      <c r="S7" s="90" t="s">
        <v>90</v>
      </c>
      <c r="T7" s="90" t="s">
        <v>119</v>
      </c>
      <c r="U7" s="90" t="s">
        <v>119</v>
      </c>
      <c r="V7" s="90" t="s">
        <v>119</v>
      </c>
      <c r="W7" s="90" t="s">
        <v>119</v>
      </c>
      <c r="X7" s="90" t="s">
        <v>119</v>
      </c>
      <c r="Y7" s="90" t="s">
        <v>119</v>
      </c>
      <c r="Z7" s="90" t="s">
        <v>119</v>
      </c>
      <c r="AA7" s="90" t="s">
        <v>119</v>
      </c>
      <c r="AB7" s="90" t="s">
        <v>119</v>
      </c>
      <c r="AC7" s="90" t="s">
        <v>119</v>
      </c>
      <c r="AD7" s="90" t="s">
        <v>119</v>
      </c>
      <c r="AE7" s="24">
        <v>0</v>
      </c>
      <c r="AF7" s="90">
        <v>0</v>
      </c>
      <c r="AG7" s="24">
        <v>0</v>
      </c>
      <c r="AH7" s="90">
        <v>87296</v>
      </c>
      <c r="AI7" s="24" t="s">
        <v>94</v>
      </c>
      <c r="AJ7" s="24" t="s">
        <v>121</v>
      </c>
      <c r="AK7" s="90" t="s">
        <v>85</v>
      </c>
      <c r="AL7" s="90">
        <v>45482</v>
      </c>
      <c r="AM7" s="90" t="s">
        <v>81</v>
      </c>
      <c r="AN7" s="90" t="s">
        <v>114</v>
      </c>
      <c r="AO7" s="125" t="s">
        <v>115</v>
      </c>
      <c r="AP7" s="24" t="s">
        <v>120</v>
      </c>
      <c r="AQ7" s="90" t="s">
        <v>118</v>
      </c>
      <c r="AR7" s="24" t="s">
        <v>120</v>
      </c>
      <c r="AS7" s="90" t="s">
        <v>119</v>
      </c>
      <c r="AT7" s="24" t="s">
        <v>94</v>
      </c>
      <c r="AU7" s="90" t="s">
        <v>119</v>
      </c>
      <c r="AV7" s="90" t="str">
        <f>IF(ISNUMBER(SEARCH("disagree",AE7)),"N","Y")</f>
        <v>Y</v>
      </c>
      <c r="AW7" s="90" t="s">
        <v>119</v>
      </c>
      <c r="AX7" s="24" t="s">
        <v>119</v>
      </c>
      <c r="AY7" s="90" t="str">
        <f>CONCATENATE(AZ7,BA7,BB7,BC7)</f>
        <v/>
      </c>
      <c r="AZ7" s="90" t="str">
        <f>IF(ISNUMBER(SEARCH("Y",AC7)),"R","")</f>
        <v/>
      </c>
      <c r="BA7" s="90" t="str">
        <f>IF(ISNUMBER(SEARCH("Y",Y7)),"M","")</f>
        <v/>
      </c>
      <c r="BB7" s="90" t="str">
        <f>IF(ISNUMBER(SEARCH("Y",AB7)),"QC","")</f>
        <v/>
      </c>
      <c r="BC7" s="90" t="str">
        <f>IF(ISNUMBER(SEARCH("Y",Z7)),"S","")</f>
        <v/>
      </c>
      <c r="BD7" s="90"/>
      <c r="BE7" s="24" t="s">
        <v>119</v>
      </c>
      <c r="BF7" s="125" t="str">
        <f>IF(AND(AW7&gt;=56543,AW7&lt;=76543,LEN(AW7)&gt;0),"3 Feb 2020",IF(AND(AW7&gt;=66544,AW7&lt;=99999,LEN(AW7)&gt;0),"12 Sep 2020",""))</f>
        <v/>
      </c>
      <c r="BG7" s="125" t="str">
        <f>IF((AND(BF7="3 Feb 2020",LEN(BF7)&gt;0)),"Completed",IF((AND(BF7="12 Sep 2020",LEN(BF7)&gt;0)),"Pending",""))</f>
        <v/>
      </c>
      <c r="BH7" s="90" t="str">
        <f>IF((AND(BF7="3 Feb 2020",LEN(BF7)&gt;0)),"3 Feb 2020","")</f>
        <v/>
      </c>
      <c r="BI7" s="90">
        <v>45482</v>
      </c>
      <c r="BJ7" s="90" t="str">
        <f>L7</f>
        <v>9T99BT76986-11</v>
      </c>
      <c r="BK7" s="127">
        <v>43508</v>
      </c>
      <c r="BL7" s="127">
        <v>44239</v>
      </c>
      <c r="BM7" s="128">
        <f>P7*1.1</f>
        <v>944259.8</v>
      </c>
      <c r="BN7" s="129">
        <f>P7*0.9</f>
        <v>772576.20000000007</v>
      </c>
      <c r="BO7" s="130">
        <f>P7*0.8</f>
        <v>686734.4</v>
      </c>
      <c r="BP7" s="90">
        <f>IF(Z7="Y",BM7*0.4,BM7*1.05)</f>
        <v>991472.79</v>
      </c>
      <c r="BQ7" s="90">
        <f>BP7*0.8</f>
        <v>793178.23200000008</v>
      </c>
      <c r="BR7" s="90" t="str">
        <f>IF(ISNUMBER(SEARCH("subrecipient",AI3)),P7*0.6,"")</f>
        <v/>
      </c>
      <c r="BS7" s="90">
        <v>45482</v>
      </c>
      <c r="BT7" s="90" t="str">
        <f>BJ7</f>
        <v>9T99BT76986-11</v>
      </c>
      <c r="BU7" s="127">
        <f>BK7</f>
        <v>43508</v>
      </c>
      <c r="BV7" s="127">
        <f>BL7</f>
        <v>44239</v>
      </c>
      <c r="BW7" s="90" t="str">
        <f>H7</f>
        <v>NIH</v>
      </c>
      <c r="BX7" s="90" t="str">
        <f>IF(H7="NATIONAL HEMOPHILIA FOUNDATION","Non Federal","Federal")</f>
        <v>Federal</v>
      </c>
      <c r="BY7" s="128">
        <f>BM7</f>
        <v>944259.8</v>
      </c>
      <c r="BZ7" s="90" t="str">
        <f>IF(LEN(BR7)&gt;0,1,"")</f>
        <v/>
      </c>
      <c r="CA7" s="90" t="str">
        <f>IF(LEN(BR7)&gt;0,"VIRAL HEPATITIS PROJECT","")</f>
        <v/>
      </c>
      <c r="CB7" s="129" t="str">
        <f>IF(LEN(BR7)&gt;0,BM7*0.7,"")</f>
        <v/>
      </c>
      <c r="CC7" s="90">
        <f>BP7</f>
        <v>991472.79</v>
      </c>
      <c r="CD7" s="90" t="str">
        <f>IF(LEN(BR7)&gt;0,"70%","")</f>
        <v/>
      </c>
      <c r="CE7" s="90">
        <f>BS7</f>
        <v>45482</v>
      </c>
      <c r="CF7" s="90" t="str">
        <f>CA7</f>
        <v/>
      </c>
      <c r="CG7" s="90"/>
      <c r="CH7" s="90"/>
      <c r="CI7" s="90"/>
      <c r="CJ7" s="90"/>
      <c r="CK7" s="90"/>
      <c r="CL7" s="90"/>
      <c r="CM7" s="90"/>
      <c r="CN7" s="90"/>
      <c r="CO7" s="90"/>
      <c r="CP7" s="90"/>
      <c r="CQ7" s="90"/>
      <c r="CR7" s="90"/>
      <c r="CS7" s="90"/>
      <c r="CT7" s="137"/>
    </row>
    <row r="8" spans="1:98" ht="30">
      <c r="A8" s="89">
        <v>45482</v>
      </c>
      <c r="B8" s="90">
        <v>2020</v>
      </c>
      <c r="C8" s="90" t="s">
        <v>81</v>
      </c>
      <c r="D8" s="90" t="s">
        <v>114</v>
      </c>
      <c r="E8" s="125" t="s">
        <v>122</v>
      </c>
      <c r="F8" s="24" t="s">
        <v>116</v>
      </c>
      <c r="G8" s="90" t="s">
        <v>87</v>
      </c>
      <c r="H8" s="90" t="s">
        <v>117</v>
      </c>
      <c r="I8" s="90">
        <v>93</v>
      </c>
      <c r="J8" s="90">
        <v>157</v>
      </c>
      <c r="K8" s="90" t="s">
        <v>85</v>
      </c>
      <c r="L8" s="90" t="s">
        <v>118</v>
      </c>
      <c r="M8" s="90" t="s">
        <v>119</v>
      </c>
      <c r="N8" s="24" t="s">
        <v>120</v>
      </c>
      <c r="O8" s="24" t="str">
        <f>IF(ISNUMBER(SEARCH("Cancer",N8)),"Cancer",IF(ISNUMBER(SEARCH("health",N8)),"Public health",IF(ISNUMBER(SEARCH("disabilities",N8)),"Disabilities","Other")))</f>
        <v>Public health</v>
      </c>
      <c r="P8" s="126">
        <v>858418</v>
      </c>
      <c r="Q8" s="90" t="s">
        <v>85</v>
      </c>
      <c r="R8" s="90" t="str">
        <f>IF(P8&gt;20000000,"B","A")</f>
        <v>A</v>
      </c>
      <c r="S8" s="90" t="s">
        <v>90</v>
      </c>
      <c r="T8" s="90" t="s">
        <v>119</v>
      </c>
      <c r="U8" s="90" t="s">
        <v>119</v>
      </c>
      <c r="V8" s="90" t="s">
        <v>119</v>
      </c>
      <c r="W8" s="90" t="s">
        <v>119</v>
      </c>
      <c r="X8" s="90" t="s">
        <v>119</v>
      </c>
      <c r="Y8" s="90" t="s">
        <v>119</v>
      </c>
      <c r="Z8" s="90" t="s">
        <v>119</v>
      </c>
      <c r="AA8" s="90" t="s">
        <v>119</v>
      </c>
      <c r="AB8" s="90" t="s">
        <v>119</v>
      </c>
      <c r="AC8" s="90" t="s">
        <v>119</v>
      </c>
      <c r="AD8" s="90" t="s">
        <v>119</v>
      </c>
      <c r="AE8" s="24">
        <v>0</v>
      </c>
      <c r="AF8" s="24">
        <v>0</v>
      </c>
      <c r="AG8" s="24">
        <v>0</v>
      </c>
      <c r="AH8" s="90">
        <v>87297</v>
      </c>
      <c r="AI8" s="24" t="s">
        <v>102</v>
      </c>
      <c r="AJ8" s="24" t="s">
        <v>103</v>
      </c>
      <c r="AK8" s="90" t="s">
        <v>85</v>
      </c>
      <c r="AL8" s="90">
        <v>45482</v>
      </c>
      <c r="AM8" s="90" t="s">
        <v>81</v>
      </c>
      <c r="AN8" s="90" t="s">
        <v>114</v>
      </c>
      <c r="AO8" s="125" t="s">
        <v>122</v>
      </c>
      <c r="AP8" s="24" t="s">
        <v>120</v>
      </c>
      <c r="AQ8" s="90" t="s">
        <v>118</v>
      </c>
      <c r="AR8" s="24" t="s">
        <v>120</v>
      </c>
      <c r="AS8" s="90" t="s">
        <v>119</v>
      </c>
      <c r="AT8" s="24" t="s">
        <v>102</v>
      </c>
      <c r="AU8" s="90" t="s">
        <v>119</v>
      </c>
      <c r="AV8" s="90" t="str">
        <f>IF(ISNUMBER(SEARCH("disagree",AE8)),"N","Y")</f>
        <v>Y</v>
      </c>
      <c r="AW8" s="90" t="s">
        <v>119</v>
      </c>
      <c r="AX8" s="24" t="s">
        <v>119</v>
      </c>
      <c r="AY8" s="90" t="str">
        <f>CONCATENATE(AZ8,BA8,BB8,BC8)</f>
        <v/>
      </c>
      <c r="AZ8" s="90" t="str">
        <f>IF(ISNUMBER(SEARCH("Y",AC8)),"R","")</f>
        <v/>
      </c>
      <c r="BA8" s="90" t="str">
        <f>IF(ISNUMBER(SEARCH("Y",Y8)),"M","")</f>
        <v/>
      </c>
      <c r="BB8" s="90" t="str">
        <f>IF(ISNUMBER(SEARCH("Y",AB8)),"QC","")</f>
        <v/>
      </c>
      <c r="BC8" s="90" t="str">
        <f>IF(ISNUMBER(SEARCH("Y",Z8)),"S","")</f>
        <v/>
      </c>
      <c r="BD8" s="90"/>
      <c r="BE8" s="24" t="s">
        <v>119</v>
      </c>
      <c r="BF8" s="125" t="str">
        <f>IF(AND(AW8&gt;=56543,AW8&lt;=76543,LEN(AW8)&gt;0),"3 Feb 2020",IF(AND(AW8&gt;=66544,AW8&lt;=99999,LEN(AW8)&gt;0),"12 Sep 2020",""))</f>
        <v/>
      </c>
      <c r="BG8" s="125" t="str">
        <f>IF((AND(BF8="3 Feb 2020",LEN(BF8)&gt;0)),"Completed",IF((AND(BF8="12 Sep 2020",LEN(BF8)&gt;0)),"Pending",""))</f>
        <v/>
      </c>
      <c r="BH8" s="90" t="str">
        <f>IF((AND(BF8="3 Feb 2020",LEN(BF8)&gt;0)),"3 Feb 2020","")</f>
        <v/>
      </c>
      <c r="BI8" s="90">
        <v>45482</v>
      </c>
      <c r="BJ8" s="90" t="str">
        <f>L8</f>
        <v>9T99BT76986-11</v>
      </c>
      <c r="BK8" s="127">
        <v>43508</v>
      </c>
      <c r="BL8" s="127">
        <v>44239</v>
      </c>
      <c r="BM8" s="128">
        <f>P8*1.1</f>
        <v>944259.8</v>
      </c>
      <c r="BN8" s="129">
        <f>P8*0.9</f>
        <v>772576.20000000007</v>
      </c>
      <c r="BO8" s="130">
        <f>P8*0.8</f>
        <v>686734.4</v>
      </c>
      <c r="BP8" s="90">
        <f>IF(Z8="Y",BM8*0.4,BM8*1.05)</f>
        <v>991472.79</v>
      </c>
      <c r="BQ8" s="90">
        <f>BP8*0.8</f>
        <v>793178.23200000008</v>
      </c>
      <c r="BR8" s="90" t="str">
        <f>IF(ISNUMBER(SEARCH("subrecipient",AI4)),P8*0.6,"")</f>
        <v/>
      </c>
      <c r="BS8" s="90">
        <v>45482</v>
      </c>
      <c r="BT8" s="90" t="str">
        <f>BJ8</f>
        <v>9T99BT76986-11</v>
      </c>
      <c r="BU8" s="127">
        <f>BK8</f>
        <v>43508</v>
      </c>
      <c r="BV8" s="127">
        <f>BL8</f>
        <v>44239</v>
      </c>
      <c r="BW8" s="90" t="str">
        <f>H8</f>
        <v>NIH</v>
      </c>
      <c r="BX8" s="90" t="str">
        <f>IF(H8="NATIONAL HEMOPHILIA FOUNDATION","Non Federal","Federal")</f>
        <v>Federal</v>
      </c>
      <c r="BY8" s="128">
        <f>BM8</f>
        <v>944259.8</v>
      </c>
      <c r="BZ8" s="90" t="str">
        <f>IF(LEN(BR8)&gt;0,1,"")</f>
        <v/>
      </c>
      <c r="CA8" s="90" t="str">
        <f>IF(LEN(BR8)&gt;0,"VIRAL HEPATITIS PROJECT","")</f>
        <v/>
      </c>
      <c r="CB8" s="129" t="str">
        <f>IF(LEN(BR8)&gt;0,BM8*0.7,"")</f>
        <v/>
      </c>
      <c r="CC8" s="90">
        <f>BP8</f>
        <v>991472.79</v>
      </c>
      <c r="CD8" s="90" t="str">
        <f>IF(LEN(BR8)&gt;0,"70%","")</f>
        <v/>
      </c>
      <c r="CE8" s="90">
        <f>BS8</f>
        <v>45482</v>
      </c>
      <c r="CF8" s="90" t="str">
        <f>CA8</f>
        <v/>
      </c>
      <c r="CG8" s="90"/>
      <c r="CH8" s="90"/>
      <c r="CI8" s="90"/>
      <c r="CJ8" s="90"/>
      <c r="CK8" s="90"/>
      <c r="CL8" s="90"/>
      <c r="CM8" s="90"/>
      <c r="CN8" s="90"/>
      <c r="CO8" s="90"/>
      <c r="CP8" s="90"/>
      <c r="CQ8" s="90"/>
      <c r="CR8" s="90"/>
      <c r="CS8" s="90"/>
      <c r="CT8" s="137"/>
    </row>
    <row r="9" spans="1:98" ht="30">
      <c r="A9" s="89">
        <v>45482</v>
      </c>
      <c r="B9" s="90">
        <v>2020</v>
      </c>
      <c r="C9" s="90" t="s">
        <v>81</v>
      </c>
      <c r="D9" s="90" t="s">
        <v>114</v>
      </c>
      <c r="E9" s="125" t="s">
        <v>123</v>
      </c>
      <c r="F9" s="24" t="s">
        <v>116</v>
      </c>
      <c r="G9" s="90" t="s">
        <v>87</v>
      </c>
      <c r="H9" s="90" t="s">
        <v>117</v>
      </c>
      <c r="I9" s="90">
        <v>93</v>
      </c>
      <c r="J9" s="90">
        <v>157</v>
      </c>
      <c r="K9" s="90" t="s">
        <v>85</v>
      </c>
      <c r="L9" s="90" t="s">
        <v>118</v>
      </c>
      <c r="M9" s="90" t="s">
        <v>119</v>
      </c>
      <c r="N9" s="24" t="s">
        <v>120</v>
      </c>
      <c r="O9" s="24" t="str">
        <f>IF(ISNUMBER(SEARCH("Cancer",N9)),"Cancer",IF(ISNUMBER(SEARCH("health",N9)),"Public health",IF(ISNUMBER(SEARCH("disabilities",N9)),"Disabilities","Other")))</f>
        <v>Public health</v>
      </c>
      <c r="P9" s="126">
        <v>858418</v>
      </c>
      <c r="Q9" s="90" t="s">
        <v>85</v>
      </c>
      <c r="R9" s="90" t="str">
        <f>IF(P9&gt;20000000,"B","A")</f>
        <v>A</v>
      </c>
      <c r="S9" s="90" t="s">
        <v>90</v>
      </c>
      <c r="T9" s="90" t="s">
        <v>119</v>
      </c>
      <c r="U9" s="90" t="s">
        <v>119</v>
      </c>
      <c r="V9" s="90" t="s">
        <v>119</v>
      </c>
      <c r="W9" s="90" t="s">
        <v>119</v>
      </c>
      <c r="X9" s="90" t="s">
        <v>119</v>
      </c>
      <c r="Y9" s="90" t="s">
        <v>119</v>
      </c>
      <c r="Z9" s="90" t="s">
        <v>119</v>
      </c>
      <c r="AA9" s="90" t="s">
        <v>119</v>
      </c>
      <c r="AB9" s="90" t="s">
        <v>119</v>
      </c>
      <c r="AC9" s="90" t="s">
        <v>119</v>
      </c>
      <c r="AD9" s="90" t="s">
        <v>119</v>
      </c>
      <c r="AE9" s="24">
        <v>0</v>
      </c>
      <c r="AF9" s="90">
        <v>0</v>
      </c>
      <c r="AG9" s="24">
        <v>0</v>
      </c>
      <c r="AH9" s="90">
        <v>87295</v>
      </c>
      <c r="AI9" s="24" t="s">
        <v>124</v>
      </c>
      <c r="AJ9" s="24" t="s">
        <v>125</v>
      </c>
      <c r="AK9" s="90" t="s">
        <v>85</v>
      </c>
      <c r="AL9" s="90">
        <v>45482</v>
      </c>
      <c r="AM9" s="90" t="s">
        <v>81</v>
      </c>
      <c r="AN9" s="90" t="s">
        <v>114</v>
      </c>
      <c r="AO9" s="125" t="s">
        <v>123</v>
      </c>
      <c r="AP9" s="24" t="s">
        <v>120</v>
      </c>
      <c r="AQ9" s="90" t="s">
        <v>118</v>
      </c>
      <c r="AR9" s="24" t="s">
        <v>120</v>
      </c>
      <c r="AS9" s="90" t="s">
        <v>119</v>
      </c>
      <c r="AT9" s="24" t="s">
        <v>124</v>
      </c>
      <c r="AU9" s="90" t="s">
        <v>119</v>
      </c>
      <c r="AV9" s="90" t="str">
        <f>IF(ISNUMBER(SEARCH("disagree",AE9)),"N","Y")</f>
        <v>Y</v>
      </c>
      <c r="AW9" s="90" t="s">
        <v>119</v>
      </c>
      <c r="AX9" s="24" t="s">
        <v>119</v>
      </c>
      <c r="AY9" s="90" t="str">
        <f>CONCATENATE(AZ9,BA9,BB9,BC9)</f>
        <v/>
      </c>
      <c r="AZ9" s="90" t="str">
        <f>IF(ISNUMBER(SEARCH("Y",AC9)),"R","")</f>
        <v/>
      </c>
      <c r="BA9" s="90" t="str">
        <f>IF(ISNUMBER(SEARCH("Y",Y9)),"M","")</f>
        <v/>
      </c>
      <c r="BB9" s="90" t="str">
        <f>IF(ISNUMBER(SEARCH("Y",AB9)),"QC","")</f>
        <v/>
      </c>
      <c r="BC9" s="90" t="str">
        <f>IF(ISNUMBER(SEARCH("Y",Z9)),"S","")</f>
        <v/>
      </c>
      <c r="BD9" s="90"/>
      <c r="BE9" s="24" t="s">
        <v>119</v>
      </c>
      <c r="BF9" s="125" t="str">
        <f>IF(AND(AW9&gt;=56543,AW9&lt;=76543,LEN(AW9)&gt;0),"3 Feb 2020",IF(AND(AW9&gt;=66544,AW9&lt;=99999,LEN(AW9)&gt;0),"12 Sep 2020",""))</f>
        <v/>
      </c>
      <c r="BG9" s="125" t="str">
        <f>IF((AND(BF9="3 Feb 2020",LEN(BF9)&gt;0)),"Completed",IF((AND(BF9="12 Sep 2020",LEN(BF9)&gt;0)),"Pending",""))</f>
        <v/>
      </c>
      <c r="BH9" s="90" t="str">
        <f>IF((AND(BF9="3 Feb 2020",LEN(BF9)&gt;0)),"3 Feb 2020","")</f>
        <v/>
      </c>
      <c r="BI9" s="90">
        <v>45482</v>
      </c>
      <c r="BJ9" s="90" t="str">
        <f>L9</f>
        <v>9T99BT76986-11</v>
      </c>
      <c r="BK9" s="127">
        <v>43508</v>
      </c>
      <c r="BL9" s="127">
        <v>44239</v>
      </c>
      <c r="BM9" s="128">
        <f>P9*1.1</f>
        <v>944259.8</v>
      </c>
      <c r="BN9" s="129">
        <f>P9*0.9</f>
        <v>772576.20000000007</v>
      </c>
      <c r="BO9" s="130">
        <f>P9*0.8</f>
        <v>686734.4</v>
      </c>
      <c r="BP9" s="90">
        <f>IF(Z9="Y",BM9*0.4,BM9*1.05)</f>
        <v>991472.79</v>
      </c>
      <c r="BQ9" s="90">
        <f>BP9*0.8</f>
        <v>793178.23200000008</v>
      </c>
      <c r="BR9" s="90" t="str">
        <f>IF(ISNUMBER(SEARCH("subrecipient",AI5)),P9*0.6,"")</f>
        <v/>
      </c>
      <c r="BS9" s="90">
        <v>45482</v>
      </c>
      <c r="BT9" s="90" t="str">
        <f>BJ9</f>
        <v>9T99BT76986-11</v>
      </c>
      <c r="BU9" s="127">
        <f>BK9</f>
        <v>43508</v>
      </c>
      <c r="BV9" s="127">
        <f>BL9</f>
        <v>44239</v>
      </c>
      <c r="BW9" s="90" t="str">
        <f>H9</f>
        <v>NIH</v>
      </c>
      <c r="BX9" s="90" t="str">
        <f>IF(H9="NATIONAL HEMOPHILIA FOUNDATION","Non Federal","Federal")</f>
        <v>Federal</v>
      </c>
      <c r="BY9" s="128">
        <f>BM9</f>
        <v>944259.8</v>
      </c>
      <c r="BZ9" s="90" t="str">
        <f>IF(LEN(BR9)&gt;0,1,"")</f>
        <v/>
      </c>
      <c r="CA9" s="90" t="str">
        <f>IF(LEN(BR9)&gt;0,"VIRAL HEPATITIS PROJECT","")</f>
        <v/>
      </c>
      <c r="CB9" s="129" t="str">
        <f>IF(LEN(BR9)&gt;0,BM9*0.7,"")</f>
        <v/>
      </c>
      <c r="CC9" s="90">
        <f>BP9</f>
        <v>991472.79</v>
      </c>
      <c r="CD9" s="90" t="str">
        <f>IF(LEN(BR9)&gt;0,"70%","")</f>
        <v/>
      </c>
      <c r="CE9" s="90">
        <f>BS9</f>
        <v>45482</v>
      </c>
      <c r="CF9" s="90" t="str">
        <f>CA9</f>
        <v/>
      </c>
      <c r="CG9" s="90"/>
      <c r="CH9" s="90"/>
      <c r="CI9" s="90"/>
      <c r="CJ9" s="90"/>
      <c r="CK9" s="90"/>
      <c r="CL9" s="90"/>
      <c r="CM9" s="90"/>
      <c r="CN9" s="90"/>
      <c r="CO9" s="90"/>
      <c r="CP9" s="90"/>
      <c r="CQ9" s="90"/>
      <c r="CR9" s="90"/>
      <c r="CS9" s="90"/>
      <c r="CT9" s="137"/>
    </row>
    <row r="10" spans="1:98" ht="45">
      <c r="A10" s="89">
        <v>45482</v>
      </c>
      <c r="B10" s="90">
        <v>2020</v>
      </c>
      <c r="C10" s="90" t="s">
        <v>81</v>
      </c>
      <c r="D10" s="90" t="s">
        <v>114</v>
      </c>
      <c r="E10" s="125" t="s">
        <v>126</v>
      </c>
      <c r="F10" s="24" t="s">
        <v>116</v>
      </c>
      <c r="G10" s="90" t="s">
        <v>87</v>
      </c>
      <c r="H10" s="90" t="s">
        <v>117</v>
      </c>
      <c r="I10" s="90">
        <v>93</v>
      </c>
      <c r="J10" s="90">
        <v>157</v>
      </c>
      <c r="K10" s="90" t="s">
        <v>85</v>
      </c>
      <c r="L10" s="90" t="s">
        <v>118</v>
      </c>
      <c r="M10" s="90" t="s">
        <v>119</v>
      </c>
      <c r="N10" s="24" t="s">
        <v>120</v>
      </c>
      <c r="O10" s="24" t="str">
        <f>IF(ISNUMBER(SEARCH("Cancer",N10)),"Cancer",IF(ISNUMBER(SEARCH("health",N10)),"Public health",IF(ISNUMBER(SEARCH("disabilities",N10)),"Disabilities","Other")))</f>
        <v>Public health</v>
      </c>
      <c r="P10" s="126">
        <v>858418</v>
      </c>
      <c r="Q10" s="90" t="s">
        <v>85</v>
      </c>
      <c r="R10" s="90" t="str">
        <f>IF(P10&gt;20000000,"B","A")</f>
        <v>A</v>
      </c>
      <c r="S10" s="90" t="s">
        <v>90</v>
      </c>
      <c r="T10" s="90" t="s">
        <v>119</v>
      </c>
      <c r="U10" s="90" t="s">
        <v>119</v>
      </c>
      <c r="V10" s="90" t="s">
        <v>119</v>
      </c>
      <c r="W10" s="90" t="s">
        <v>119</v>
      </c>
      <c r="X10" s="90" t="s">
        <v>119</v>
      </c>
      <c r="Y10" s="90" t="s">
        <v>119</v>
      </c>
      <c r="Z10" s="90" t="s">
        <v>119</v>
      </c>
      <c r="AA10" s="90" t="s">
        <v>119</v>
      </c>
      <c r="AB10" s="90" t="s">
        <v>119</v>
      </c>
      <c r="AC10" s="90" t="s">
        <v>119</v>
      </c>
      <c r="AD10" s="90" t="s">
        <v>119</v>
      </c>
      <c r="AE10" s="24">
        <v>0</v>
      </c>
      <c r="AF10" s="90">
        <v>0</v>
      </c>
      <c r="AG10" s="24">
        <v>0</v>
      </c>
      <c r="AH10" s="90">
        <v>87298</v>
      </c>
      <c r="AI10" s="24" t="s">
        <v>127</v>
      </c>
      <c r="AJ10" s="24" t="s">
        <v>128</v>
      </c>
      <c r="AK10" s="90" t="s">
        <v>85</v>
      </c>
      <c r="AL10" s="90">
        <v>45482</v>
      </c>
      <c r="AM10" s="90" t="s">
        <v>81</v>
      </c>
      <c r="AN10" s="90" t="s">
        <v>114</v>
      </c>
      <c r="AO10" s="125" t="s">
        <v>126</v>
      </c>
      <c r="AP10" s="24" t="s">
        <v>120</v>
      </c>
      <c r="AQ10" s="90" t="s">
        <v>118</v>
      </c>
      <c r="AR10" s="24" t="s">
        <v>120</v>
      </c>
      <c r="AS10" s="90" t="s">
        <v>119</v>
      </c>
      <c r="AT10" s="24" t="s">
        <v>127</v>
      </c>
      <c r="AU10" s="90" t="s">
        <v>119</v>
      </c>
      <c r="AV10" s="90" t="str">
        <f>IF(ISNUMBER(SEARCH("disagree",AE10)),"N","Y")</f>
        <v>Y</v>
      </c>
      <c r="AW10" s="90" t="s">
        <v>119</v>
      </c>
      <c r="AX10" s="24" t="s">
        <v>119</v>
      </c>
      <c r="AY10" s="90" t="str">
        <f>CONCATENATE(AZ10,BA10,BB10,BC10)</f>
        <v/>
      </c>
      <c r="AZ10" s="90" t="str">
        <f>IF(ISNUMBER(SEARCH("Y",AC10)),"R","")</f>
        <v/>
      </c>
      <c r="BA10" s="90" t="str">
        <f>IF(ISNUMBER(SEARCH("Y",Y10)),"M","")</f>
        <v/>
      </c>
      <c r="BB10" s="90" t="str">
        <f>IF(ISNUMBER(SEARCH("Y",AB10)),"QC","")</f>
        <v/>
      </c>
      <c r="BC10" s="90" t="str">
        <f>IF(ISNUMBER(SEARCH("Y",Z10)),"S","")</f>
        <v/>
      </c>
      <c r="BD10" s="90"/>
      <c r="BE10" s="24" t="s">
        <v>119</v>
      </c>
      <c r="BF10" s="125" t="str">
        <f>IF(AND(AW10&gt;=56543,AW10&lt;=76543,LEN(AW10)&gt;0),"3 Feb 2020",IF(AND(AW10&gt;=66544,AW10&lt;=99999,LEN(AW10)&gt;0),"12 Sep 2020",""))</f>
        <v/>
      </c>
      <c r="BG10" s="125" t="str">
        <f>IF((AND(BF10="3 Feb 2020",LEN(BF10)&gt;0)),"Completed",IF((AND(BF10="12 Sep 2020",LEN(BF10)&gt;0)),"Pending",""))</f>
        <v/>
      </c>
      <c r="BH10" s="90" t="str">
        <f>IF((AND(BF10="3 Feb 2020",LEN(BF10)&gt;0)),"3 Feb 2020","")</f>
        <v/>
      </c>
      <c r="BI10" s="90">
        <v>45482</v>
      </c>
      <c r="BJ10" s="90" t="str">
        <f>L10</f>
        <v>9T99BT76986-11</v>
      </c>
      <c r="BK10" s="127">
        <v>43508</v>
      </c>
      <c r="BL10" s="127">
        <v>44239</v>
      </c>
      <c r="BM10" s="128">
        <f>P10*1.1</f>
        <v>944259.8</v>
      </c>
      <c r="BN10" s="129">
        <f>P10*0.9</f>
        <v>772576.20000000007</v>
      </c>
      <c r="BO10" s="130">
        <f>P10*0.8</f>
        <v>686734.4</v>
      </c>
      <c r="BP10" s="90">
        <f>IF(Z10="Y",BM10*0.4,BM10*1.05)</f>
        <v>991472.79</v>
      </c>
      <c r="BQ10" s="90">
        <f>BP10*0.8</f>
        <v>793178.23200000008</v>
      </c>
      <c r="BR10" s="90" t="str">
        <f>IF(ISNUMBER(SEARCH("subrecipient",AI6)),P10*0.6,"")</f>
        <v/>
      </c>
      <c r="BS10" s="90">
        <v>45482</v>
      </c>
      <c r="BT10" s="90" t="str">
        <f>BJ10</f>
        <v>9T99BT76986-11</v>
      </c>
      <c r="BU10" s="127">
        <f>BK10</f>
        <v>43508</v>
      </c>
      <c r="BV10" s="127">
        <f>BL10</f>
        <v>44239</v>
      </c>
      <c r="BW10" s="90" t="str">
        <f>H10</f>
        <v>NIH</v>
      </c>
      <c r="BX10" s="90" t="str">
        <f>IF(H10="NATIONAL HEMOPHILIA FOUNDATION","Non Federal","Federal")</f>
        <v>Federal</v>
      </c>
      <c r="BY10" s="128">
        <f>BM10</f>
        <v>944259.8</v>
      </c>
      <c r="BZ10" s="90" t="str">
        <f>IF(LEN(BR10)&gt;0,1,"")</f>
        <v/>
      </c>
      <c r="CA10" s="90" t="str">
        <f>IF(LEN(BR10)&gt;0,"VIRAL HEPATITIS PROJECT","")</f>
        <v/>
      </c>
      <c r="CB10" s="129" t="str">
        <f>IF(LEN(BR10)&gt;0,BM10*0.7,"")</f>
        <v/>
      </c>
      <c r="CC10" s="90">
        <f>BP10</f>
        <v>991472.79</v>
      </c>
      <c r="CD10" s="90" t="str">
        <f>IF(LEN(BR10)&gt;0,"70%","")</f>
        <v/>
      </c>
      <c r="CE10" s="90">
        <f>BS10</f>
        <v>45482</v>
      </c>
      <c r="CF10" s="90" t="str">
        <f>CA10</f>
        <v/>
      </c>
      <c r="CG10" s="90"/>
      <c r="CH10" s="90"/>
      <c r="CI10" s="90"/>
      <c r="CJ10" s="90"/>
      <c r="CK10" s="90"/>
      <c r="CL10" s="90"/>
      <c r="CM10" s="90"/>
      <c r="CN10" s="90"/>
      <c r="CO10" s="90"/>
      <c r="CP10" s="90"/>
      <c r="CQ10" s="90"/>
      <c r="CR10" s="90"/>
      <c r="CS10" s="90"/>
      <c r="CT10" s="137"/>
    </row>
    <row r="11" spans="1:98" ht="75">
      <c r="A11" s="89">
        <v>53526</v>
      </c>
      <c r="B11" s="90">
        <v>2020</v>
      </c>
      <c r="C11" s="90" t="s">
        <v>81</v>
      </c>
      <c r="D11" s="90" t="s">
        <v>129</v>
      </c>
      <c r="E11" s="125" t="s">
        <v>130</v>
      </c>
      <c r="F11" s="24" t="s">
        <v>131</v>
      </c>
      <c r="G11" s="90" t="s">
        <v>87</v>
      </c>
      <c r="H11" s="90" t="s">
        <v>132</v>
      </c>
      <c r="I11" s="90">
        <v>93</v>
      </c>
      <c r="J11" s="90">
        <v>157</v>
      </c>
      <c r="K11" s="90" t="s">
        <v>85</v>
      </c>
      <c r="L11" s="90" t="s">
        <v>133</v>
      </c>
      <c r="M11" s="90" t="s">
        <v>119</v>
      </c>
      <c r="N11" s="24" t="s">
        <v>134</v>
      </c>
      <c r="O11" s="24" t="str">
        <f>IF(ISNUMBER(SEARCH("Cancer",N11)),"Cancer",IF(ISNUMBER(SEARCH("health",N11)),"Public health",IF(ISNUMBER(SEARCH("disabilities",N11)),"Disabilities","Other")))</f>
        <v>Other</v>
      </c>
      <c r="P11" s="126">
        <v>948296</v>
      </c>
      <c r="Q11" s="90" t="s">
        <v>85</v>
      </c>
      <c r="R11" s="90" t="str">
        <f>IF(P11&gt;20000000,"B","A")</f>
        <v>A</v>
      </c>
      <c r="S11" s="90" t="s">
        <v>90</v>
      </c>
      <c r="T11" s="90" t="s">
        <v>119</v>
      </c>
      <c r="U11" s="90" t="s">
        <v>119</v>
      </c>
      <c r="V11" s="90" t="s">
        <v>119</v>
      </c>
      <c r="W11" s="90" t="s">
        <v>119</v>
      </c>
      <c r="X11" s="90" t="s">
        <v>119</v>
      </c>
      <c r="Y11" s="90" t="s">
        <v>119</v>
      </c>
      <c r="Z11" s="90" t="s">
        <v>119</v>
      </c>
      <c r="AA11" s="90" t="s">
        <v>119</v>
      </c>
      <c r="AB11" s="90" t="s">
        <v>119</v>
      </c>
      <c r="AC11" s="90" t="s">
        <v>119</v>
      </c>
      <c r="AD11" s="90" t="s">
        <v>119</v>
      </c>
      <c r="AE11" s="24">
        <v>0</v>
      </c>
      <c r="AF11" s="90">
        <v>0</v>
      </c>
      <c r="AG11" s="24">
        <v>0</v>
      </c>
      <c r="AH11" s="90">
        <v>90843</v>
      </c>
      <c r="AI11" s="24" t="s">
        <v>94</v>
      </c>
      <c r="AJ11" s="24" t="s">
        <v>135</v>
      </c>
      <c r="AK11" s="90" t="s">
        <v>85</v>
      </c>
      <c r="AL11" s="90">
        <v>53526</v>
      </c>
      <c r="AM11" s="90" t="s">
        <v>81</v>
      </c>
      <c r="AN11" s="90" t="s">
        <v>129</v>
      </c>
      <c r="AO11" s="125" t="s">
        <v>130</v>
      </c>
      <c r="AP11" s="24" t="s">
        <v>134</v>
      </c>
      <c r="AQ11" s="90" t="s">
        <v>133</v>
      </c>
      <c r="AR11" s="24" t="s">
        <v>134</v>
      </c>
      <c r="AS11" s="90" t="s">
        <v>119</v>
      </c>
      <c r="AT11" s="24" t="s">
        <v>94</v>
      </c>
      <c r="AU11" s="90" t="s">
        <v>119</v>
      </c>
      <c r="AV11" s="90" t="str">
        <f>IF(ISNUMBER(SEARCH("disagree",AE11)),"N","Y")</f>
        <v>Y</v>
      </c>
      <c r="AW11" s="90" t="s">
        <v>119</v>
      </c>
      <c r="AX11" s="24" t="s">
        <v>119</v>
      </c>
      <c r="AY11" s="90" t="str">
        <f>CONCATENATE(AZ11,BA11,BB11,BC11)</f>
        <v/>
      </c>
      <c r="AZ11" s="90" t="str">
        <f>IF(ISNUMBER(SEARCH("Y",AC11)),"R","")</f>
        <v/>
      </c>
      <c r="BA11" s="90" t="str">
        <f>IF(ISNUMBER(SEARCH("Y",Y11)),"M","")</f>
        <v/>
      </c>
      <c r="BB11" s="90" t="str">
        <f>IF(ISNUMBER(SEARCH("Y",AB11)),"QC","")</f>
        <v/>
      </c>
      <c r="BC11" s="90" t="str">
        <f>IF(ISNUMBER(SEARCH("Y",Z11)),"S","")</f>
        <v/>
      </c>
      <c r="BD11" s="90"/>
      <c r="BE11" s="24" t="s">
        <v>119</v>
      </c>
      <c r="BF11" s="125" t="str">
        <f>IF(AND(AW11&gt;=56543,AW11&lt;=76543,LEN(AW11)&gt;0),"3 Feb 2020",IF(AND(AW11&gt;=66544,AW11&lt;=99999,LEN(AW11)&gt;0),"12 Sep 2020",""))</f>
        <v/>
      </c>
      <c r="BG11" s="125" t="str">
        <f>IF((AND(BF11="3 Feb 2020",LEN(BF11)&gt;0)),"Completed",IF((AND(BF11="12 Sep 2020",LEN(BF11)&gt;0)),"Pending",""))</f>
        <v/>
      </c>
      <c r="BH11" s="90" t="str">
        <f>IF((AND(BF11="3 Feb 2020",LEN(BF11)&gt;0)),"3 Feb 2020","")</f>
        <v/>
      </c>
      <c r="BI11" s="90">
        <v>53526</v>
      </c>
      <c r="BJ11" s="90" t="str">
        <f>L11</f>
        <v>7T82HT87295-99</v>
      </c>
      <c r="BK11" s="127">
        <v>43508</v>
      </c>
      <c r="BL11" s="127">
        <v>44239</v>
      </c>
      <c r="BM11" s="128">
        <f>P11*1.1</f>
        <v>1043125.6000000001</v>
      </c>
      <c r="BN11" s="129">
        <f>P11*0.9</f>
        <v>853466.4</v>
      </c>
      <c r="BO11" s="130">
        <f>P11*0.8</f>
        <v>758636.8</v>
      </c>
      <c r="BP11" s="90">
        <f>IF(Z11="Y",BM11*0.4,BM11*1.05)</f>
        <v>1095281.8800000001</v>
      </c>
      <c r="BQ11" s="90">
        <f>BP11*0.8</f>
        <v>876225.50400000019</v>
      </c>
      <c r="BR11" s="90" t="str">
        <f>IF(ISNUMBER(SEARCH("subrecipient",AI7)),P11*0.6,"")</f>
        <v/>
      </c>
      <c r="BS11" s="90">
        <v>53526</v>
      </c>
      <c r="BT11" s="90" t="str">
        <f>BJ11</f>
        <v>7T82HT87295-99</v>
      </c>
      <c r="BU11" s="127">
        <f>BK11</f>
        <v>43508</v>
      </c>
      <c r="BV11" s="127">
        <f>BL11</f>
        <v>44239</v>
      </c>
      <c r="BW11" s="90" t="str">
        <f>H11</f>
        <v>FDA</v>
      </c>
      <c r="BX11" s="90" t="str">
        <f>IF(H11="NATIONAL HEMOPHILIA FOUNDATION","Non Federal","Federal")</f>
        <v>Federal</v>
      </c>
      <c r="BY11" s="128">
        <f>BM11</f>
        <v>1043125.6000000001</v>
      </c>
      <c r="BZ11" s="90" t="str">
        <f>IF(LEN(BR11)&gt;0,1,"")</f>
        <v/>
      </c>
      <c r="CA11" s="90" t="str">
        <f>IF(LEN(BR11)&gt;0,"VIRAL HEPATITIS PROJECT","")</f>
        <v/>
      </c>
      <c r="CB11" s="129" t="str">
        <f>IF(LEN(BR11)&gt;0,BM11*0.7,"")</f>
        <v/>
      </c>
      <c r="CC11" s="90">
        <f>BP11</f>
        <v>1095281.8800000001</v>
      </c>
      <c r="CD11" s="90" t="str">
        <f>IF(LEN(BR11)&gt;0,"70%","")</f>
        <v/>
      </c>
      <c r="CE11" s="90">
        <f>BS11</f>
        <v>53526</v>
      </c>
      <c r="CF11" s="90" t="str">
        <f>CA11</f>
        <v/>
      </c>
      <c r="CG11" s="90"/>
      <c r="CH11" s="90"/>
      <c r="CI11" s="90"/>
      <c r="CJ11" s="90"/>
      <c r="CK11" s="90"/>
      <c r="CL11" s="90"/>
      <c r="CM11" s="90"/>
      <c r="CN11" s="90"/>
      <c r="CO11" s="90"/>
      <c r="CP11" s="90"/>
      <c r="CQ11" s="90"/>
      <c r="CR11" s="90"/>
      <c r="CS11" s="90"/>
      <c r="CT11" s="137"/>
    </row>
    <row r="12" spans="1:98" ht="75">
      <c r="A12" s="89">
        <v>0</v>
      </c>
      <c r="B12" s="90">
        <v>2020</v>
      </c>
      <c r="C12" s="90" t="s">
        <v>81</v>
      </c>
      <c r="D12" s="90" t="s">
        <v>129</v>
      </c>
      <c r="E12" s="125" t="s">
        <v>136</v>
      </c>
      <c r="F12" s="24" t="s">
        <v>131</v>
      </c>
      <c r="G12" s="90" t="s">
        <v>87</v>
      </c>
      <c r="H12" s="90" t="s">
        <v>132</v>
      </c>
      <c r="I12" s="90">
        <v>93</v>
      </c>
      <c r="J12" s="90">
        <v>157</v>
      </c>
      <c r="K12" s="90" t="s">
        <v>85</v>
      </c>
      <c r="L12" s="90" t="s">
        <v>133</v>
      </c>
      <c r="M12" s="90" t="s">
        <v>119</v>
      </c>
      <c r="N12" s="24" t="s">
        <v>134</v>
      </c>
      <c r="O12" s="24" t="str">
        <f>IF(ISNUMBER(SEARCH("Cancer",N12)),"Cancer",IF(ISNUMBER(SEARCH("health",N12)),"Public health",IF(ISNUMBER(SEARCH("disabilities",N12)),"Disabilities","Other")))</f>
        <v>Other</v>
      </c>
      <c r="P12" s="126">
        <v>948296</v>
      </c>
      <c r="Q12" s="90" t="s">
        <v>85</v>
      </c>
      <c r="R12" s="90" t="str">
        <f>IF(P12&gt;20000000,"B","A")</f>
        <v>A</v>
      </c>
      <c r="S12" s="90" t="s">
        <v>90</v>
      </c>
      <c r="T12" s="90" t="s">
        <v>119</v>
      </c>
      <c r="U12" s="90" t="s">
        <v>119</v>
      </c>
      <c r="V12" s="90" t="s">
        <v>119</v>
      </c>
      <c r="W12" s="90" t="s">
        <v>119</v>
      </c>
      <c r="X12" s="90" t="s">
        <v>119</v>
      </c>
      <c r="Y12" s="90" t="s">
        <v>119</v>
      </c>
      <c r="Z12" s="90" t="s">
        <v>119</v>
      </c>
      <c r="AA12" s="90" t="s">
        <v>119</v>
      </c>
      <c r="AB12" s="90" t="s">
        <v>119</v>
      </c>
      <c r="AC12" s="90" t="s">
        <v>119</v>
      </c>
      <c r="AD12" s="90" t="s">
        <v>119</v>
      </c>
      <c r="AE12" s="24">
        <v>0</v>
      </c>
      <c r="AF12" s="90">
        <v>0</v>
      </c>
      <c r="AG12" s="24">
        <v>0</v>
      </c>
      <c r="AH12" s="90">
        <v>90841</v>
      </c>
      <c r="AI12" s="24" t="s">
        <v>102</v>
      </c>
      <c r="AJ12" s="24" t="s">
        <v>137</v>
      </c>
      <c r="AK12" s="90" t="s">
        <v>85</v>
      </c>
      <c r="AL12" s="90">
        <v>53526</v>
      </c>
      <c r="AM12" s="90" t="s">
        <v>81</v>
      </c>
      <c r="AN12" s="90" t="s">
        <v>129</v>
      </c>
      <c r="AO12" s="125" t="s">
        <v>136</v>
      </c>
      <c r="AP12" s="24" t="s">
        <v>134</v>
      </c>
      <c r="AQ12" s="90" t="s">
        <v>133</v>
      </c>
      <c r="AR12" s="24" t="s">
        <v>134</v>
      </c>
      <c r="AS12" s="90" t="s">
        <v>119</v>
      </c>
      <c r="AT12" s="24" t="s">
        <v>102</v>
      </c>
      <c r="AU12" s="90" t="s">
        <v>119</v>
      </c>
      <c r="AV12" s="90" t="str">
        <f>IF(ISNUMBER(SEARCH("disagree",AE12)),"N","Y")</f>
        <v>Y</v>
      </c>
      <c r="AW12" s="90" t="s">
        <v>119</v>
      </c>
      <c r="AX12" s="24" t="s">
        <v>119</v>
      </c>
      <c r="AY12" s="90" t="str">
        <f>CONCATENATE(AZ12,BA12,BB12,BC12)</f>
        <v/>
      </c>
      <c r="AZ12" s="90" t="str">
        <f>IF(ISNUMBER(SEARCH("Y",AC12)),"R","")</f>
        <v/>
      </c>
      <c r="BA12" s="90" t="str">
        <f>IF(ISNUMBER(SEARCH("Y",Y12)),"M","")</f>
        <v/>
      </c>
      <c r="BB12" s="90" t="str">
        <f>IF(ISNUMBER(SEARCH("Y",AB12)),"QC","")</f>
        <v/>
      </c>
      <c r="BC12" s="90" t="str">
        <f>IF(ISNUMBER(SEARCH("Y",Z12)),"S","")</f>
        <v/>
      </c>
      <c r="BD12" s="90"/>
      <c r="BE12" s="24" t="s">
        <v>119</v>
      </c>
      <c r="BF12" s="125" t="str">
        <f>IF(AND(AW12&gt;=56543,AW12&lt;=76543,LEN(AW12)&gt;0),"3 Feb 2020",IF(AND(AW12&gt;=66544,AW12&lt;=99999,LEN(AW12)&gt;0),"12 Sep 2020",""))</f>
        <v/>
      </c>
      <c r="BG12" s="125" t="str">
        <f>IF((AND(BF12="3 Feb 2020",LEN(BF12)&gt;0)),"Completed",IF((AND(BF12="12 Sep 2020",LEN(BF12)&gt;0)),"Pending",""))</f>
        <v/>
      </c>
      <c r="BH12" s="90" t="str">
        <f>IF((AND(BF12="3 Feb 2020",LEN(BF12)&gt;0)),"3 Feb 2020","")</f>
        <v/>
      </c>
      <c r="BI12" s="90">
        <v>53526</v>
      </c>
      <c r="BJ12" s="90" t="str">
        <f>L12</f>
        <v>7T82HT87295-99</v>
      </c>
      <c r="BK12" s="127">
        <v>43508</v>
      </c>
      <c r="BL12" s="127">
        <v>44239</v>
      </c>
      <c r="BM12" s="128">
        <f>P12*1.1</f>
        <v>1043125.6000000001</v>
      </c>
      <c r="BN12" s="129">
        <f>P12*0.9</f>
        <v>853466.4</v>
      </c>
      <c r="BO12" s="130">
        <f>P12*0.8</f>
        <v>758636.8</v>
      </c>
      <c r="BP12" s="90">
        <f>IF(Z12="Y",BM12*0.4,BM12*1.05)</f>
        <v>1095281.8800000001</v>
      </c>
      <c r="BQ12" s="90">
        <f>BP12*0.8</f>
        <v>876225.50400000019</v>
      </c>
      <c r="BR12" s="90" t="str">
        <f>IF(ISNUMBER(SEARCH("subrecipient",AI8)),P12*0.6,"")</f>
        <v/>
      </c>
      <c r="BS12" s="90">
        <v>53526</v>
      </c>
      <c r="BT12" s="90" t="str">
        <f>BJ12</f>
        <v>7T82HT87295-99</v>
      </c>
      <c r="BU12" s="127">
        <f>BK12</f>
        <v>43508</v>
      </c>
      <c r="BV12" s="127">
        <f>BL12</f>
        <v>44239</v>
      </c>
      <c r="BW12" s="90" t="str">
        <f>H12</f>
        <v>FDA</v>
      </c>
      <c r="BX12" s="90" t="str">
        <f>IF(H12="NATIONAL HEMOPHILIA FOUNDATION","Non Federal","Federal")</f>
        <v>Federal</v>
      </c>
      <c r="BY12" s="128">
        <f>BM12</f>
        <v>1043125.6000000001</v>
      </c>
      <c r="BZ12" s="90" t="str">
        <f>IF(LEN(BR12)&gt;0,1,"")</f>
        <v/>
      </c>
      <c r="CA12" s="90" t="str">
        <f>IF(LEN(BR12)&gt;0,"VIRAL HEPATITIS PROJECT","")</f>
        <v/>
      </c>
      <c r="CB12" s="129" t="str">
        <f>IF(LEN(BR12)&gt;0,BM12*0.7,"")</f>
        <v/>
      </c>
      <c r="CC12" s="90">
        <f>BP12</f>
        <v>1095281.8800000001</v>
      </c>
      <c r="CD12" s="90" t="str">
        <f>IF(LEN(BR12)&gt;0,"70%","")</f>
        <v/>
      </c>
      <c r="CE12" s="90">
        <f>BS12</f>
        <v>53526</v>
      </c>
      <c r="CF12" s="90" t="str">
        <f>CA12</f>
        <v/>
      </c>
      <c r="CG12" s="90"/>
      <c r="CH12" s="90"/>
      <c r="CI12" s="90"/>
      <c r="CJ12" s="90"/>
      <c r="CK12" s="90"/>
      <c r="CL12" s="90"/>
      <c r="CM12" s="90"/>
      <c r="CN12" s="90"/>
      <c r="CO12" s="90"/>
      <c r="CP12" s="90"/>
      <c r="CQ12" s="90"/>
      <c r="CR12" s="90"/>
      <c r="CS12" s="90"/>
      <c r="CT12" s="137"/>
    </row>
    <row r="13" spans="1:98" ht="75">
      <c r="A13" s="89">
        <v>53526</v>
      </c>
      <c r="B13" s="90">
        <v>2020</v>
      </c>
      <c r="C13" s="90" t="s">
        <v>81</v>
      </c>
      <c r="D13" s="90" t="s">
        <v>129</v>
      </c>
      <c r="E13" s="125" t="s">
        <v>138</v>
      </c>
      <c r="F13" s="24" t="s">
        <v>131</v>
      </c>
      <c r="G13" s="90" t="s">
        <v>87</v>
      </c>
      <c r="H13" s="90" t="s">
        <v>132</v>
      </c>
      <c r="I13" s="90">
        <v>93</v>
      </c>
      <c r="J13" s="90">
        <v>157</v>
      </c>
      <c r="K13" s="90" t="s">
        <v>85</v>
      </c>
      <c r="L13" s="90" t="s">
        <v>133</v>
      </c>
      <c r="M13" s="90" t="s">
        <v>119</v>
      </c>
      <c r="N13" s="24" t="s">
        <v>134</v>
      </c>
      <c r="O13" s="24" t="str">
        <f>IF(ISNUMBER(SEARCH("Cancer",N13)),"Cancer",IF(ISNUMBER(SEARCH("health",N13)),"Public health",IF(ISNUMBER(SEARCH("disabilities",N13)),"Disabilities","Other")))</f>
        <v>Other</v>
      </c>
      <c r="P13" s="126">
        <v>948296</v>
      </c>
      <c r="Q13" s="90" t="s">
        <v>85</v>
      </c>
      <c r="R13" s="90" t="str">
        <f>IF(P13&gt;20000000,"B","A")</f>
        <v>A</v>
      </c>
      <c r="S13" s="90" t="s">
        <v>90</v>
      </c>
      <c r="T13" s="90" t="s">
        <v>119</v>
      </c>
      <c r="U13" s="90" t="s">
        <v>119</v>
      </c>
      <c r="V13" s="90" t="s">
        <v>119</v>
      </c>
      <c r="W13" s="90" t="s">
        <v>119</v>
      </c>
      <c r="X13" s="90" t="s">
        <v>119</v>
      </c>
      <c r="Y13" s="90" t="s">
        <v>119</v>
      </c>
      <c r="Z13" s="90" t="s">
        <v>119</v>
      </c>
      <c r="AA13" s="90" t="s">
        <v>119</v>
      </c>
      <c r="AB13" s="90" t="s">
        <v>119</v>
      </c>
      <c r="AC13" s="90" t="s">
        <v>119</v>
      </c>
      <c r="AD13" s="90" t="s">
        <v>119</v>
      </c>
      <c r="AE13" s="24">
        <v>0</v>
      </c>
      <c r="AF13" s="90">
        <v>0</v>
      </c>
      <c r="AG13" s="24">
        <v>0</v>
      </c>
      <c r="AH13" s="90">
        <v>90840</v>
      </c>
      <c r="AI13" s="24" t="s">
        <v>139</v>
      </c>
      <c r="AJ13" s="24" t="s">
        <v>140</v>
      </c>
      <c r="AK13" s="90" t="s">
        <v>85</v>
      </c>
      <c r="AL13" s="90">
        <v>53526</v>
      </c>
      <c r="AM13" s="90" t="s">
        <v>81</v>
      </c>
      <c r="AN13" s="90" t="s">
        <v>129</v>
      </c>
      <c r="AO13" s="125" t="s">
        <v>138</v>
      </c>
      <c r="AP13" s="24" t="s">
        <v>134</v>
      </c>
      <c r="AQ13" s="90" t="s">
        <v>133</v>
      </c>
      <c r="AR13" s="24" t="s">
        <v>134</v>
      </c>
      <c r="AS13" s="90" t="s">
        <v>119</v>
      </c>
      <c r="AT13" s="24" t="s">
        <v>139</v>
      </c>
      <c r="AU13" s="90" t="s">
        <v>119</v>
      </c>
      <c r="AV13" s="90" t="str">
        <f>IF(ISNUMBER(SEARCH("disagree",AE13)),"N","Y")</f>
        <v>Y</v>
      </c>
      <c r="AW13" s="90" t="s">
        <v>119</v>
      </c>
      <c r="AX13" s="24" t="s">
        <v>119</v>
      </c>
      <c r="AY13" s="90" t="str">
        <f>CONCATENATE(AZ13,BA13,BB13,BC13)</f>
        <v/>
      </c>
      <c r="AZ13" s="90" t="str">
        <f>IF(ISNUMBER(SEARCH("Y",AC13)),"R","")</f>
        <v/>
      </c>
      <c r="BA13" s="90" t="str">
        <f>IF(ISNUMBER(SEARCH("Y",Y13)),"M","")</f>
        <v/>
      </c>
      <c r="BB13" s="90" t="str">
        <f>IF(ISNUMBER(SEARCH("Y",AB13)),"QC","")</f>
        <v/>
      </c>
      <c r="BC13" s="90" t="str">
        <f>IF(ISNUMBER(SEARCH("Y",Z13)),"S","")</f>
        <v/>
      </c>
      <c r="BD13" s="90"/>
      <c r="BE13" s="24" t="s">
        <v>119</v>
      </c>
      <c r="BF13" s="125" t="str">
        <f>IF(AND(AW13&gt;=56543,AW13&lt;=76543,LEN(AW13)&gt;0),"3 Feb 2020",IF(AND(AW13&gt;=66544,AW13&lt;=99999,LEN(AW13)&gt;0),"12 Sep 2020",""))</f>
        <v/>
      </c>
      <c r="BG13" s="125" t="str">
        <f>IF((AND(BF13="3 Feb 2020",LEN(BF13)&gt;0)),"Completed",IF((AND(BF13="12 Sep 2020",LEN(BF13)&gt;0)),"Pending",""))</f>
        <v/>
      </c>
      <c r="BH13" s="90" t="str">
        <f>IF((AND(BF13="3 Feb 2020",LEN(BF13)&gt;0)),"3 Feb 2020","")</f>
        <v/>
      </c>
      <c r="BI13" s="90">
        <v>53526</v>
      </c>
      <c r="BJ13" s="90" t="str">
        <f>L13</f>
        <v>7T82HT87295-99</v>
      </c>
      <c r="BK13" s="127">
        <v>43508</v>
      </c>
      <c r="BL13" s="127">
        <v>44239</v>
      </c>
      <c r="BM13" s="128">
        <f>P13*1.1</f>
        <v>1043125.6000000001</v>
      </c>
      <c r="BN13" s="129">
        <f>P13*0.9</f>
        <v>853466.4</v>
      </c>
      <c r="BO13" s="130">
        <f>P13*0.8</f>
        <v>758636.8</v>
      </c>
      <c r="BP13" s="90">
        <f>IF(Z13="Y",BM13*0.4,BM13*1.05)</f>
        <v>1095281.8800000001</v>
      </c>
      <c r="BQ13" s="90">
        <f>BP13*0.8</f>
        <v>876225.50400000019</v>
      </c>
      <c r="BR13" s="90">
        <f>IF(ISNUMBER(SEARCH("subrecipient",AI13)),P13*0.6,"")</f>
        <v>568977.6</v>
      </c>
      <c r="BS13" s="90">
        <v>53526</v>
      </c>
      <c r="BT13" s="90" t="str">
        <f>BJ13</f>
        <v>7T82HT87295-99</v>
      </c>
      <c r="BU13" s="127">
        <f>BK13</f>
        <v>43508</v>
      </c>
      <c r="BV13" s="127">
        <f>BL13</f>
        <v>44239</v>
      </c>
      <c r="BW13" s="90" t="str">
        <f>H13</f>
        <v>FDA</v>
      </c>
      <c r="BX13" s="90" t="str">
        <f>IF(H13="NATIONAL HEMOPHILIA FOUNDATION","Non Federal","Federal")</f>
        <v>Federal</v>
      </c>
      <c r="BY13" s="128">
        <f>BM13</f>
        <v>1043125.6000000001</v>
      </c>
      <c r="BZ13" s="90">
        <f>IF(LEN(BR13)&gt;0,1,"")</f>
        <v>1</v>
      </c>
      <c r="CA13" s="90" t="str">
        <f>IF(LEN(BR13)&gt;0,"VIRAL HEPATITIS PROJECT","")</f>
        <v>VIRAL HEPATITIS PROJECT</v>
      </c>
      <c r="CB13" s="129">
        <f>IF(LEN(BR13)&gt;0,BM13*0.7,"")</f>
        <v>730187.92</v>
      </c>
      <c r="CC13" s="90">
        <f>BP13</f>
        <v>1095281.8800000001</v>
      </c>
      <c r="CD13" s="90" t="str">
        <f>IF(LEN(BR13)&gt;0,"70%","")</f>
        <v>70%</v>
      </c>
      <c r="CE13" s="90">
        <f>BS13</f>
        <v>53526</v>
      </c>
      <c r="CF13" s="90" t="str">
        <f>CA13</f>
        <v>VIRAL HEPATITIS PROJECT</v>
      </c>
      <c r="CG13" s="90"/>
      <c r="CH13" s="90"/>
      <c r="CI13" s="90"/>
      <c r="CJ13" s="90"/>
      <c r="CK13" s="90"/>
      <c r="CL13" s="90"/>
      <c r="CM13" s="90"/>
      <c r="CN13" s="90"/>
      <c r="CO13" s="90"/>
      <c r="CP13" s="90"/>
      <c r="CQ13" s="90"/>
      <c r="CR13" s="90"/>
      <c r="CS13" s="90"/>
      <c r="CT13" s="137"/>
    </row>
    <row r="14" spans="1:98" ht="90">
      <c r="A14" s="89">
        <v>53526</v>
      </c>
      <c r="B14" s="90">
        <v>2020</v>
      </c>
      <c r="C14" s="90" t="s">
        <v>81</v>
      </c>
      <c r="D14" s="90" t="s">
        <v>129</v>
      </c>
      <c r="E14" s="125" t="s">
        <v>141</v>
      </c>
      <c r="F14" s="24" t="s">
        <v>131</v>
      </c>
      <c r="G14" s="90" t="s">
        <v>87</v>
      </c>
      <c r="H14" s="90" t="s">
        <v>132</v>
      </c>
      <c r="I14" s="90">
        <v>93</v>
      </c>
      <c r="J14" s="90">
        <v>157</v>
      </c>
      <c r="K14" s="90" t="s">
        <v>85</v>
      </c>
      <c r="L14" s="90" t="s">
        <v>133</v>
      </c>
      <c r="M14" s="90" t="s">
        <v>119</v>
      </c>
      <c r="N14" s="24" t="s">
        <v>134</v>
      </c>
      <c r="O14" s="24" t="str">
        <f>IF(ISNUMBER(SEARCH("Cancer",N14)),"Cancer",IF(ISNUMBER(SEARCH("health",N14)),"Public health",IF(ISNUMBER(SEARCH("disabilities",N14)),"Disabilities","Other")))</f>
        <v>Other</v>
      </c>
      <c r="P14" s="126">
        <v>948296</v>
      </c>
      <c r="Q14" s="90" t="s">
        <v>85</v>
      </c>
      <c r="R14" s="90" t="str">
        <f>IF(P14&gt;20000000,"B","A")</f>
        <v>A</v>
      </c>
      <c r="S14" s="90" t="s">
        <v>90</v>
      </c>
      <c r="T14" s="90" t="s">
        <v>119</v>
      </c>
      <c r="U14" s="90" t="s">
        <v>119</v>
      </c>
      <c r="V14" s="90" t="s">
        <v>119</v>
      </c>
      <c r="W14" s="90" t="s">
        <v>119</v>
      </c>
      <c r="X14" s="90" t="s">
        <v>119</v>
      </c>
      <c r="Y14" s="90" t="s">
        <v>119</v>
      </c>
      <c r="Z14" s="90" t="s">
        <v>119</v>
      </c>
      <c r="AA14" s="90" t="s">
        <v>119</v>
      </c>
      <c r="AB14" s="90" t="s">
        <v>119</v>
      </c>
      <c r="AC14" s="90" t="s">
        <v>119</v>
      </c>
      <c r="AD14" s="90" t="s">
        <v>119</v>
      </c>
      <c r="AE14" s="24">
        <v>0</v>
      </c>
      <c r="AF14" s="90">
        <v>0</v>
      </c>
      <c r="AG14" s="24">
        <v>0</v>
      </c>
      <c r="AH14" s="90">
        <v>90839</v>
      </c>
      <c r="AI14" s="24" t="s">
        <v>142</v>
      </c>
      <c r="AJ14" s="24" t="s">
        <v>143</v>
      </c>
      <c r="AK14" s="90" t="s">
        <v>85</v>
      </c>
      <c r="AL14" s="90">
        <v>53526</v>
      </c>
      <c r="AM14" s="90" t="s">
        <v>81</v>
      </c>
      <c r="AN14" s="90" t="s">
        <v>129</v>
      </c>
      <c r="AO14" s="125" t="s">
        <v>141</v>
      </c>
      <c r="AP14" s="24" t="s">
        <v>134</v>
      </c>
      <c r="AQ14" s="90" t="s">
        <v>133</v>
      </c>
      <c r="AR14" s="24" t="s">
        <v>134</v>
      </c>
      <c r="AS14" s="90" t="s">
        <v>119</v>
      </c>
      <c r="AT14" s="24" t="s">
        <v>142</v>
      </c>
      <c r="AU14" s="90" t="s">
        <v>119</v>
      </c>
      <c r="AV14" s="90" t="str">
        <f>IF(ISNUMBER(SEARCH("disagree",AE14)),"N","Y")</f>
        <v>Y</v>
      </c>
      <c r="AW14" s="90" t="s">
        <v>119</v>
      </c>
      <c r="AX14" s="24" t="s">
        <v>119</v>
      </c>
      <c r="AY14" s="90" t="str">
        <f>CONCATENATE(AZ14,BA14,BB14,BC14)</f>
        <v/>
      </c>
      <c r="AZ14" s="90" t="str">
        <f>IF(ISNUMBER(SEARCH("Y",AC14)),"R","")</f>
        <v/>
      </c>
      <c r="BA14" s="90" t="str">
        <f>IF(ISNUMBER(SEARCH("Y",Y14)),"M","")</f>
        <v/>
      </c>
      <c r="BB14" s="90" t="str">
        <f>IF(ISNUMBER(SEARCH("Y",AB14)),"QC","")</f>
        <v/>
      </c>
      <c r="BC14" s="90" t="str">
        <f>IF(ISNUMBER(SEARCH("Y",Z14)),"S","")</f>
        <v/>
      </c>
      <c r="BD14" s="90"/>
      <c r="BE14" s="24" t="s">
        <v>119</v>
      </c>
      <c r="BF14" s="125" t="str">
        <f>IF(AND(AW14&gt;=56543,AW14&lt;=76543,LEN(AW14)&gt;0),"3 Feb 2020",IF(AND(AW14&gt;=66544,AW14&lt;=99999,LEN(AW14)&gt;0),"12 Sep 2020",""))</f>
        <v/>
      </c>
      <c r="BG14" s="125" t="str">
        <f>IF((AND(BF14="3 Feb 2020",LEN(BF14)&gt;0)),"Completed",IF((AND(BF14="12 Sep 2020",LEN(BF14)&gt;0)),"Pending",""))</f>
        <v/>
      </c>
      <c r="BH14" s="90" t="str">
        <f>IF((AND(BF14="3 Feb 2020",LEN(BF14)&gt;0)),"3 Feb 2020","")</f>
        <v/>
      </c>
      <c r="BI14" s="90">
        <v>53526</v>
      </c>
      <c r="BJ14" s="90" t="str">
        <f>L14</f>
        <v>7T82HT87295-99</v>
      </c>
      <c r="BK14" s="127">
        <v>43508</v>
      </c>
      <c r="BL14" s="127">
        <v>44239</v>
      </c>
      <c r="BM14" s="128">
        <f>P14*1.1</f>
        <v>1043125.6000000001</v>
      </c>
      <c r="BN14" s="129">
        <f>P14*0.9</f>
        <v>853466.4</v>
      </c>
      <c r="BO14" s="130">
        <f>P14*0.8</f>
        <v>758636.8</v>
      </c>
      <c r="BP14" s="90">
        <f>IF(Z14="Y",BM14*0.4,BM14*1.05)</f>
        <v>1095281.8800000001</v>
      </c>
      <c r="BQ14" s="90">
        <f>BP14*0.8</f>
        <v>876225.50400000019</v>
      </c>
      <c r="BR14" s="90" t="str">
        <f>IF(ISNUMBER(SEARCH("subrecipient",AI10)),P14*0.6,"")</f>
        <v/>
      </c>
      <c r="BS14" s="90">
        <v>53526</v>
      </c>
      <c r="BT14" s="90" t="str">
        <f>BJ14</f>
        <v>7T82HT87295-99</v>
      </c>
      <c r="BU14" s="127">
        <f>BK14</f>
        <v>43508</v>
      </c>
      <c r="BV14" s="127">
        <f>BL14</f>
        <v>44239</v>
      </c>
      <c r="BW14" s="90" t="str">
        <f>H14</f>
        <v>FDA</v>
      </c>
      <c r="BX14" s="90" t="str">
        <f>IF(H14="NATIONAL HEMOPHILIA FOUNDATION","Non Federal","Federal")</f>
        <v>Federal</v>
      </c>
      <c r="BY14" s="128">
        <f>BM14</f>
        <v>1043125.6000000001</v>
      </c>
      <c r="BZ14" s="90" t="str">
        <f>IF(LEN(BR14)&gt;0,1,"")</f>
        <v/>
      </c>
      <c r="CA14" s="90" t="str">
        <f>IF(LEN(BR14)&gt;0,"VIRAL HEPATITIS PROJECT","")</f>
        <v/>
      </c>
      <c r="CB14" s="129" t="str">
        <f>IF(LEN(BR14)&gt;0,BM14*0.7,"")</f>
        <v/>
      </c>
      <c r="CC14" s="90">
        <f>BP14</f>
        <v>1095281.8800000001</v>
      </c>
      <c r="CD14" s="90" t="str">
        <f>IF(LEN(BR14)&gt;0,"70%","")</f>
        <v/>
      </c>
      <c r="CE14" s="90">
        <f>BS14</f>
        <v>53526</v>
      </c>
      <c r="CF14" s="90" t="str">
        <f>CA14</f>
        <v/>
      </c>
      <c r="CG14" s="90"/>
      <c r="CH14" s="90"/>
      <c r="CI14" s="90"/>
      <c r="CJ14" s="90"/>
      <c r="CK14" s="90"/>
      <c r="CL14" s="90"/>
      <c r="CM14" s="90"/>
      <c r="CN14" s="90"/>
      <c r="CO14" s="90"/>
      <c r="CP14" s="90"/>
      <c r="CQ14" s="90"/>
      <c r="CR14" s="90"/>
      <c r="CS14" s="90"/>
      <c r="CT14" s="137"/>
    </row>
    <row r="15" spans="1:98" ht="75">
      <c r="A15" s="89">
        <v>53526</v>
      </c>
      <c r="B15" s="90">
        <v>2020</v>
      </c>
      <c r="C15" s="90" t="s">
        <v>81</v>
      </c>
      <c r="D15" s="90" t="s">
        <v>129</v>
      </c>
      <c r="E15" s="125" t="s">
        <v>144</v>
      </c>
      <c r="F15" s="24" t="s">
        <v>131</v>
      </c>
      <c r="G15" s="90" t="s">
        <v>87</v>
      </c>
      <c r="H15" s="90" t="s">
        <v>132</v>
      </c>
      <c r="I15" s="90">
        <v>93</v>
      </c>
      <c r="J15" s="90">
        <v>157</v>
      </c>
      <c r="K15" s="90" t="s">
        <v>85</v>
      </c>
      <c r="L15" s="90" t="s">
        <v>133</v>
      </c>
      <c r="M15" s="90" t="s">
        <v>119</v>
      </c>
      <c r="N15" s="24" t="s">
        <v>134</v>
      </c>
      <c r="O15" s="24" t="str">
        <f>IF(ISNUMBER(SEARCH("Cancer",N15)),"Cancer",IF(ISNUMBER(SEARCH("health",N15)),"Public health",IF(ISNUMBER(SEARCH("disabilities",N15)),"Disabilities","Other")))</f>
        <v>Other</v>
      </c>
      <c r="P15" s="126">
        <v>948296</v>
      </c>
      <c r="Q15" s="90" t="s">
        <v>85</v>
      </c>
      <c r="R15" s="90" t="str">
        <f>IF(P15&gt;20000000,"B","A")</f>
        <v>A</v>
      </c>
      <c r="S15" s="90" t="s">
        <v>90</v>
      </c>
      <c r="T15" s="90" t="s">
        <v>119</v>
      </c>
      <c r="U15" s="90" t="s">
        <v>119</v>
      </c>
      <c r="V15" s="90" t="s">
        <v>119</v>
      </c>
      <c r="W15" s="90" t="s">
        <v>119</v>
      </c>
      <c r="X15" s="90" t="s">
        <v>119</v>
      </c>
      <c r="Y15" s="90" t="s">
        <v>119</v>
      </c>
      <c r="Z15" s="90" t="s">
        <v>119</v>
      </c>
      <c r="AA15" s="90" t="s">
        <v>119</v>
      </c>
      <c r="AB15" s="90" t="s">
        <v>119</v>
      </c>
      <c r="AC15" s="90" t="s">
        <v>119</v>
      </c>
      <c r="AD15" s="90" t="s">
        <v>119</v>
      </c>
      <c r="AE15" s="24">
        <v>0</v>
      </c>
      <c r="AF15" s="90">
        <v>0</v>
      </c>
      <c r="AG15" s="24">
        <v>0</v>
      </c>
      <c r="AH15" s="90">
        <v>90842</v>
      </c>
      <c r="AI15" s="24" t="s">
        <v>145</v>
      </c>
      <c r="AJ15" s="24" t="s">
        <v>146</v>
      </c>
      <c r="AK15" s="90" t="s">
        <v>85</v>
      </c>
      <c r="AL15" s="90">
        <v>53526</v>
      </c>
      <c r="AM15" s="90" t="s">
        <v>81</v>
      </c>
      <c r="AN15" s="90" t="s">
        <v>129</v>
      </c>
      <c r="AO15" s="125" t="s">
        <v>144</v>
      </c>
      <c r="AP15" s="24" t="s">
        <v>134</v>
      </c>
      <c r="AQ15" s="90" t="s">
        <v>133</v>
      </c>
      <c r="AR15" s="24" t="s">
        <v>134</v>
      </c>
      <c r="AS15" s="90" t="s">
        <v>119</v>
      </c>
      <c r="AT15" s="24" t="s">
        <v>145</v>
      </c>
      <c r="AU15" s="90" t="s">
        <v>119</v>
      </c>
      <c r="AV15" s="90" t="str">
        <f>IF(ISNUMBER(SEARCH("disagree",AE15)),"N","Y")</f>
        <v>Y</v>
      </c>
      <c r="AW15" s="90" t="s">
        <v>119</v>
      </c>
      <c r="AX15" s="24" t="s">
        <v>119</v>
      </c>
      <c r="AY15" s="90" t="str">
        <f>CONCATENATE(AZ15,BA15,BB15,BC15)</f>
        <v/>
      </c>
      <c r="AZ15" s="90" t="str">
        <f>IF(ISNUMBER(SEARCH("Y",AC15)),"R","")</f>
        <v/>
      </c>
      <c r="BA15" s="90" t="str">
        <f>IF(ISNUMBER(SEARCH("Y",Y15)),"M","")</f>
        <v/>
      </c>
      <c r="BB15" s="90" t="str">
        <f>IF(ISNUMBER(SEARCH("Y",AB15)),"QC","")</f>
        <v/>
      </c>
      <c r="BC15" s="90" t="str">
        <f>IF(ISNUMBER(SEARCH("Y",Z15)),"S","")</f>
        <v/>
      </c>
      <c r="BD15" s="90"/>
      <c r="BE15" s="24" t="s">
        <v>119</v>
      </c>
      <c r="BF15" s="125" t="str">
        <f>IF(AND(AW15&gt;=56543,AW15&lt;=76543,LEN(AW15)&gt;0),"3 Feb 2020",IF(AND(AW15&gt;=66544,AW15&lt;=99999,LEN(AW15)&gt;0),"12 Sep 2020",""))</f>
        <v/>
      </c>
      <c r="BG15" s="125" t="str">
        <f>IF((AND(BF15="3 Feb 2020",LEN(BF15)&gt;0)),"Completed",IF((AND(BF15="12 Sep 2020",LEN(BF15)&gt;0)),"Pending",""))</f>
        <v/>
      </c>
      <c r="BH15" s="90" t="str">
        <f>IF((AND(BF15="3 Feb 2020",LEN(BF15)&gt;0)),"3 Feb 2020","")</f>
        <v/>
      </c>
      <c r="BI15" s="90">
        <v>53526</v>
      </c>
      <c r="BJ15" s="90" t="str">
        <f>L15</f>
        <v>7T82HT87295-99</v>
      </c>
      <c r="BK15" s="127">
        <v>43508</v>
      </c>
      <c r="BL15" s="127">
        <v>44239</v>
      </c>
      <c r="BM15" s="128">
        <f>P15*1.1</f>
        <v>1043125.6000000001</v>
      </c>
      <c r="BN15" s="129">
        <f>P15*0.9</f>
        <v>853466.4</v>
      </c>
      <c r="BO15" s="130">
        <f>P15*0.8</f>
        <v>758636.8</v>
      </c>
      <c r="BP15" s="90">
        <f>IF(Z15="Y",BM15*0.4,BM15*1.05)</f>
        <v>1095281.8800000001</v>
      </c>
      <c r="BQ15" s="90">
        <f>BP15*0.8</f>
        <v>876225.50400000019</v>
      </c>
      <c r="BR15" s="90" t="str">
        <f>IF(ISNUMBER(SEARCH("subrecipient",AI11)),P15*0.6,"")</f>
        <v/>
      </c>
      <c r="BS15" s="90">
        <v>53526</v>
      </c>
      <c r="BT15" s="90" t="str">
        <f>BJ15</f>
        <v>7T82HT87295-99</v>
      </c>
      <c r="BU15" s="127">
        <f>BK15</f>
        <v>43508</v>
      </c>
      <c r="BV15" s="127">
        <f>BL15</f>
        <v>44239</v>
      </c>
      <c r="BW15" s="90" t="str">
        <f>H15</f>
        <v>FDA</v>
      </c>
      <c r="BX15" s="90" t="str">
        <f>IF(H15="NATIONAL HEMOPHILIA FOUNDATION","Non Federal","Federal")</f>
        <v>Federal</v>
      </c>
      <c r="BY15" s="128">
        <f>BM15</f>
        <v>1043125.6000000001</v>
      </c>
      <c r="BZ15" s="90" t="str">
        <f>IF(LEN(BR15)&gt;0,1,"")</f>
        <v/>
      </c>
      <c r="CA15" s="90" t="str">
        <f>IF(LEN(BR15)&gt;0,"VIRAL HEPATITIS PROJECT","")</f>
        <v/>
      </c>
      <c r="CB15" s="129" t="str">
        <f>IF(LEN(BR15)&gt;0,BM15*0.7,"")</f>
        <v/>
      </c>
      <c r="CC15" s="90">
        <f>BP15</f>
        <v>1095281.8800000001</v>
      </c>
      <c r="CD15" s="90" t="str">
        <f>IF(LEN(BR15)&gt;0,"70%","")</f>
        <v/>
      </c>
      <c r="CE15" s="90">
        <f>BS15</f>
        <v>53526</v>
      </c>
      <c r="CF15" s="90" t="str">
        <f>CA15</f>
        <v/>
      </c>
      <c r="CG15" s="90"/>
      <c r="CH15" s="90"/>
      <c r="CI15" s="90"/>
      <c r="CJ15" s="90"/>
      <c r="CK15" s="90"/>
      <c r="CL15" s="90"/>
      <c r="CM15" s="90"/>
      <c r="CN15" s="90"/>
      <c r="CO15" s="90"/>
      <c r="CP15" s="90"/>
      <c r="CQ15" s="90"/>
      <c r="CR15" s="90"/>
      <c r="CS15" s="90"/>
      <c r="CT15" s="137"/>
    </row>
    <row r="16" spans="1:98" ht="75">
      <c r="A16" s="89">
        <v>58675</v>
      </c>
      <c r="B16" s="90">
        <v>2020</v>
      </c>
      <c r="C16" s="90" t="s">
        <v>81</v>
      </c>
      <c r="D16" s="90" t="s">
        <v>147</v>
      </c>
      <c r="E16" s="125" t="s">
        <v>148</v>
      </c>
      <c r="F16" s="24" t="s">
        <v>149</v>
      </c>
      <c r="G16" s="90" t="s">
        <v>87</v>
      </c>
      <c r="H16" s="90" t="s">
        <v>150</v>
      </c>
      <c r="I16" s="90">
        <v>93</v>
      </c>
      <c r="J16" s="90">
        <v>157</v>
      </c>
      <c r="K16" s="90" t="s">
        <v>85</v>
      </c>
      <c r="L16" s="90" t="s">
        <v>151</v>
      </c>
      <c r="M16" s="90" t="s">
        <v>119</v>
      </c>
      <c r="N16" s="24" t="s">
        <v>152</v>
      </c>
      <c r="O16" s="24" t="str">
        <f>IF(ISNUMBER(SEARCH("Cancer",N16)),"Cancer",IF(ISNUMBER(SEARCH("health",N16)),"Public health",IF(ISNUMBER(SEARCH("disabilities",N16)),"Disabilities","Other")))</f>
        <v>Other</v>
      </c>
      <c r="P16" s="126">
        <v>80543700</v>
      </c>
      <c r="Q16" s="90" t="s">
        <v>85</v>
      </c>
      <c r="R16" s="90" t="str">
        <f>IF(P16&gt;20000000,"B","A")</f>
        <v>B</v>
      </c>
      <c r="S16" s="90" t="s">
        <v>90</v>
      </c>
      <c r="T16" s="90" t="s">
        <v>119</v>
      </c>
      <c r="U16" s="90" t="s">
        <v>119</v>
      </c>
      <c r="V16" s="90" t="s">
        <v>119</v>
      </c>
      <c r="W16" s="90" t="s">
        <v>119</v>
      </c>
      <c r="X16" s="90" t="s">
        <v>119</v>
      </c>
      <c r="Y16" s="90" t="s">
        <v>119</v>
      </c>
      <c r="Z16" s="90" t="s">
        <v>119</v>
      </c>
      <c r="AA16" s="90" t="s">
        <v>119</v>
      </c>
      <c r="AB16" s="90" t="s">
        <v>119</v>
      </c>
      <c r="AC16" s="90" t="s">
        <v>119</v>
      </c>
      <c r="AD16" s="90" t="s">
        <v>119</v>
      </c>
      <c r="AE16" s="24">
        <v>0</v>
      </c>
      <c r="AF16" s="90">
        <v>0</v>
      </c>
      <c r="AG16" s="24">
        <v>0</v>
      </c>
      <c r="AH16" s="90">
        <v>90745</v>
      </c>
      <c r="AI16" s="24" t="s">
        <v>94</v>
      </c>
      <c r="AJ16" s="24" t="s">
        <v>153</v>
      </c>
      <c r="AK16" s="90" t="s">
        <v>85</v>
      </c>
      <c r="AL16" s="90">
        <v>58675</v>
      </c>
      <c r="AM16" s="90" t="s">
        <v>81</v>
      </c>
      <c r="AN16" s="90" t="s">
        <v>147</v>
      </c>
      <c r="AO16" s="125" t="s">
        <v>148</v>
      </c>
      <c r="AP16" s="24" t="s">
        <v>152</v>
      </c>
      <c r="AQ16" s="90" t="s">
        <v>151</v>
      </c>
      <c r="AR16" s="24" t="s">
        <v>152</v>
      </c>
      <c r="AS16" s="90" t="s">
        <v>119</v>
      </c>
      <c r="AT16" s="24" t="s">
        <v>94</v>
      </c>
      <c r="AU16" s="90" t="s">
        <v>119</v>
      </c>
      <c r="AV16" s="90" t="str">
        <f>IF(ISNUMBER(SEARCH("disagree",AE16)),"N","Y")</f>
        <v>Y</v>
      </c>
      <c r="AW16" s="90" t="s">
        <v>119</v>
      </c>
      <c r="AX16" s="24" t="s">
        <v>119</v>
      </c>
      <c r="AY16" s="90" t="str">
        <f>CONCATENATE(AZ16,BA16,BB16,BC16)</f>
        <v/>
      </c>
      <c r="AZ16" s="90" t="str">
        <f>IF(ISNUMBER(SEARCH("Y",AC16)),"R","")</f>
        <v/>
      </c>
      <c r="BA16" s="90" t="str">
        <f>IF(ISNUMBER(SEARCH("Y",Y16)),"M","")</f>
        <v/>
      </c>
      <c r="BB16" s="90" t="str">
        <f>IF(ISNUMBER(SEARCH("Y",AB16)),"QC","")</f>
        <v/>
      </c>
      <c r="BC16" s="90" t="str">
        <f>IF(ISNUMBER(SEARCH("Y",Z16)),"S","")</f>
        <v/>
      </c>
      <c r="BD16" s="90"/>
      <c r="BE16" s="24" t="s">
        <v>119</v>
      </c>
      <c r="BF16" s="125" t="str">
        <f>IF(AND(AW16&gt;=56543,AW16&lt;=76543,LEN(AW16)&gt;0),"3 Feb 2020",IF(AND(AW16&gt;=66544,AW16&lt;=99999,LEN(AW16)&gt;0),"12 Sep 2020",""))</f>
        <v/>
      </c>
      <c r="BG16" s="125" t="str">
        <f>IF((AND(BF16="3 Feb 2020",LEN(BF16)&gt;0)),"Completed",IF((AND(BF16="12 Sep 2020",LEN(BF16)&gt;0)),"Pending",""))</f>
        <v/>
      </c>
      <c r="BH16" s="90" t="str">
        <f>IF((AND(BF16="3 Feb 2020",LEN(BF16)&gt;0)),"3 Feb 2020","")</f>
        <v/>
      </c>
      <c r="BI16" s="90">
        <v>58675</v>
      </c>
      <c r="BJ16" s="90" t="str">
        <f>L16</f>
        <v>4T90HT90841-42</v>
      </c>
      <c r="BK16" s="127">
        <v>43508</v>
      </c>
      <c r="BL16" s="127">
        <v>44239</v>
      </c>
      <c r="BM16" s="128">
        <f>P16*1.1</f>
        <v>88598070</v>
      </c>
      <c r="BN16" s="129">
        <f>P16*0.9</f>
        <v>72489330</v>
      </c>
      <c r="BO16" s="130">
        <f>P16*0.8</f>
        <v>64434960</v>
      </c>
      <c r="BP16" s="90">
        <f>IF(Z16="Y",BM16*0.4,BM16*1.05)</f>
        <v>93027973.5</v>
      </c>
      <c r="BQ16" s="90">
        <f>BP16*0.8</f>
        <v>74422378.799999997</v>
      </c>
      <c r="BR16" s="90" t="str">
        <f>IF(ISNUMBER(SEARCH("subrecipient",AI12)),P16*0.6,"")</f>
        <v/>
      </c>
      <c r="BS16" s="90">
        <v>58675</v>
      </c>
      <c r="BT16" s="90" t="str">
        <f>BJ16</f>
        <v>4T90HT90841-42</v>
      </c>
      <c r="BU16" s="127">
        <f>BK16</f>
        <v>43508</v>
      </c>
      <c r="BV16" s="127">
        <f>BL16</f>
        <v>44239</v>
      </c>
      <c r="BW16" s="90" t="str">
        <f>H16</f>
        <v>ACF</v>
      </c>
      <c r="BX16" s="90" t="str">
        <f>IF(H16="NATIONAL HEMOPHILIA FOUNDATION","Non Federal","Federal")</f>
        <v>Federal</v>
      </c>
      <c r="BY16" s="128">
        <f>BM16</f>
        <v>88598070</v>
      </c>
      <c r="BZ16" s="90" t="str">
        <f>IF(LEN(BR16)&gt;0,1,"")</f>
        <v/>
      </c>
      <c r="CA16" s="90" t="str">
        <f>IF(LEN(BR16)&gt;0,"VIRAL HEPATITIS PROJECT","")</f>
        <v/>
      </c>
      <c r="CB16" s="129" t="str">
        <f>IF(LEN(BR16)&gt;0,BM16*0.7,"")</f>
        <v/>
      </c>
      <c r="CC16" s="90">
        <f>BP16</f>
        <v>93027973.5</v>
      </c>
      <c r="CD16" s="90" t="str">
        <f>IF(LEN(BR16)&gt;0,"70%","")</f>
        <v/>
      </c>
      <c r="CE16" s="90">
        <f>BS16</f>
        <v>58675</v>
      </c>
      <c r="CF16" s="90" t="str">
        <f>CA16</f>
        <v/>
      </c>
      <c r="CG16" s="90"/>
      <c r="CH16" s="90"/>
      <c r="CI16" s="90"/>
      <c r="CJ16" s="90"/>
      <c r="CK16" s="90"/>
      <c r="CL16" s="90"/>
      <c r="CM16" s="90"/>
      <c r="CN16" s="90"/>
      <c r="CO16" s="90"/>
      <c r="CP16" s="90"/>
      <c r="CQ16" s="90"/>
      <c r="CR16" s="90"/>
      <c r="CS16" s="90"/>
      <c r="CT16" s="137"/>
    </row>
    <row r="17" spans="1:98" ht="105">
      <c r="A17" s="89">
        <v>58675</v>
      </c>
      <c r="B17" s="90">
        <v>2020</v>
      </c>
      <c r="C17" s="90" t="s">
        <v>81</v>
      </c>
      <c r="D17" s="90" t="s">
        <v>147</v>
      </c>
      <c r="E17" s="125" t="s">
        <v>154</v>
      </c>
      <c r="F17" s="24" t="s">
        <v>149</v>
      </c>
      <c r="G17" s="90" t="s">
        <v>87</v>
      </c>
      <c r="H17" s="90" t="s">
        <v>150</v>
      </c>
      <c r="I17" s="90">
        <v>93</v>
      </c>
      <c r="J17" s="90">
        <v>157</v>
      </c>
      <c r="K17" s="90" t="s">
        <v>85</v>
      </c>
      <c r="L17" s="90" t="s">
        <v>151</v>
      </c>
      <c r="M17" s="90" t="s">
        <v>119</v>
      </c>
      <c r="N17" s="24" t="s">
        <v>152</v>
      </c>
      <c r="O17" s="24" t="str">
        <f>IF(ISNUMBER(SEARCH("Cancer",N17)),"Cancer",IF(ISNUMBER(SEARCH("health",N17)),"Public health",IF(ISNUMBER(SEARCH("disabilities",N17)),"Disabilities","Other")))</f>
        <v>Other</v>
      </c>
      <c r="P17" s="131">
        <v>80543700</v>
      </c>
      <c r="Q17" s="90" t="s">
        <v>85</v>
      </c>
      <c r="R17" s="90" t="str">
        <f>IF(P17&gt;20000000,"B","A")</f>
        <v>B</v>
      </c>
      <c r="S17" s="90" t="s">
        <v>90</v>
      </c>
      <c r="T17" s="90" t="s">
        <v>119</v>
      </c>
      <c r="U17" s="90" t="s">
        <v>119</v>
      </c>
      <c r="V17" s="90" t="s">
        <v>119</v>
      </c>
      <c r="W17" s="90" t="s">
        <v>119</v>
      </c>
      <c r="X17" s="90" t="s">
        <v>119</v>
      </c>
      <c r="Y17" s="90" t="s">
        <v>119</v>
      </c>
      <c r="Z17" s="90" t="s">
        <v>119</v>
      </c>
      <c r="AA17" s="90" t="s">
        <v>119</v>
      </c>
      <c r="AB17" s="90" t="s">
        <v>119</v>
      </c>
      <c r="AC17" s="90" t="s">
        <v>119</v>
      </c>
      <c r="AD17" s="90" t="s">
        <v>119</v>
      </c>
      <c r="AE17" s="24">
        <v>0</v>
      </c>
      <c r="AF17" s="90">
        <v>0</v>
      </c>
      <c r="AG17" s="24">
        <v>0</v>
      </c>
      <c r="AH17" s="90">
        <v>90744</v>
      </c>
      <c r="AI17" s="24" t="s">
        <v>102</v>
      </c>
      <c r="AJ17" s="24" t="s">
        <v>103</v>
      </c>
      <c r="AK17" s="90" t="s">
        <v>85</v>
      </c>
      <c r="AL17" s="90">
        <v>58675</v>
      </c>
      <c r="AM17" s="90" t="s">
        <v>81</v>
      </c>
      <c r="AN17" s="90" t="s">
        <v>147</v>
      </c>
      <c r="AO17" s="125" t="s">
        <v>154</v>
      </c>
      <c r="AP17" s="24" t="s">
        <v>152</v>
      </c>
      <c r="AQ17" s="90" t="s">
        <v>151</v>
      </c>
      <c r="AR17" s="24" t="s">
        <v>152</v>
      </c>
      <c r="AS17" s="90" t="s">
        <v>119</v>
      </c>
      <c r="AT17" s="24" t="s">
        <v>102</v>
      </c>
      <c r="AU17" s="90" t="s">
        <v>119</v>
      </c>
      <c r="AV17" s="90" t="str">
        <f>IF(ISNUMBER(SEARCH("disagree",AE17)),"N","Y")</f>
        <v>Y</v>
      </c>
      <c r="AW17" s="90" t="s">
        <v>119</v>
      </c>
      <c r="AX17" s="24" t="s">
        <v>119</v>
      </c>
      <c r="AY17" s="90" t="str">
        <f>CONCATENATE(AZ17,BA17,BB17,BC17)</f>
        <v/>
      </c>
      <c r="AZ17" s="90" t="str">
        <f>IF(ISNUMBER(SEARCH("Y",AC17)),"R","")</f>
        <v/>
      </c>
      <c r="BA17" s="90" t="str">
        <f>IF(ISNUMBER(SEARCH("Y",Y17)),"M","")</f>
        <v/>
      </c>
      <c r="BB17" s="90" t="str">
        <f>IF(ISNUMBER(SEARCH("Y",AB17)),"QC","")</f>
        <v/>
      </c>
      <c r="BC17" s="90" t="str">
        <f>IF(ISNUMBER(SEARCH("Y",Z17)),"S","")</f>
        <v/>
      </c>
      <c r="BD17" s="90"/>
      <c r="BE17" s="24" t="s">
        <v>119</v>
      </c>
      <c r="BF17" s="125" t="str">
        <f>IF(AND(AW17&gt;=56543,AW17&lt;=76543,LEN(AW17)&gt;0),"3 Feb 2020",IF(AND(AW17&gt;=66544,AW17&lt;=99999,LEN(AW17)&gt;0),"12 Sep 2020",""))</f>
        <v/>
      </c>
      <c r="BG17" s="125" t="str">
        <f>IF((AND(BF17="3 Feb 2020",LEN(BF17)&gt;0)),"Completed",IF((AND(BF17="12 Sep 2020",LEN(BF17)&gt;0)),"Pending",""))</f>
        <v/>
      </c>
      <c r="BH17" s="90" t="str">
        <f>IF((AND(BF17="3 Feb 2020",LEN(BF17)&gt;0)),"3 Feb 2020","")</f>
        <v/>
      </c>
      <c r="BI17" s="90">
        <v>58675</v>
      </c>
      <c r="BJ17" s="90" t="str">
        <f>L17</f>
        <v>4T90HT90841-42</v>
      </c>
      <c r="BK17" s="127">
        <v>43508</v>
      </c>
      <c r="BL17" s="127">
        <v>44239</v>
      </c>
      <c r="BM17" s="128">
        <f>P17*1.1</f>
        <v>88598070</v>
      </c>
      <c r="BN17" s="129">
        <f>P17*0.9</f>
        <v>72489330</v>
      </c>
      <c r="BO17" s="130">
        <f>P17*0.8</f>
        <v>64434960</v>
      </c>
      <c r="BP17" s="90">
        <f>IF(Z17="Y",BM17*0.4,BM17*1.05)</f>
        <v>93027973.5</v>
      </c>
      <c r="BQ17" s="90">
        <f>BP17*0.8</f>
        <v>74422378.799999997</v>
      </c>
      <c r="BR17" s="90">
        <f>IF(ISNUMBER(SEARCH("subrecipient",AI13)),P17*0.6,"")</f>
        <v>48326220</v>
      </c>
      <c r="BS17" s="90">
        <v>58675</v>
      </c>
      <c r="BT17" s="90" t="str">
        <f>BJ17</f>
        <v>4T90HT90841-42</v>
      </c>
      <c r="BU17" s="127">
        <f>BK17</f>
        <v>43508</v>
      </c>
      <c r="BV17" s="127">
        <f>BL17</f>
        <v>44239</v>
      </c>
      <c r="BW17" s="90" t="str">
        <f>H17</f>
        <v>ACF</v>
      </c>
      <c r="BX17" s="90" t="str">
        <f>IF(H17="NATIONAL HEMOPHILIA FOUNDATION","Non Federal","Federal")</f>
        <v>Federal</v>
      </c>
      <c r="BY17" s="128">
        <f>BM17</f>
        <v>88598070</v>
      </c>
      <c r="BZ17" s="90">
        <f>IF(LEN(BR17)&gt;0,1,"")</f>
        <v>1</v>
      </c>
      <c r="CA17" s="90" t="str">
        <f>IF(LEN(BR17)&gt;0,"VIRAL HEPATITIS PROJECT","")</f>
        <v>VIRAL HEPATITIS PROJECT</v>
      </c>
      <c r="CB17" s="129">
        <f>IF(LEN(BR17)&gt;0,BM17*0.7,"")</f>
        <v>62018648.999999993</v>
      </c>
      <c r="CC17" s="90">
        <f>BP17</f>
        <v>93027973.5</v>
      </c>
      <c r="CD17" s="90" t="str">
        <f>IF(LEN(BR17)&gt;0,"70%","")</f>
        <v>70%</v>
      </c>
      <c r="CE17" s="90">
        <f>BS17</f>
        <v>58675</v>
      </c>
      <c r="CF17" s="90" t="str">
        <f>CA17</f>
        <v>VIRAL HEPATITIS PROJECT</v>
      </c>
      <c r="CG17" s="90" t="s">
        <v>155</v>
      </c>
      <c r="CH17" s="24" t="s">
        <v>156</v>
      </c>
      <c r="CI17" s="129">
        <f>CB17</f>
        <v>62018648.999999993</v>
      </c>
      <c r="CJ17" s="125" t="s">
        <v>157</v>
      </c>
      <c r="CK17" s="90" t="s">
        <v>158</v>
      </c>
      <c r="CL17" s="90" t="s">
        <v>159</v>
      </c>
      <c r="CM17" s="90" t="s">
        <v>160</v>
      </c>
      <c r="CN17" s="90" t="s">
        <v>160</v>
      </c>
      <c r="CO17" s="24" t="s">
        <v>161</v>
      </c>
      <c r="CP17" s="24" t="s">
        <v>162</v>
      </c>
      <c r="CQ17" s="132">
        <v>0.3</v>
      </c>
      <c r="CR17" s="127">
        <f>BU17+50</f>
        <v>43558</v>
      </c>
      <c r="CS17" s="127">
        <f>BV17-50</f>
        <v>44189</v>
      </c>
      <c r="CT17" s="138">
        <f>CI17*0.4</f>
        <v>24807459.599999998</v>
      </c>
    </row>
    <row r="18" spans="1:98" ht="165">
      <c r="A18" s="89">
        <v>60493</v>
      </c>
      <c r="B18" s="90">
        <v>2020</v>
      </c>
      <c r="C18" s="90" t="s">
        <v>81</v>
      </c>
      <c r="D18" s="90" t="s">
        <v>163</v>
      </c>
      <c r="E18" s="125" t="s">
        <v>164</v>
      </c>
      <c r="F18" s="24" t="s">
        <v>165</v>
      </c>
      <c r="G18" s="90" t="s">
        <v>87</v>
      </c>
      <c r="H18" s="90" t="s">
        <v>86</v>
      </c>
      <c r="I18" s="90">
        <v>93</v>
      </c>
      <c r="J18" s="90">
        <v>157</v>
      </c>
      <c r="K18" s="90" t="s">
        <v>85</v>
      </c>
      <c r="L18" s="90" t="s">
        <v>166</v>
      </c>
      <c r="M18" s="90" t="s">
        <v>119</v>
      </c>
      <c r="N18" s="24" t="s">
        <v>167</v>
      </c>
      <c r="O18" s="24" t="str">
        <f>IF(ISNUMBER(SEARCH("Cancer",N18)),"Cancer",IF(ISNUMBER(SEARCH("health",N18)),"Public health",IF(ISNUMBER(SEARCH("disabilities",N18)),"Disabilities","Other")))</f>
        <v>Public health</v>
      </c>
      <c r="P18" s="126">
        <v>868399</v>
      </c>
      <c r="Q18" s="90" t="s">
        <v>85</v>
      </c>
      <c r="R18" s="90" t="str">
        <f>IF(P18&gt;20000000,"B","A")</f>
        <v>A</v>
      </c>
      <c r="S18" s="90" t="s">
        <v>90</v>
      </c>
      <c r="T18" s="90" t="s">
        <v>119</v>
      </c>
      <c r="U18" s="90" t="s">
        <v>119</v>
      </c>
      <c r="V18" s="90" t="s">
        <v>119</v>
      </c>
      <c r="W18" s="90" t="s">
        <v>119</v>
      </c>
      <c r="X18" s="90" t="s">
        <v>119</v>
      </c>
      <c r="Y18" s="90" t="s">
        <v>119</v>
      </c>
      <c r="Z18" s="90" t="s">
        <v>119</v>
      </c>
      <c r="AA18" s="90" t="s">
        <v>119</v>
      </c>
      <c r="AB18" s="90" t="s">
        <v>119</v>
      </c>
      <c r="AC18" s="90" t="s">
        <v>119</v>
      </c>
      <c r="AD18" s="90" t="s">
        <v>119</v>
      </c>
      <c r="AE18" s="24">
        <v>0</v>
      </c>
      <c r="AF18" s="90">
        <v>0</v>
      </c>
      <c r="AG18" s="24">
        <v>0</v>
      </c>
      <c r="AH18" s="90">
        <v>87393</v>
      </c>
      <c r="AI18" s="24" t="s">
        <v>94</v>
      </c>
      <c r="AJ18" s="24" t="s">
        <v>168</v>
      </c>
      <c r="AK18" s="90" t="s">
        <v>85</v>
      </c>
      <c r="AL18" s="90">
        <v>60493</v>
      </c>
      <c r="AM18" s="90" t="s">
        <v>81</v>
      </c>
      <c r="AN18" s="90" t="s">
        <v>163</v>
      </c>
      <c r="AO18" s="125" t="s">
        <v>164</v>
      </c>
      <c r="AP18" s="24" t="s">
        <v>167</v>
      </c>
      <c r="AQ18" s="90" t="s">
        <v>166</v>
      </c>
      <c r="AR18" s="24" t="s">
        <v>167</v>
      </c>
      <c r="AS18" s="90" t="s">
        <v>119</v>
      </c>
      <c r="AT18" s="24" t="s">
        <v>94</v>
      </c>
      <c r="AU18" s="90" t="s">
        <v>119</v>
      </c>
      <c r="AV18" s="90" t="str">
        <f>IF(ISNUMBER(SEARCH("disagree",AE18)),"N","Y")</f>
        <v>Y</v>
      </c>
      <c r="AW18" s="90" t="s">
        <v>119</v>
      </c>
      <c r="AX18" s="24" t="s">
        <v>119</v>
      </c>
      <c r="AY18" s="90" t="str">
        <f>CONCATENATE(AZ18,BA18,BB18,BC18)</f>
        <v/>
      </c>
      <c r="AZ18" s="90" t="str">
        <f>IF(ISNUMBER(SEARCH("Y",AC18)),"R","")</f>
        <v/>
      </c>
      <c r="BA18" s="90" t="str">
        <f>IF(ISNUMBER(SEARCH("Y",Y18)),"M","")</f>
        <v/>
      </c>
      <c r="BB18" s="90" t="str">
        <f>IF(ISNUMBER(SEARCH("Y",AB18)),"QC","")</f>
        <v/>
      </c>
      <c r="BC18" s="90" t="str">
        <f>IF(ISNUMBER(SEARCH("Y",Z18)),"S","")</f>
        <v/>
      </c>
      <c r="BD18" s="90"/>
      <c r="BE18" s="24" t="s">
        <v>119</v>
      </c>
      <c r="BF18" s="125" t="str">
        <f>IF(AND(AW18&gt;=56543,AW18&lt;=76543,LEN(AW18)&gt;0),"3 Feb 2020",IF(AND(AW18&gt;=66544,AW18&lt;=99999,LEN(AW18)&gt;0),"12 Sep 2020",""))</f>
        <v/>
      </c>
      <c r="BG18" s="125" t="str">
        <f>IF((AND(BF18="3 Feb 2020",LEN(BF18)&gt;0)),"Completed",IF((AND(BF18="12 Sep 2020",LEN(BF18)&gt;0)),"Pending",""))</f>
        <v/>
      </c>
      <c r="BH18" s="90" t="str">
        <f>IF((AND(BF18="3 Feb 2020",LEN(BF18)&gt;0)),"3 Feb 2020","")</f>
        <v/>
      </c>
      <c r="BI18" s="90">
        <v>60493</v>
      </c>
      <c r="BJ18" s="90" t="str">
        <f>L18</f>
        <v>1M31CS90744-99</v>
      </c>
      <c r="BK18" s="127">
        <v>43508</v>
      </c>
      <c r="BL18" s="127">
        <v>44239</v>
      </c>
      <c r="BM18" s="128">
        <f>P18*1.1</f>
        <v>955238.9</v>
      </c>
      <c r="BN18" s="129">
        <f>P18*0.9</f>
        <v>781559.1</v>
      </c>
      <c r="BO18" s="130">
        <f>P18*0.8</f>
        <v>694719.20000000007</v>
      </c>
      <c r="BP18" s="90">
        <f>IF(Z18="Y",BM18*0.4,BM18*1.05)</f>
        <v>1003000.8450000001</v>
      </c>
      <c r="BQ18" s="90">
        <f>BP18*0.8</f>
        <v>802400.67600000009</v>
      </c>
      <c r="BR18" s="90" t="str">
        <f>IF(ISNUMBER(SEARCH("subrecipient",AI14)),P18*0.6,"")</f>
        <v/>
      </c>
      <c r="BS18" s="90">
        <v>60493</v>
      </c>
      <c r="BT18" s="90" t="str">
        <f>BJ18</f>
        <v>1M31CS90744-99</v>
      </c>
      <c r="BU18" s="127">
        <f>BK18</f>
        <v>43508</v>
      </c>
      <c r="BV18" s="127">
        <f>BL18</f>
        <v>44239</v>
      </c>
      <c r="BW18" s="90" t="str">
        <f>H18</f>
        <v>CDC</v>
      </c>
      <c r="BX18" s="90" t="str">
        <f>IF(H18="NATIONAL HEMOPHILIA FOUNDATION","Non Federal","Federal")</f>
        <v>Federal</v>
      </c>
      <c r="BY18" s="128">
        <f>BM18</f>
        <v>955238.9</v>
      </c>
      <c r="BZ18" s="90" t="str">
        <f>IF(LEN(BR18)&gt;0,1,"")</f>
        <v/>
      </c>
      <c r="CA18" s="90" t="str">
        <f>IF(LEN(BR18)&gt;0,"VIRAL HEPATITIS PROJECT","")</f>
        <v/>
      </c>
      <c r="CB18" s="129" t="str">
        <f>IF(LEN(BR18)&gt;0,BM18*0.7,"")</f>
        <v/>
      </c>
      <c r="CC18" s="90">
        <f>BP18</f>
        <v>1003000.8450000001</v>
      </c>
      <c r="CD18" s="90" t="str">
        <f>IF(LEN(BR18)&gt;0,"70%","")</f>
        <v/>
      </c>
      <c r="CE18" s="90">
        <f>BS18</f>
        <v>60493</v>
      </c>
      <c r="CF18" s="90" t="str">
        <f>CA18</f>
        <v/>
      </c>
      <c r="CG18" s="90"/>
      <c r="CH18" s="90"/>
      <c r="CI18" s="90"/>
      <c r="CJ18" s="90"/>
      <c r="CK18" s="90"/>
      <c r="CL18" s="90"/>
      <c r="CM18" s="90"/>
      <c r="CN18" s="90"/>
      <c r="CO18" s="90"/>
      <c r="CP18" s="90"/>
      <c r="CQ18" s="90"/>
      <c r="CR18" s="90"/>
      <c r="CS18" s="90"/>
      <c r="CT18" s="137"/>
    </row>
    <row r="19" spans="1:98" ht="165">
      <c r="A19" s="89">
        <v>60493</v>
      </c>
      <c r="B19" s="90">
        <v>2020</v>
      </c>
      <c r="C19" s="90" t="s">
        <v>81</v>
      </c>
      <c r="D19" s="90" t="s">
        <v>163</v>
      </c>
      <c r="E19" s="125" t="s">
        <v>169</v>
      </c>
      <c r="F19" s="24" t="s">
        <v>165</v>
      </c>
      <c r="G19" s="90" t="s">
        <v>87</v>
      </c>
      <c r="H19" s="90" t="s">
        <v>86</v>
      </c>
      <c r="I19" s="90">
        <v>93</v>
      </c>
      <c r="J19" s="90">
        <v>157</v>
      </c>
      <c r="K19" s="90" t="s">
        <v>85</v>
      </c>
      <c r="L19" s="90" t="s">
        <v>166</v>
      </c>
      <c r="M19" s="90" t="s">
        <v>119</v>
      </c>
      <c r="N19" s="24" t="s">
        <v>167</v>
      </c>
      <c r="O19" s="24" t="str">
        <f>IF(ISNUMBER(SEARCH("Cancer",N19)),"Cancer",IF(ISNUMBER(SEARCH("health",N19)),"Public health",IF(ISNUMBER(SEARCH("disabilities",N19)),"Disabilities","Other")))</f>
        <v>Public health</v>
      </c>
      <c r="P19" s="126">
        <v>868399</v>
      </c>
      <c r="Q19" s="90" t="s">
        <v>85</v>
      </c>
      <c r="R19" s="90" t="str">
        <f>IF(P19&gt;20000000,"B","A")</f>
        <v>A</v>
      </c>
      <c r="S19" s="90" t="s">
        <v>90</v>
      </c>
      <c r="T19" s="90" t="s">
        <v>119</v>
      </c>
      <c r="U19" s="90" t="s">
        <v>119</v>
      </c>
      <c r="V19" s="90" t="s">
        <v>119</v>
      </c>
      <c r="W19" s="90" t="s">
        <v>119</v>
      </c>
      <c r="X19" s="90" t="s">
        <v>119</v>
      </c>
      <c r="Y19" s="90" t="s">
        <v>119</v>
      </c>
      <c r="Z19" s="90" t="s">
        <v>119</v>
      </c>
      <c r="AA19" s="90" t="s">
        <v>119</v>
      </c>
      <c r="AB19" s="90" t="s">
        <v>119</v>
      </c>
      <c r="AC19" s="90" t="s">
        <v>119</v>
      </c>
      <c r="AD19" s="90" t="s">
        <v>119</v>
      </c>
      <c r="AE19" s="24">
        <v>0</v>
      </c>
      <c r="AF19" s="90">
        <v>0</v>
      </c>
      <c r="AG19" s="24">
        <v>0</v>
      </c>
      <c r="AH19" s="90">
        <v>87395</v>
      </c>
      <c r="AI19" s="24" t="s">
        <v>102</v>
      </c>
      <c r="AJ19" s="24" t="s">
        <v>103</v>
      </c>
      <c r="AK19" s="90" t="s">
        <v>85</v>
      </c>
      <c r="AL19" s="90">
        <v>60493</v>
      </c>
      <c r="AM19" s="90" t="s">
        <v>81</v>
      </c>
      <c r="AN19" s="90" t="s">
        <v>163</v>
      </c>
      <c r="AO19" s="125" t="s">
        <v>169</v>
      </c>
      <c r="AP19" s="24" t="s">
        <v>167</v>
      </c>
      <c r="AQ19" s="90" t="s">
        <v>166</v>
      </c>
      <c r="AR19" s="24" t="s">
        <v>167</v>
      </c>
      <c r="AS19" s="90" t="s">
        <v>119</v>
      </c>
      <c r="AT19" s="24" t="s">
        <v>102</v>
      </c>
      <c r="AU19" s="90" t="s">
        <v>119</v>
      </c>
      <c r="AV19" s="90" t="str">
        <f>IF(ISNUMBER(SEARCH("disagree",AE19)),"N","Y")</f>
        <v>Y</v>
      </c>
      <c r="AW19" s="90" t="s">
        <v>119</v>
      </c>
      <c r="AX19" s="24" t="s">
        <v>119</v>
      </c>
      <c r="AY19" s="90" t="str">
        <f>CONCATENATE(AZ19,BA19,BB19,BC19)</f>
        <v/>
      </c>
      <c r="AZ19" s="90" t="str">
        <f>IF(ISNUMBER(SEARCH("Y",AC19)),"R","")</f>
        <v/>
      </c>
      <c r="BA19" s="90" t="str">
        <f>IF(ISNUMBER(SEARCH("Y",Y19)),"M","")</f>
        <v/>
      </c>
      <c r="BB19" s="90" t="str">
        <f>IF(ISNUMBER(SEARCH("Y",AB19)),"QC","")</f>
        <v/>
      </c>
      <c r="BC19" s="90" t="str">
        <f>IF(ISNUMBER(SEARCH("Y",Z19)),"S","")</f>
        <v/>
      </c>
      <c r="BD19" s="90"/>
      <c r="BE19" s="24" t="s">
        <v>119</v>
      </c>
      <c r="BF19" s="125" t="str">
        <f>IF(AND(AW19&gt;=56543,AW19&lt;=76543,LEN(AW19)&gt;0),"3 Feb 2020",IF(AND(AW19&gt;=66544,AW19&lt;=99999,LEN(AW19)&gt;0),"12 Sep 2020",""))</f>
        <v/>
      </c>
      <c r="BG19" s="125" t="str">
        <f>IF((AND(BF19="3 Feb 2020",LEN(BF19)&gt;0)),"Completed",IF((AND(BF19="12 Sep 2020",LEN(BF19)&gt;0)),"Pending",""))</f>
        <v/>
      </c>
      <c r="BH19" s="90" t="str">
        <f>IF((AND(BF19="3 Feb 2020",LEN(BF19)&gt;0)),"3 Feb 2020","")</f>
        <v/>
      </c>
      <c r="BI19" s="90">
        <v>60493</v>
      </c>
      <c r="BJ19" s="90" t="str">
        <f>L19</f>
        <v>1M31CS90744-99</v>
      </c>
      <c r="BK19" s="127">
        <v>43508</v>
      </c>
      <c r="BL19" s="127">
        <v>44239</v>
      </c>
      <c r="BM19" s="128">
        <f>P19*1.1</f>
        <v>955238.9</v>
      </c>
      <c r="BN19" s="129">
        <f>P19*0.9</f>
        <v>781559.1</v>
      </c>
      <c r="BO19" s="130">
        <f>P19*0.8</f>
        <v>694719.20000000007</v>
      </c>
      <c r="BP19" s="90">
        <f>IF(Z19="Y",BM19*0.4,BM19*1.05)</f>
        <v>1003000.8450000001</v>
      </c>
      <c r="BQ19" s="90">
        <f>BP19*0.8</f>
        <v>802400.67600000009</v>
      </c>
      <c r="BR19" s="90" t="str">
        <f>IF(ISNUMBER(SEARCH("subrecipient",AI15)),P19*0.6,"")</f>
        <v/>
      </c>
      <c r="BS19" s="90">
        <v>60493</v>
      </c>
      <c r="BT19" s="90" t="str">
        <f>BJ19</f>
        <v>1M31CS90744-99</v>
      </c>
      <c r="BU19" s="127">
        <f>BK19</f>
        <v>43508</v>
      </c>
      <c r="BV19" s="127">
        <f>BL19</f>
        <v>44239</v>
      </c>
      <c r="BW19" s="90" t="str">
        <f>H19</f>
        <v>CDC</v>
      </c>
      <c r="BX19" s="90" t="str">
        <f>IF(H19="NATIONAL HEMOPHILIA FOUNDATION","Non Federal","Federal")</f>
        <v>Federal</v>
      </c>
      <c r="BY19" s="128">
        <f>BM19</f>
        <v>955238.9</v>
      </c>
      <c r="BZ19" s="90" t="str">
        <f>IF(LEN(BR19)&gt;0,1,"")</f>
        <v/>
      </c>
      <c r="CA19" s="90" t="str">
        <f>IF(LEN(BR19)&gt;0,"VIRAL HEPATITIS PROJECT","")</f>
        <v/>
      </c>
      <c r="CB19" s="129" t="str">
        <f>IF(LEN(BR19)&gt;0,BM19*0.7,"")</f>
        <v/>
      </c>
      <c r="CC19" s="90">
        <f>BP19</f>
        <v>1003000.8450000001</v>
      </c>
      <c r="CD19" s="90" t="str">
        <f>IF(LEN(BR19)&gt;0,"70%","")</f>
        <v/>
      </c>
      <c r="CE19" s="90">
        <f>BS19</f>
        <v>60493</v>
      </c>
      <c r="CF19" s="90" t="str">
        <f>CA19</f>
        <v/>
      </c>
      <c r="CG19" s="90"/>
      <c r="CH19" s="90"/>
      <c r="CI19" s="90"/>
      <c r="CJ19" s="90"/>
      <c r="CK19" s="90"/>
      <c r="CL19" s="90"/>
      <c r="CM19" s="90"/>
      <c r="CN19" s="90"/>
      <c r="CO19" s="90"/>
      <c r="CP19" s="90"/>
      <c r="CQ19" s="90"/>
      <c r="CR19" s="90"/>
      <c r="CS19" s="90"/>
      <c r="CT19" s="137"/>
    </row>
    <row r="20" spans="1:98" ht="165">
      <c r="A20" s="89">
        <v>60493</v>
      </c>
      <c r="B20" s="90">
        <v>2020</v>
      </c>
      <c r="C20" s="90" t="s">
        <v>81</v>
      </c>
      <c r="D20" s="90" t="s">
        <v>163</v>
      </c>
      <c r="E20" s="125" t="s">
        <v>170</v>
      </c>
      <c r="F20" s="24" t="s">
        <v>165</v>
      </c>
      <c r="G20" s="90" t="s">
        <v>87</v>
      </c>
      <c r="H20" s="90" t="s">
        <v>86</v>
      </c>
      <c r="I20" s="90">
        <v>93</v>
      </c>
      <c r="J20" s="90">
        <v>157</v>
      </c>
      <c r="K20" s="90" t="s">
        <v>85</v>
      </c>
      <c r="L20" s="90" t="s">
        <v>166</v>
      </c>
      <c r="M20" s="90" t="s">
        <v>119</v>
      </c>
      <c r="N20" s="24" t="s">
        <v>167</v>
      </c>
      <c r="O20" s="24" t="str">
        <f>IF(ISNUMBER(SEARCH("Cancer",N20)),"Cancer",IF(ISNUMBER(SEARCH("health",N20)),"Public health",IF(ISNUMBER(SEARCH("disabilities",N20)),"Disabilities","Other")))</f>
        <v>Public health</v>
      </c>
      <c r="P20" s="126">
        <v>868399</v>
      </c>
      <c r="Q20" s="90" t="s">
        <v>85</v>
      </c>
      <c r="R20" s="90" t="str">
        <f>IF(P20&gt;20000000,"B","A")</f>
        <v>A</v>
      </c>
      <c r="S20" s="90" t="s">
        <v>90</v>
      </c>
      <c r="T20" s="90" t="s">
        <v>119</v>
      </c>
      <c r="U20" s="90" t="s">
        <v>119</v>
      </c>
      <c r="V20" s="90" t="s">
        <v>119</v>
      </c>
      <c r="W20" s="90" t="s">
        <v>119</v>
      </c>
      <c r="X20" s="90" t="s">
        <v>119</v>
      </c>
      <c r="Y20" s="90" t="s">
        <v>119</v>
      </c>
      <c r="Z20" s="90" t="s">
        <v>119</v>
      </c>
      <c r="AA20" s="90" t="s">
        <v>119</v>
      </c>
      <c r="AB20" s="90" t="s">
        <v>119</v>
      </c>
      <c r="AC20" s="90" t="s">
        <v>119</v>
      </c>
      <c r="AD20" s="90" t="s">
        <v>119</v>
      </c>
      <c r="AE20" s="24">
        <v>0</v>
      </c>
      <c r="AF20" s="90">
        <v>0</v>
      </c>
      <c r="AG20" s="24">
        <v>0</v>
      </c>
      <c r="AH20" s="90">
        <v>87391</v>
      </c>
      <c r="AI20" s="24" t="s">
        <v>171</v>
      </c>
      <c r="AJ20" s="24" t="s">
        <v>172</v>
      </c>
      <c r="AK20" s="90" t="s">
        <v>85</v>
      </c>
      <c r="AL20" s="90">
        <v>60493</v>
      </c>
      <c r="AM20" s="90" t="s">
        <v>81</v>
      </c>
      <c r="AN20" s="90" t="s">
        <v>163</v>
      </c>
      <c r="AO20" s="125" t="s">
        <v>170</v>
      </c>
      <c r="AP20" s="24" t="s">
        <v>167</v>
      </c>
      <c r="AQ20" s="90" t="s">
        <v>166</v>
      </c>
      <c r="AR20" s="24" t="s">
        <v>167</v>
      </c>
      <c r="AS20" s="90" t="s">
        <v>119</v>
      </c>
      <c r="AT20" s="24" t="s">
        <v>171</v>
      </c>
      <c r="AU20" s="90" t="s">
        <v>119</v>
      </c>
      <c r="AV20" s="90" t="str">
        <f>IF(ISNUMBER(SEARCH("disagree",AE20)),"N","Y")</f>
        <v>Y</v>
      </c>
      <c r="AW20" s="90" t="s">
        <v>119</v>
      </c>
      <c r="AX20" s="24" t="s">
        <v>119</v>
      </c>
      <c r="AY20" s="90" t="str">
        <f>CONCATENATE(AZ20,BA20,BB20,BC20)</f>
        <v/>
      </c>
      <c r="AZ20" s="90" t="str">
        <f>IF(ISNUMBER(SEARCH("Y",AC20)),"R","")</f>
        <v/>
      </c>
      <c r="BA20" s="90" t="str">
        <f>IF(ISNUMBER(SEARCH("Y",Y20)),"M","")</f>
        <v/>
      </c>
      <c r="BB20" s="90" t="str">
        <f>IF(ISNUMBER(SEARCH("Y",AB20)),"QC","")</f>
        <v/>
      </c>
      <c r="BC20" s="90" t="str">
        <f>IF(ISNUMBER(SEARCH("Y",Z20)),"S","")</f>
        <v/>
      </c>
      <c r="BD20" s="90"/>
      <c r="BE20" s="24" t="s">
        <v>119</v>
      </c>
      <c r="BF20" s="125" t="str">
        <f>IF(AND(AW20&gt;=56543,AW20&lt;=76543,LEN(AW20)&gt;0),"3 Feb 2020",IF(AND(AW20&gt;=66544,AW20&lt;=99999,LEN(AW20)&gt;0),"12 Sep 2020",""))</f>
        <v/>
      </c>
      <c r="BG20" s="125" t="str">
        <f>IF((AND(BF20="3 Feb 2020",LEN(BF20)&gt;0)),"Completed",IF((AND(BF20="12 Sep 2020",LEN(BF20)&gt;0)),"Pending",""))</f>
        <v/>
      </c>
      <c r="BH20" s="90" t="str">
        <f>IF((AND(BF20="3 Feb 2020",LEN(BF20)&gt;0)),"3 Feb 2020","")</f>
        <v/>
      </c>
      <c r="BI20" s="90">
        <v>60493</v>
      </c>
      <c r="BJ20" s="90" t="str">
        <f>L20</f>
        <v>1M31CS90744-99</v>
      </c>
      <c r="BK20" s="127">
        <v>43508</v>
      </c>
      <c r="BL20" s="127">
        <v>44239</v>
      </c>
      <c r="BM20" s="128">
        <f>P20*1.1</f>
        <v>955238.9</v>
      </c>
      <c r="BN20" s="129">
        <f>P20*0.9</f>
        <v>781559.1</v>
      </c>
      <c r="BO20" s="130">
        <f>P20*0.8</f>
        <v>694719.20000000007</v>
      </c>
      <c r="BP20" s="90">
        <f>IF(Z20="Y",BM20*0.4,BM20*1.05)</f>
        <v>1003000.8450000001</v>
      </c>
      <c r="BQ20" s="90">
        <f>BP20*0.8</f>
        <v>802400.67600000009</v>
      </c>
      <c r="BR20" s="90" t="str">
        <f>IF(ISNUMBER(SEARCH("subrecipient",AI16)),P20*0.6,"")</f>
        <v/>
      </c>
      <c r="BS20" s="90">
        <v>60493</v>
      </c>
      <c r="BT20" s="90" t="str">
        <f>BJ20</f>
        <v>1M31CS90744-99</v>
      </c>
      <c r="BU20" s="127">
        <f>BK20</f>
        <v>43508</v>
      </c>
      <c r="BV20" s="127">
        <f>BL20</f>
        <v>44239</v>
      </c>
      <c r="BW20" s="90" t="str">
        <f>H20</f>
        <v>CDC</v>
      </c>
      <c r="BX20" s="90" t="str">
        <f>IF(H20="NATIONAL HEMOPHILIA FOUNDATION","Non Federal","Federal")</f>
        <v>Federal</v>
      </c>
      <c r="BY20" s="128">
        <f>BM20</f>
        <v>955238.9</v>
      </c>
      <c r="BZ20" s="90" t="str">
        <f>IF(LEN(BR20)&gt;0,1,"")</f>
        <v/>
      </c>
      <c r="CA20" s="90" t="str">
        <f>IF(LEN(BR20)&gt;0,"VIRAL HEPATITIS PROJECT","")</f>
        <v/>
      </c>
      <c r="CB20" s="129" t="str">
        <f>IF(LEN(BR20)&gt;0,BM20*0.7,"")</f>
        <v/>
      </c>
      <c r="CC20" s="90">
        <f>BP20</f>
        <v>1003000.8450000001</v>
      </c>
      <c r="CD20" s="90" t="str">
        <f>IF(LEN(BR20)&gt;0,"70%","")</f>
        <v/>
      </c>
      <c r="CE20" s="90">
        <f>BS20</f>
        <v>60493</v>
      </c>
      <c r="CF20" s="90" t="str">
        <f>CA20</f>
        <v/>
      </c>
      <c r="CG20" s="90"/>
      <c r="CH20" s="90"/>
      <c r="CI20" s="90"/>
      <c r="CJ20" s="90"/>
      <c r="CK20" s="90"/>
      <c r="CL20" s="90"/>
      <c r="CM20" s="90"/>
      <c r="CN20" s="90"/>
      <c r="CO20" s="90"/>
      <c r="CP20" s="90"/>
      <c r="CQ20" s="90"/>
      <c r="CR20" s="90"/>
      <c r="CS20" s="90"/>
      <c r="CT20" s="137"/>
    </row>
    <row r="21" spans="1:98" ht="165">
      <c r="A21" s="89">
        <v>60493</v>
      </c>
      <c r="B21" s="90">
        <v>2020</v>
      </c>
      <c r="C21" s="90" t="s">
        <v>81</v>
      </c>
      <c r="D21" s="90" t="s">
        <v>163</v>
      </c>
      <c r="E21" s="125" t="s">
        <v>173</v>
      </c>
      <c r="F21" s="24" t="s">
        <v>165</v>
      </c>
      <c r="G21" s="90" t="s">
        <v>87</v>
      </c>
      <c r="H21" s="90" t="s">
        <v>86</v>
      </c>
      <c r="I21" s="90">
        <v>93</v>
      </c>
      <c r="J21" s="90">
        <v>157</v>
      </c>
      <c r="K21" s="90" t="s">
        <v>85</v>
      </c>
      <c r="L21" s="90" t="s">
        <v>166</v>
      </c>
      <c r="M21" s="90" t="s">
        <v>119</v>
      </c>
      <c r="N21" s="24" t="s">
        <v>167</v>
      </c>
      <c r="O21" s="24" t="str">
        <f>IF(ISNUMBER(SEARCH("Cancer",N21)),"Cancer",IF(ISNUMBER(SEARCH("health",N21)),"Public health",IF(ISNUMBER(SEARCH("disabilities",N21)),"Disabilities","Other")))</f>
        <v>Public health</v>
      </c>
      <c r="P21" s="126">
        <v>868399</v>
      </c>
      <c r="Q21" s="90" t="s">
        <v>85</v>
      </c>
      <c r="R21" s="90" t="str">
        <f>IF(P21&gt;20000000,"B","A")</f>
        <v>A</v>
      </c>
      <c r="S21" s="90" t="s">
        <v>90</v>
      </c>
      <c r="T21" s="90" t="s">
        <v>119</v>
      </c>
      <c r="U21" s="90" t="s">
        <v>119</v>
      </c>
      <c r="V21" s="90" t="s">
        <v>119</v>
      </c>
      <c r="W21" s="90" t="s">
        <v>119</v>
      </c>
      <c r="X21" s="90" t="s">
        <v>119</v>
      </c>
      <c r="Y21" s="90" t="s">
        <v>119</v>
      </c>
      <c r="Z21" s="90" t="s">
        <v>119</v>
      </c>
      <c r="AA21" s="90" t="s">
        <v>119</v>
      </c>
      <c r="AB21" s="90" t="s">
        <v>119</v>
      </c>
      <c r="AC21" s="90" t="s">
        <v>119</v>
      </c>
      <c r="AD21" s="90" t="s">
        <v>119</v>
      </c>
      <c r="AE21" s="24">
        <v>0</v>
      </c>
      <c r="AF21" s="90">
        <v>0</v>
      </c>
      <c r="AG21" s="24">
        <v>0</v>
      </c>
      <c r="AH21" s="90">
        <v>87392</v>
      </c>
      <c r="AI21" s="24" t="s">
        <v>174</v>
      </c>
      <c r="AJ21" s="24" t="s">
        <v>175</v>
      </c>
      <c r="AK21" s="90" t="s">
        <v>85</v>
      </c>
      <c r="AL21" s="90">
        <v>60493</v>
      </c>
      <c r="AM21" s="90" t="s">
        <v>81</v>
      </c>
      <c r="AN21" s="90" t="s">
        <v>163</v>
      </c>
      <c r="AO21" s="125" t="s">
        <v>173</v>
      </c>
      <c r="AP21" s="24" t="s">
        <v>167</v>
      </c>
      <c r="AQ21" s="90" t="s">
        <v>166</v>
      </c>
      <c r="AR21" s="24" t="s">
        <v>167</v>
      </c>
      <c r="AS21" s="90" t="s">
        <v>119</v>
      </c>
      <c r="AT21" s="24" t="s">
        <v>174</v>
      </c>
      <c r="AU21" s="90" t="s">
        <v>119</v>
      </c>
      <c r="AV21" s="90" t="str">
        <f>IF(ISNUMBER(SEARCH("disagree",AE21)),"N","Y")</f>
        <v>Y</v>
      </c>
      <c r="AW21" s="90" t="s">
        <v>119</v>
      </c>
      <c r="AX21" s="24" t="s">
        <v>119</v>
      </c>
      <c r="AY21" s="90" t="str">
        <f>CONCATENATE(AZ21,BA21,BB21,BC21)</f>
        <v/>
      </c>
      <c r="AZ21" s="90" t="str">
        <f>IF(ISNUMBER(SEARCH("Y",AC21)),"R","")</f>
        <v/>
      </c>
      <c r="BA21" s="90" t="str">
        <f>IF(ISNUMBER(SEARCH("Y",Y21)),"M","")</f>
        <v/>
      </c>
      <c r="BB21" s="90" t="str">
        <f>IF(ISNUMBER(SEARCH("Y",AB21)),"QC","")</f>
        <v/>
      </c>
      <c r="BC21" s="90" t="str">
        <f>IF(ISNUMBER(SEARCH("Y",Z21)),"S","")</f>
        <v/>
      </c>
      <c r="BD21" s="90"/>
      <c r="BE21" s="24" t="s">
        <v>119</v>
      </c>
      <c r="BF21" s="125" t="str">
        <f>IF(AND(AW21&gt;=56543,AW21&lt;=76543,LEN(AW21)&gt;0),"3 Feb 2020",IF(AND(AW21&gt;=66544,AW21&lt;=99999,LEN(AW21)&gt;0),"12 Sep 2020",""))</f>
        <v/>
      </c>
      <c r="BG21" s="125" t="str">
        <f>IF((AND(BF21="3 Feb 2020",LEN(BF21)&gt;0)),"Completed",IF((AND(BF21="12 Sep 2020",LEN(BF21)&gt;0)),"Pending",""))</f>
        <v/>
      </c>
      <c r="BH21" s="90" t="str">
        <f>IF((AND(BF21="3 Feb 2020",LEN(BF21)&gt;0)),"3 Feb 2020","")</f>
        <v/>
      </c>
      <c r="BI21" s="90">
        <v>60493</v>
      </c>
      <c r="BJ21" s="90" t="str">
        <f>L21</f>
        <v>1M31CS90744-99</v>
      </c>
      <c r="BK21" s="127">
        <v>43508</v>
      </c>
      <c r="BL21" s="127">
        <v>44239</v>
      </c>
      <c r="BM21" s="128">
        <f>P21*1.1</f>
        <v>955238.9</v>
      </c>
      <c r="BN21" s="129">
        <f>P21*0.9</f>
        <v>781559.1</v>
      </c>
      <c r="BO21" s="130">
        <f>P21*0.8</f>
        <v>694719.20000000007</v>
      </c>
      <c r="BP21" s="90">
        <f>IF(Z21="Y",BM21*0.4,BM21*1.05)</f>
        <v>1003000.8450000001</v>
      </c>
      <c r="BQ21" s="90">
        <f>BP21*0.8</f>
        <v>802400.67600000009</v>
      </c>
      <c r="BR21" s="90" t="str">
        <f>IF(ISNUMBER(SEARCH("subrecipient",AI17)),P21*0.6,"")</f>
        <v/>
      </c>
      <c r="BS21" s="90">
        <v>60493</v>
      </c>
      <c r="BT21" s="90" t="str">
        <f>BJ21</f>
        <v>1M31CS90744-99</v>
      </c>
      <c r="BU21" s="127">
        <f>BK21</f>
        <v>43508</v>
      </c>
      <c r="BV21" s="127">
        <f>BL21</f>
        <v>44239</v>
      </c>
      <c r="BW21" s="90" t="str">
        <f>H21</f>
        <v>CDC</v>
      </c>
      <c r="BX21" s="90" t="str">
        <f>IF(H21="NATIONAL HEMOPHILIA FOUNDATION","Non Federal","Federal")</f>
        <v>Federal</v>
      </c>
      <c r="BY21" s="128">
        <f>BM21</f>
        <v>955238.9</v>
      </c>
      <c r="BZ21" s="90" t="str">
        <f>IF(LEN(BR21)&gt;0,1,"")</f>
        <v/>
      </c>
      <c r="CA21" s="90" t="str">
        <f>IF(LEN(BR21)&gt;0,"VIRAL HEPATITIS PROJECT","")</f>
        <v/>
      </c>
      <c r="CB21" s="129" t="str">
        <f>IF(LEN(BR21)&gt;0,BM21*0.7,"")</f>
        <v/>
      </c>
      <c r="CC21" s="90">
        <f>BP21</f>
        <v>1003000.8450000001</v>
      </c>
      <c r="CD21" s="90" t="str">
        <f>IF(LEN(BR21)&gt;0,"70%","")</f>
        <v/>
      </c>
      <c r="CE21" s="90">
        <f>BS21</f>
        <v>60493</v>
      </c>
      <c r="CF21" s="90" t="str">
        <f>CA21</f>
        <v/>
      </c>
      <c r="CG21" s="90"/>
      <c r="CH21" s="90"/>
      <c r="CI21" s="90"/>
      <c r="CJ21" s="90"/>
      <c r="CK21" s="90"/>
      <c r="CL21" s="90"/>
      <c r="CM21" s="90"/>
      <c r="CN21" s="90"/>
      <c r="CO21" s="90"/>
      <c r="CP21" s="90"/>
      <c r="CQ21" s="90"/>
      <c r="CR21" s="90"/>
      <c r="CS21" s="90"/>
      <c r="CT21" s="137"/>
    </row>
    <row r="22" spans="1:98" ht="165">
      <c r="A22" s="89">
        <v>60493</v>
      </c>
      <c r="B22" s="90">
        <v>2020</v>
      </c>
      <c r="C22" s="90" t="s">
        <v>81</v>
      </c>
      <c r="D22" s="90" t="s">
        <v>163</v>
      </c>
      <c r="E22" s="125" t="s">
        <v>176</v>
      </c>
      <c r="F22" s="24" t="s">
        <v>165</v>
      </c>
      <c r="G22" s="90" t="s">
        <v>87</v>
      </c>
      <c r="H22" s="90" t="s">
        <v>86</v>
      </c>
      <c r="I22" s="90">
        <v>93</v>
      </c>
      <c r="J22" s="90">
        <v>157</v>
      </c>
      <c r="K22" s="90" t="s">
        <v>85</v>
      </c>
      <c r="L22" s="90" t="s">
        <v>166</v>
      </c>
      <c r="M22" s="90" t="s">
        <v>119</v>
      </c>
      <c r="N22" s="24" t="s">
        <v>167</v>
      </c>
      <c r="O22" s="24" t="str">
        <f>IF(ISNUMBER(SEARCH("Cancer",N22)),"Cancer",IF(ISNUMBER(SEARCH("health",N22)),"Public health",IF(ISNUMBER(SEARCH("disabilities",N22)),"Disabilities","Other")))</f>
        <v>Public health</v>
      </c>
      <c r="P22" s="126">
        <v>868399</v>
      </c>
      <c r="Q22" s="90" t="s">
        <v>85</v>
      </c>
      <c r="R22" s="90" t="str">
        <f>IF(P22&gt;20000000,"B","A")</f>
        <v>A</v>
      </c>
      <c r="S22" s="90" t="s">
        <v>90</v>
      </c>
      <c r="T22" s="90" t="s">
        <v>119</v>
      </c>
      <c r="U22" s="90" t="s">
        <v>119</v>
      </c>
      <c r="V22" s="90" t="s">
        <v>119</v>
      </c>
      <c r="W22" s="90" t="s">
        <v>119</v>
      </c>
      <c r="X22" s="90" t="s">
        <v>119</v>
      </c>
      <c r="Y22" s="90" t="s">
        <v>119</v>
      </c>
      <c r="Z22" s="90" t="s">
        <v>119</v>
      </c>
      <c r="AA22" s="90" t="s">
        <v>119</v>
      </c>
      <c r="AB22" s="90" t="s">
        <v>119</v>
      </c>
      <c r="AC22" s="90" t="s">
        <v>119</v>
      </c>
      <c r="AD22" s="90" t="s">
        <v>119</v>
      </c>
      <c r="AE22" s="24">
        <v>0</v>
      </c>
      <c r="AF22" s="90">
        <v>0</v>
      </c>
      <c r="AG22" s="24">
        <v>0</v>
      </c>
      <c r="AH22" s="90">
        <v>87394</v>
      </c>
      <c r="AI22" s="24" t="s">
        <v>139</v>
      </c>
      <c r="AJ22" s="24" t="s">
        <v>177</v>
      </c>
      <c r="AK22" s="90" t="s">
        <v>85</v>
      </c>
      <c r="AL22" s="90">
        <v>60493</v>
      </c>
      <c r="AM22" s="90" t="s">
        <v>81</v>
      </c>
      <c r="AN22" s="90" t="s">
        <v>163</v>
      </c>
      <c r="AO22" s="125" t="s">
        <v>176</v>
      </c>
      <c r="AP22" s="24" t="s">
        <v>167</v>
      </c>
      <c r="AQ22" s="90" t="s">
        <v>166</v>
      </c>
      <c r="AR22" s="24" t="s">
        <v>167</v>
      </c>
      <c r="AS22" s="90" t="s">
        <v>119</v>
      </c>
      <c r="AT22" s="24" t="s">
        <v>139</v>
      </c>
      <c r="AU22" s="90" t="s">
        <v>119</v>
      </c>
      <c r="AV22" s="90" t="str">
        <f>IF(ISNUMBER(SEARCH("disagree",AE22)),"N","Y")</f>
        <v>Y</v>
      </c>
      <c r="AW22" s="90" t="s">
        <v>119</v>
      </c>
      <c r="AX22" s="24" t="s">
        <v>119</v>
      </c>
      <c r="AY22" s="90" t="str">
        <f>CONCATENATE(AZ22,BA22,BB22,BC22)</f>
        <v/>
      </c>
      <c r="AZ22" s="90" t="str">
        <f>IF(ISNUMBER(SEARCH("Y",AC22)),"R","")</f>
        <v/>
      </c>
      <c r="BA22" s="90" t="str">
        <f>IF(ISNUMBER(SEARCH("Y",Y22)),"M","")</f>
        <v/>
      </c>
      <c r="BB22" s="90" t="str">
        <f>IF(ISNUMBER(SEARCH("Y",AB22)),"QC","")</f>
        <v/>
      </c>
      <c r="BC22" s="90" t="str">
        <f>IF(ISNUMBER(SEARCH("Y",Z22)),"S","")</f>
        <v/>
      </c>
      <c r="BD22" s="90"/>
      <c r="BE22" s="24" t="s">
        <v>119</v>
      </c>
      <c r="BF22" s="125" t="str">
        <f>IF(AND(AW22&gt;=56543,AW22&lt;=76543,LEN(AW22)&gt;0),"3 Feb 2020",IF(AND(AW22&gt;=66544,AW22&lt;=99999,LEN(AW22)&gt;0),"12 Sep 2020",""))</f>
        <v/>
      </c>
      <c r="BG22" s="125" t="str">
        <f>IF((AND(BF22="3 Feb 2020",LEN(BF22)&gt;0)),"Completed",IF((AND(BF22="12 Sep 2020",LEN(BF22)&gt;0)),"Pending",""))</f>
        <v/>
      </c>
      <c r="BH22" s="90" t="str">
        <f>IF((AND(BF22="3 Feb 2020",LEN(BF22)&gt;0)),"3 Feb 2020","")</f>
        <v/>
      </c>
      <c r="BI22" s="90">
        <v>60493</v>
      </c>
      <c r="BJ22" s="90" t="str">
        <f>L22</f>
        <v>1M31CS90744-99</v>
      </c>
      <c r="BK22" s="127">
        <v>43508</v>
      </c>
      <c r="BL22" s="127">
        <v>44239</v>
      </c>
      <c r="BM22" s="128">
        <f>P22*1.1</f>
        <v>955238.9</v>
      </c>
      <c r="BN22" s="129">
        <f>P22*0.9</f>
        <v>781559.1</v>
      </c>
      <c r="BO22" s="130">
        <f>P22*0.8</f>
        <v>694719.20000000007</v>
      </c>
      <c r="BP22" s="90">
        <f>IF(Z22="Y",BM22*0.4,BM22*1.05)</f>
        <v>1003000.8450000001</v>
      </c>
      <c r="BQ22" s="90">
        <f>BP22*0.8</f>
        <v>802400.67600000009</v>
      </c>
      <c r="BR22" s="90">
        <f>IF(ISNUMBER(SEARCH("subrecipient",AI22)),P22*0.6,"")</f>
        <v>521039.39999999997</v>
      </c>
      <c r="BS22" s="90">
        <v>60493</v>
      </c>
      <c r="BT22" s="90" t="str">
        <f>BJ22</f>
        <v>1M31CS90744-99</v>
      </c>
      <c r="BU22" s="127">
        <f>BK22</f>
        <v>43508</v>
      </c>
      <c r="BV22" s="127">
        <f>BL22</f>
        <v>44239</v>
      </c>
      <c r="BW22" s="90" t="str">
        <f>H22</f>
        <v>CDC</v>
      </c>
      <c r="BX22" s="90" t="str">
        <f>IF(H22="NATIONAL HEMOPHILIA FOUNDATION","Non Federal","Federal")</f>
        <v>Federal</v>
      </c>
      <c r="BY22" s="128">
        <f>BM22</f>
        <v>955238.9</v>
      </c>
      <c r="BZ22" s="90">
        <f>IF(LEN(BR22)&gt;0,1,"")</f>
        <v>1</v>
      </c>
      <c r="CA22" s="90" t="str">
        <f>IF(LEN(BR22)&gt;0,"VIRAL HEPATITIS PROJECT","")</f>
        <v>VIRAL HEPATITIS PROJECT</v>
      </c>
      <c r="CB22" s="129">
        <f>IF(LEN(BR22)&gt;0,BM22*0.7,"")</f>
        <v>668667.23</v>
      </c>
      <c r="CC22" s="90">
        <f>BP22</f>
        <v>1003000.8450000001</v>
      </c>
      <c r="CD22" s="90" t="str">
        <f>IF(LEN(BR22)&gt;0,"70%","")</f>
        <v>70%</v>
      </c>
      <c r="CE22" s="90">
        <f>BS22</f>
        <v>60493</v>
      </c>
      <c r="CF22" s="90" t="str">
        <f>CA22</f>
        <v>VIRAL HEPATITIS PROJECT</v>
      </c>
      <c r="CG22" s="90"/>
      <c r="CH22" s="90"/>
      <c r="CI22" s="90"/>
      <c r="CJ22" s="90"/>
      <c r="CK22" s="90"/>
      <c r="CL22" s="90"/>
      <c r="CM22" s="90"/>
      <c r="CN22" s="90"/>
      <c r="CO22" s="90"/>
      <c r="CP22" s="90"/>
      <c r="CQ22" s="90"/>
      <c r="CR22" s="90"/>
      <c r="CS22" s="90"/>
      <c r="CT22" s="137"/>
    </row>
    <row r="23" spans="1:98" ht="75">
      <c r="A23" s="89">
        <v>61898</v>
      </c>
      <c r="B23" s="90">
        <v>2020</v>
      </c>
      <c r="C23" s="90" t="s">
        <v>81</v>
      </c>
      <c r="D23" s="90" t="s">
        <v>178</v>
      </c>
      <c r="E23" s="125" t="s">
        <v>179</v>
      </c>
      <c r="F23" s="24" t="s">
        <v>180</v>
      </c>
      <c r="G23" s="90" t="s">
        <v>85</v>
      </c>
      <c r="H23" s="90" t="s">
        <v>117</v>
      </c>
      <c r="I23" s="90">
        <v>93</v>
      </c>
      <c r="J23" s="90">
        <v>157</v>
      </c>
      <c r="K23" s="90" t="s">
        <v>85</v>
      </c>
      <c r="L23" s="90" t="s">
        <v>181</v>
      </c>
      <c r="M23" s="90" t="s">
        <v>119</v>
      </c>
      <c r="N23" s="24" t="s">
        <v>134</v>
      </c>
      <c r="O23" s="24" t="str">
        <f>IF(ISNUMBER(SEARCH("Cancer",N23)),"Cancer",IF(ISNUMBER(SEARCH("health",N23)),"Public health",IF(ISNUMBER(SEARCH("disabilities",N23)),"Disabilities","Other")))</f>
        <v>Other</v>
      </c>
      <c r="P23" s="126">
        <v>807659</v>
      </c>
      <c r="Q23" s="90" t="s">
        <v>85</v>
      </c>
      <c r="R23" s="90" t="str">
        <f>IF(P23&gt;20000000,"B","A")</f>
        <v>A</v>
      </c>
      <c r="S23" s="90" t="s">
        <v>90</v>
      </c>
      <c r="T23" s="90" t="s">
        <v>119</v>
      </c>
      <c r="U23" s="90" t="s">
        <v>119</v>
      </c>
      <c r="V23" s="90" t="s">
        <v>119</v>
      </c>
      <c r="W23" s="90" t="s">
        <v>119</v>
      </c>
      <c r="X23" s="90" t="s">
        <v>119</v>
      </c>
      <c r="Y23" s="90" t="s">
        <v>119</v>
      </c>
      <c r="Z23" s="90" t="s">
        <v>119</v>
      </c>
      <c r="AA23" s="90" t="s">
        <v>119</v>
      </c>
      <c r="AB23" s="90" t="s">
        <v>119</v>
      </c>
      <c r="AC23" s="90" t="s">
        <v>119</v>
      </c>
      <c r="AD23" s="90" t="s">
        <v>119</v>
      </c>
      <c r="AE23" s="24">
        <v>0</v>
      </c>
      <c r="AF23" s="90">
        <v>0</v>
      </c>
      <c r="AG23" s="24">
        <v>0</v>
      </c>
      <c r="AH23" s="90">
        <v>87137</v>
      </c>
      <c r="AI23" s="24" t="s">
        <v>94</v>
      </c>
      <c r="AJ23" s="24" t="s">
        <v>182</v>
      </c>
      <c r="AK23" s="90" t="s">
        <v>85</v>
      </c>
      <c r="AL23" s="90">
        <v>61898</v>
      </c>
      <c r="AM23" s="90" t="s">
        <v>81</v>
      </c>
      <c r="AN23" s="90" t="s">
        <v>178</v>
      </c>
      <c r="AO23" s="125" t="s">
        <v>179</v>
      </c>
      <c r="AP23" s="24" t="s">
        <v>134</v>
      </c>
      <c r="AQ23" s="90" t="s">
        <v>181</v>
      </c>
      <c r="AR23" s="24" t="s">
        <v>134</v>
      </c>
      <c r="AS23" s="90" t="s">
        <v>119</v>
      </c>
      <c r="AT23" s="24" t="s">
        <v>94</v>
      </c>
      <c r="AU23" s="90" t="s">
        <v>119</v>
      </c>
      <c r="AV23" s="90" t="str">
        <f>IF(ISNUMBER(SEARCH("disagree",AE23)),"N","Y")</f>
        <v>Y</v>
      </c>
      <c r="AW23" s="90" t="s">
        <v>119</v>
      </c>
      <c r="AX23" s="24" t="s">
        <v>119</v>
      </c>
      <c r="AY23" s="90" t="str">
        <f>CONCATENATE(AZ23,BA23,BB23,BC23)</f>
        <v/>
      </c>
      <c r="AZ23" s="90" t="str">
        <f>IF(ISNUMBER(SEARCH("Y",AC23)),"R","")</f>
        <v/>
      </c>
      <c r="BA23" s="90" t="str">
        <f>IF(ISNUMBER(SEARCH("Y",Y23)),"M","")</f>
        <v/>
      </c>
      <c r="BB23" s="90" t="str">
        <f>IF(ISNUMBER(SEARCH("Y",AB23)),"QC","")</f>
        <v/>
      </c>
      <c r="BC23" s="90" t="str">
        <f>IF(ISNUMBER(SEARCH("Y",Z23)),"S","")</f>
        <v/>
      </c>
      <c r="BD23" s="90"/>
      <c r="BE23" s="24" t="s">
        <v>119</v>
      </c>
      <c r="BF23" s="125" t="str">
        <f>IF(AND(AW23&gt;=56543,AW23&lt;=76543,LEN(AW23)&gt;0),"3 Feb 2020",IF(AND(AW23&gt;=66544,AW23&lt;=99999,LEN(AW23)&gt;0),"12 Sep 2020",""))</f>
        <v/>
      </c>
      <c r="BG23" s="125" t="str">
        <f>IF((AND(BF23="3 Feb 2020",LEN(BF23)&gt;0)),"Completed",IF((AND(BF23="12 Sep 2020",LEN(BF23)&gt;0)),"Pending",""))</f>
        <v/>
      </c>
      <c r="BH23" s="90" t="str">
        <f>IF((AND(BF23="3 Feb 2020",LEN(BF23)&gt;0)),"3 Feb 2020","")</f>
        <v/>
      </c>
      <c r="BI23" s="90">
        <v>61898</v>
      </c>
      <c r="BJ23" s="90" t="str">
        <f>L23</f>
        <v>8H11AT87392-89</v>
      </c>
      <c r="BK23" s="127">
        <v>43508</v>
      </c>
      <c r="BL23" s="127">
        <v>44239</v>
      </c>
      <c r="BM23" s="128">
        <f>P23*1.1</f>
        <v>888424.9</v>
      </c>
      <c r="BN23" s="129">
        <f>P23*0.9</f>
        <v>726893.1</v>
      </c>
      <c r="BO23" s="130">
        <f>P23*0.8</f>
        <v>646127.20000000007</v>
      </c>
      <c r="BP23" s="90">
        <f>IF(Z23="Y",BM23*0.4,BM23*1.05)</f>
        <v>932846.14500000002</v>
      </c>
      <c r="BQ23" s="90">
        <f>BP23*0.8</f>
        <v>746276.91600000008</v>
      </c>
      <c r="BR23" s="90" t="str">
        <f>IF(ISNUMBER(SEARCH("subrecipient",AI19)),P23*0.6,"")</f>
        <v/>
      </c>
      <c r="BS23" s="90">
        <v>61898</v>
      </c>
      <c r="BT23" s="90" t="str">
        <f>BJ23</f>
        <v>8H11AT87392-89</v>
      </c>
      <c r="BU23" s="127">
        <f>BK23</f>
        <v>43508</v>
      </c>
      <c r="BV23" s="127">
        <f>BL23</f>
        <v>44239</v>
      </c>
      <c r="BW23" s="90" t="str">
        <f>H23</f>
        <v>NIH</v>
      </c>
      <c r="BX23" s="90" t="str">
        <f>IF(H23="NATIONAL HEMOPHILIA FOUNDATION","Non Federal","Federal")</f>
        <v>Federal</v>
      </c>
      <c r="BY23" s="128">
        <f>BM23</f>
        <v>888424.9</v>
      </c>
      <c r="BZ23" s="90" t="str">
        <f>IF(LEN(BR23)&gt;0,1,"")</f>
        <v/>
      </c>
      <c r="CA23" s="90" t="str">
        <f>IF(LEN(BR23)&gt;0,"VIRAL HEPATITIS PROJECT","")</f>
        <v/>
      </c>
      <c r="CB23" s="129" t="str">
        <f>IF(LEN(BR23)&gt;0,BM23*0.7,"")</f>
        <v/>
      </c>
      <c r="CC23" s="90">
        <f>BP23</f>
        <v>932846.14500000002</v>
      </c>
      <c r="CD23" s="90" t="str">
        <f>IF(LEN(BR23)&gt;0,"70%","")</f>
        <v/>
      </c>
      <c r="CE23" s="90">
        <f>BS23</f>
        <v>61898</v>
      </c>
      <c r="CF23" s="90" t="str">
        <f>CA23</f>
        <v/>
      </c>
      <c r="CG23" s="90"/>
      <c r="CH23" s="90"/>
      <c r="CI23" s="90"/>
      <c r="CJ23" s="90"/>
      <c r="CK23" s="90"/>
      <c r="CL23" s="90"/>
      <c r="CM23" s="90"/>
      <c r="CN23" s="90"/>
      <c r="CO23" s="90"/>
      <c r="CP23" s="90"/>
      <c r="CQ23" s="90"/>
      <c r="CR23" s="90"/>
      <c r="CS23" s="90"/>
      <c r="CT23" s="137"/>
    </row>
    <row r="24" spans="1:98" ht="75">
      <c r="A24" s="89">
        <v>61898</v>
      </c>
      <c r="B24" s="90">
        <v>2020</v>
      </c>
      <c r="C24" s="90" t="s">
        <v>81</v>
      </c>
      <c r="D24" s="90" t="s">
        <v>178</v>
      </c>
      <c r="E24" s="125" t="s">
        <v>183</v>
      </c>
      <c r="F24" s="24" t="s">
        <v>180</v>
      </c>
      <c r="G24" s="90" t="s">
        <v>85</v>
      </c>
      <c r="H24" s="90" t="s">
        <v>117</v>
      </c>
      <c r="I24" s="90">
        <v>93</v>
      </c>
      <c r="J24" s="90">
        <v>157</v>
      </c>
      <c r="K24" s="90" t="s">
        <v>85</v>
      </c>
      <c r="L24" s="90" t="s">
        <v>181</v>
      </c>
      <c r="M24" s="90" t="s">
        <v>119</v>
      </c>
      <c r="N24" s="24" t="s">
        <v>134</v>
      </c>
      <c r="O24" s="24" t="str">
        <f>IF(ISNUMBER(SEARCH("Cancer",N24)),"Cancer",IF(ISNUMBER(SEARCH("health",N24)),"Public health",IF(ISNUMBER(SEARCH("disabilities",N24)),"Disabilities","Other")))</f>
        <v>Other</v>
      </c>
      <c r="P24" s="126">
        <v>807659</v>
      </c>
      <c r="Q24" s="90" t="s">
        <v>85</v>
      </c>
      <c r="R24" s="90" t="str">
        <f>IF(P24&gt;20000000,"B","A")</f>
        <v>A</v>
      </c>
      <c r="S24" s="90" t="s">
        <v>90</v>
      </c>
      <c r="T24" s="90" t="s">
        <v>119</v>
      </c>
      <c r="U24" s="90" t="s">
        <v>119</v>
      </c>
      <c r="V24" s="90" t="s">
        <v>119</v>
      </c>
      <c r="W24" s="90" t="s">
        <v>119</v>
      </c>
      <c r="X24" s="90" t="s">
        <v>119</v>
      </c>
      <c r="Y24" s="90" t="s">
        <v>119</v>
      </c>
      <c r="Z24" s="90" t="s">
        <v>119</v>
      </c>
      <c r="AA24" s="90" t="s">
        <v>119</v>
      </c>
      <c r="AB24" s="90" t="s">
        <v>119</v>
      </c>
      <c r="AC24" s="90" t="s">
        <v>119</v>
      </c>
      <c r="AD24" s="90" t="s">
        <v>119</v>
      </c>
      <c r="AE24" s="24">
        <v>0</v>
      </c>
      <c r="AF24" s="90">
        <v>0</v>
      </c>
      <c r="AG24" s="24">
        <v>0</v>
      </c>
      <c r="AH24" s="90">
        <v>87138</v>
      </c>
      <c r="AI24" s="24" t="s">
        <v>102</v>
      </c>
      <c r="AJ24" s="24" t="s">
        <v>184</v>
      </c>
      <c r="AK24" s="90" t="s">
        <v>85</v>
      </c>
      <c r="AL24" s="90">
        <v>61898</v>
      </c>
      <c r="AM24" s="90" t="s">
        <v>81</v>
      </c>
      <c r="AN24" s="90" t="s">
        <v>178</v>
      </c>
      <c r="AO24" s="125" t="s">
        <v>183</v>
      </c>
      <c r="AP24" s="24" t="s">
        <v>134</v>
      </c>
      <c r="AQ24" s="90" t="s">
        <v>181</v>
      </c>
      <c r="AR24" s="24" t="s">
        <v>134</v>
      </c>
      <c r="AS24" s="90" t="s">
        <v>119</v>
      </c>
      <c r="AT24" s="24" t="s">
        <v>102</v>
      </c>
      <c r="AU24" s="90" t="s">
        <v>119</v>
      </c>
      <c r="AV24" s="90" t="str">
        <f>IF(ISNUMBER(SEARCH("disagree",AE24)),"N","Y")</f>
        <v>Y</v>
      </c>
      <c r="AW24" s="90" t="s">
        <v>119</v>
      </c>
      <c r="AX24" s="24" t="s">
        <v>119</v>
      </c>
      <c r="AY24" s="90" t="str">
        <f>CONCATENATE(AZ24,BA24,BB24,BC24)</f>
        <v/>
      </c>
      <c r="AZ24" s="90" t="str">
        <f>IF(ISNUMBER(SEARCH("Y",AC24)),"R","")</f>
        <v/>
      </c>
      <c r="BA24" s="90" t="str">
        <f>IF(ISNUMBER(SEARCH("Y",Y24)),"M","")</f>
        <v/>
      </c>
      <c r="BB24" s="90" t="str">
        <f>IF(ISNUMBER(SEARCH("Y",AB24)),"QC","")</f>
        <v/>
      </c>
      <c r="BC24" s="90" t="str">
        <f>IF(ISNUMBER(SEARCH("Y",Z24)),"S","")</f>
        <v/>
      </c>
      <c r="BD24" s="90"/>
      <c r="BE24" s="24" t="s">
        <v>119</v>
      </c>
      <c r="BF24" s="125" t="str">
        <f>IF(AND(AW24&gt;=56543,AW24&lt;=76543,LEN(AW24)&gt;0),"3 Feb 2020",IF(AND(AW24&gt;=66544,AW24&lt;=99999,LEN(AW24)&gt;0),"12 Sep 2020",""))</f>
        <v/>
      </c>
      <c r="BG24" s="125" t="str">
        <f>IF((AND(BF24="3 Feb 2020",LEN(BF24)&gt;0)),"Completed",IF((AND(BF24="12 Sep 2020",LEN(BF24)&gt;0)),"Pending",""))</f>
        <v/>
      </c>
      <c r="BH24" s="90" t="str">
        <f>IF((AND(BF24="3 Feb 2020",LEN(BF24)&gt;0)),"3 Feb 2020","")</f>
        <v/>
      </c>
      <c r="BI24" s="90">
        <v>61898</v>
      </c>
      <c r="BJ24" s="90" t="str">
        <f>L24</f>
        <v>8H11AT87392-89</v>
      </c>
      <c r="BK24" s="127">
        <v>43508</v>
      </c>
      <c r="BL24" s="127">
        <v>44239</v>
      </c>
      <c r="BM24" s="128">
        <f>P24*1.1</f>
        <v>888424.9</v>
      </c>
      <c r="BN24" s="129">
        <f>P24*0.9</f>
        <v>726893.1</v>
      </c>
      <c r="BO24" s="130">
        <f>P24*0.8</f>
        <v>646127.20000000007</v>
      </c>
      <c r="BP24" s="90">
        <f>IF(Z24="Y",BM24*0.4,BM24*1.05)</f>
        <v>932846.14500000002</v>
      </c>
      <c r="BQ24" s="90">
        <f>BP24*0.8</f>
        <v>746276.91600000008</v>
      </c>
      <c r="BR24" s="90" t="str">
        <f>IF(ISNUMBER(SEARCH("subrecipient",AI20)),P24*0.6,"")</f>
        <v/>
      </c>
      <c r="BS24" s="90">
        <v>61898</v>
      </c>
      <c r="BT24" s="90" t="str">
        <f>BJ24</f>
        <v>8H11AT87392-89</v>
      </c>
      <c r="BU24" s="127">
        <f>BK24</f>
        <v>43508</v>
      </c>
      <c r="BV24" s="127">
        <f>BL24</f>
        <v>44239</v>
      </c>
      <c r="BW24" s="90" t="str">
        <f>H24</f>
        <v>NIH</v>
      </c>
      <c r="BX24" s="90" t="str">
        <f>IF(H24="NATIONAL HEMOPHILIA FOUNDATION","Non Federal","Federal")</f>
        <v>Federal</v>
      </c>
      <c r="BY24" s="128">
        <f>BM24</f>
        <v>888424.9</v>
      </c>
      <c r="BZ24" s="90" t="str">
        <f>IF(LEN(BR24)&gt;0,1,"")</f>
        <v/>
      </c>
      <c r="CA24" s="90" t="str">
        <f>IF(LEN(BR24)&gt;0,"VIRAL HEPATITIS PROJECT","")</f>
        <v/>
      </c>
      <c r="CB24" s="129" t="str">
        <f>IF(LEN(BR24)&gt;0,BM24*0.7,"")</f>
        <v/>
      </c>
      <c r="CC24" s="90">
        <f>BP24</f>
        <v>932846.14500000002</v>
      </c>
      <c r="CD24" s="90" t="str">
        <f>IF(LEN(BR24)&gt;0,"70%","")</f>
        <v/>
      </c>
      <c r="CE24" s="90">
        <f>BS24</f>
        <v>61898</v>
      </c>
      <c r="CF24" s="90" t="str">
        <f>CA24</f>
        <v/>
      </c>
      <c r="CG24" s="90"/>
      <c r="CH24" s="90"/>
      <c r="CI24" s="90"/>
      <c r="CJ24" s="90"/>
      <c r="CK24" s="90"/>
      <c r="CL24" s="90"/>
      <c r="CM24" s="90"/>
      <c r="CN24" s="90"/>
      <c r="CO24" s="90"/>
      <c r="CP24" s="90"/>
      <c r="CQ24" s="90"/>
      <c r="CR24" s="90"/>
      <c r="CS24" s="90"/>
      <c r="CT24" s="137"/>
    </row>
    <row r="25" spans="1:98" ht="90">
      <c r="A25" s="89">
        <v>61898</v>
      </c>
      <c r="B25" s="90">
        <v>2020</v>
      </c>
      <c r="C25" s="90" t="s">
        <v>81</v>
      </c>
      <c r="D25" s="90" t="s">
        <v>178</v>
      </c>
      <c r="E25" s="125" t="s">
        <v>185</v>
      </c>
      <c r="F25" s="24" t="s">
        <v>180</v>
      </c>
      <c r="G25" s="90" t="s">
        <v>85</v>
      </c>
      <c r="H25" s="90" t="s">
        <v>117</v>
      </c>
      <c r="I25" s="90">
        <v>93</v>
      </c>
      <c r="J25" s="90">
        <v>157</v>
      </c>
      <c r="K25" s="90" t="s">
        <v>85</v>
      </c>
      <c r="L25" s="90" t="s">
        <v>181</v>
      </c>
      <c r="M25" s="90" t="s">
        <v>119</v>
      </c>
      <c r="N25" s="24" t="s">
        <v>134</v>
      </c>
      <c r="O25" s="24" t="str">
        <f>IF(ISNUMBER(SEARCH("Cancer",N25)),"Cancer",IF(ISNUMBER(SEARCH("health",N25)),"Public health",IF(ISNUMBER(SEARCH("disabilities",N25)),"Disabilities","Other")))</f>
        <v>Other</v>
      </c>
      <c r="P25" s="126">
        <v>807659</v>
      </c>
      <c r="Q25" s="90" t="s">
        <v>85</v>
      </c>
      <c r="R25" s="90" t="str">
        <f>IF(P25&gt;20000000,"B","A")</f>
        <v>A</v>
      </c>
      <c r="S25" s="90" t="s">
        <v>90</v>
      </c>
      <c r="T25" s="90" t="s">
        <v>119</v>
      </c>
      <c r="U25" s="90" t="s">
        <v>119</v>
      </c>
      <c r="V25" s="90" t="s">
        <v>119</v>
      </c>
      <c r="W25" s="90" t="s">
        <v>119</v>
      </c>
      <c r="X25" s="90" t="s">
        <v>119</v>
      </c>
      <c r="Y25" s="90" t="s">
        <v>119</v>
      </c>
      <c r="Z25" s="90" t="s">
        <v>119</v>
      </c>
      <c r="AA25" s="90" t="s">
        <v>119</v>
      </c>
      <c r="AB25" s="90" t="s">
        <v>119</v>
      </c>
      <c r="AC25" s="90" t="s">
        <v>119</v>
      </c>
      <c r="AD25" s="90" t="s">
        <v>119</v>
      </c>
      <c r="AE25" s="24">
        <v>0</v>
      </c>
      <c r="AF25" s="90">
        <v>0</v>
      </c>
      <c r="AG25" s="24">
        <v>0</v>
      </c>
      <c r="AH25" s="90">
        <v>87139</v>
      </c>
      <c r="AI25" s="24" t="s">
        <v>186</v>
      </c>
      <c r="AJ25" s="24" t="s">
        <v>187</v>
      </c>
      <c r="AK25" s="90" t="s">
        <v>85</v>
      </c>
      <c r="AL25" s="90">
        <v>61898</v>
      </c>
      <c r="AM25" s="90" t="s">
        <v>81</v>
      </c>
      <c r="AN25" s="90" t="s">
        <v>178</v>
      </c>
      <c r="AO25" s="125" t="s">
        <v>185</v>
      </c>
      <c r="AP25" s="24" t="s">
        <v>134</v>
      </c>
      <c r="AQ25" s="90" t="s">
        <v>181</v>
      </c>
      <c r="AR25" s="24" t="s">
        <v>134</v>
      </c>
      <c r="AS25" s="90" t="s">
        <v>119</v>
      </c>
      <c r="AT25" s="24" t="s">
        <v>186</v>
      </c>
      <c r="AU25" s="90" t="s">
        <v>119</v>
      </c>
      <c r="AV25" s="90" t="str">
        <f>IF(ISNUMBER(SEARCH("disagree",AE25)),"N","Y")</f>
        <v>Y</v>
      </c>
      <c r="AW25" s="90" t="s">
        <v>119</v>
      </c>
      <c r="AX25" s="24" t="s">
        <v>119</v>
      </c>
      <c r="AY25" s="90" t="str">
        <f>CONCATENATE(AZ25,BA25,BB25,BC25)</f>
        <v/>
      </c>
      <c r="AZ25" s="90" t="str">
        <f>IF(ISNUMBER(SEARCH("Y",AC25)),"R","")</f>
        <v/>
      </c>
      <c r="BA25" s="90" t="str">
        <f>IF(ISNUMBER(SEARCH("Y",Y25)),"M","")</f>
        <v/>
      </c>
      <c r="BB25" s="90" t="str">
        <f>IF(ISNUMBER(SEARCH("Y",AB25)),"QC","")</f>
        <v/>
      </c>
      <c r="BC25" s="90" t="str">
        <f>IF(ISNUMBER(SEARCH("Y",Z25)),"S","")</f>
        <v/>
      </c>
      <c r="BD25" s="90"/>
      <c r="BE25" s="24" t="s">
        <v>119</v>
      </c>
      <c r="BF25" s="125" t="str">
        <f>IF(AND(AW25&gt;=56543,AW25&lt;=76543,LEN(AW25)&gt;0),"3 Feb 2020",IF(AND(AW25&gt;=66544,AW25&lt;=99999,LEN(AW25)&gt;0),"12 Sep 2020",""))</f>
        <v/>
      </c>
      <c r="BG25" s="125" t="str">
        <f>IF((AND(BF25="3 Feb 2020",LEN(BF25)&gt;0)),"Completed",IF((AND(BF25="12 Sep 2020",LEN(BF25)&gt;0)),"Pending",""))</f>
        <v/>
      </c>
      <c r="BH25" s="90" t="str">
        <f>IF((AND(BF25="3 Feb 2020",LEN(BF25)&gt;0)),"3 Feb 2020","")</f>
        <v/>
      </c>
      <c r="BI25" s="90">
        <v>61898</v>
      </c>
      <c r="BJ25" s="90" t="str">
        <f>L25</f>
        <v>8H11AT87392-89</v>
      </c>
      <c r="BK25" s="127">
        <v>43508</v>
      </c>
      <c r="BL25" s="127">
        <v>44239</v>
      </c>
      <c r="BM25" s="128">
        <f>P25*1.1</f>
        <v>888424.9</v>
      </c>
      <c r="BN25" s="129">
        <f>P25*0.9</f>
        <v>726893.1</v>
      </c>
      <c r="BO25" s="130">
        <f>P25*0.8</f>
        <v>646127.20000000007</v>
      </c>
      <c r="BP25" s="90">
        <f>IF(Z25="Y",BM25*0.4,BM25*1.05)</f>
        <v>932846.14500000002</v>
      </c>
      <c r="BQ25" s="90">
        <f>BP25*0.8</f>
        <v>746276.91600000008</v>
      </c>
      <c r="BR25" s="90" t="str">
        <f>IF(ISNUMBER(SEARCH("subrecipient",AI21)),P25*0.6,"")</f>
        <v/>
      </c>
      <c r="BS25" s="90">
        <v>61898</v>
      </c>
      <c r="BT25" s="90" t="str">
        <f>BJ25</f>
        <v>8H11AT87392-89</v>
      </c>
      <c r="BU25" s="127">
        <f>BK25</f>
        <v>43508</v>
      </c>
      <c r="BV25" s="127">
        <f>BL25</f>
        <v>44239</v>
      </c>
      <c r="BW25" s="90" t="str">
        <f>H25</f>
        <v>NIH</v>
      </c>
      <c r="BX25" s="90" t="str">
        <f>IF(H25="NATIONAL HEMOPHILIA FOUNDATION","Non Federal","Federal")</f>
        <v>Federal</v>
      </c>
      <c r="BY25" s="128">
        <f>BM25</f>
        <v>888424.9</v>
      </c>
      <c r="BZ25" s="90" t="str">
        <f>IF(LEN(BR25)&gt;0,1,"")</f>
        <v/>
      </c>
      <c r="CA25" s="90" t="str">
        <f>IF(LEN(BR25)&gt;0,"VIRAL HEPATITIS PROJECT","")</f>
        <v/>
      </c>
      <c r="CB25" s="129" t="str">
        <f>IF(LEN(BR25)&gt;0,BM25*0.7,"")</f>
        <v/>
      </c>
      <c r="CC25" s="90">
        <f>BP25</f>
        <v>932846.14500000002</v>
      </c>
      <c r="CD25" s="90" t="str">
        <f>IF(LEN(BR25)&gt;0,"70%","")</f>
        <v/>
      </c>
      <c r="CE25" s="90">
        <f>BS25</f>
        <v>61898</v>
      </c>
      <c r="CF25" s="90" t="str">
        <f>CA25</f>
        <v/>
      </c>
      <c r="CG25" s="90"/>
      <c r="CH25" s="90"/>
      <c r="CI25" s="90"/>
      <c r="CJ25" s="90"/>
      <c r="CK25" s="90"/>
      <c r="CL25" s="90"/>
      <c r="CM25" s="90"/>
      <c r="CN25" s="90"/>
      <c r="CO25" s="90"/>
      <c r="CP25" s="90"/>
      <c r="CQ25" s="90"/>
      <c r="CR25" s="90"/>
      <c r="CS25" s="90"/>
      <c r="CT25" s="137"/>
    </row>
    <row r="26" spans="1:98" ht="90">
      <c r="A26" s="89">
        <v>61898</v>
      </c>
      <c r="B26" s="90">
        <v>2020</v>
      </c>
      <c r="C26" s="90" t="s">
        <v>81</v>
      </c>
      <c r="D26" s="90" t="s">
        <v>178</v>
      </c>
      <c r="E26" s="125" t="s">
        <v>188</v>
      </c>
      <c r="F26" s="24" t="s">
        <v>180</v>
      </c>
      <c r="G26" s="90" t="s">
        <v>85</v>
      </c>
      <c r="H26" s="90" t="s">
        <v>117</v>
      </c>
      <c r="I26" s="90">
        <v>93</v>
      </c>
      <c r="J26" s="90">
        <v>157</v>
      </c>
      <c r="K26" s="90" t="s">
        <v>85</v>
      </c>
      <c r="L26" s="90" t="s">
        <v>181</v>
      </c>
      <c r="M26" s="90" t="s">
        <v>119</v>
      </c>
      <c r="N26" s="24" t="s">
        <v>134</v>
      </c>
      <c r="O26" s="24" t="str">
        <f>IF(ISNUMBER(SEARCH("Cancer",N26)),"Cancer",IF(ISNUMBER(SEARCH("health",N26)),"Public health",IF(ISNUMBER(SEARCH("disabilities",N26)),"Disabilities","Other")))</f>
        <v>Other</v>
      </c>
      <c r="P26" s="126">
        <v>807659</v>
      </c>
      <c r="Q26" s="90" t="s">
        <v>85</v>
      </c>
      <c r="R26" s="90" t="str">
        <f>IF(P26&gt;20000000,"B","A")</f>
        <v>A</v>
      </c>
      <c r="S26" s="90" t="s">
        <v>90</v>
      </c>
      <c r="T26" s="90" t="s">
        <v>119</v>
      </c>
      <c r="U26" s="90" t="s">
        <v>119</v>
      </c>
      <c r="V26" s="90" t="s">
        <v>119</v>
      </c>
      <c r="W26" s="90" t="s">
        <v>119</v>
      </c>
      <c r="X26" s="90" t="s">
        <v>119</v>
      </c>
      <c r="Y26" s="90" t="s">
        <v>119</v>
      </c>
      <c r="Z26" s="90" t="s">
        <v>119</v>
      </c>
      <c r="AA26" s="90" t="s">
        <v>119</v>
      </c>
      <c r="AB26" s="90" t="s">
        <v>119</v>
      </c>
      <c r="AC26" s="90" t="s">
        <v>119</v>
      </c>
      <c r="AD26" s="90" t="s">
        <v>119</v>
      </c>
      <c r="AE26" s="24">
        <v>0</v>
      </c>
      <c r="AF26" s="90">
        <v>0</v>
      </c>
      <c r="AG26" s="24">
        <v>0</v>
      </c>
      <c r="AH26" s="90">
        <v>87135</v>
      </c>
      <c r="AI26" s="24" t="s">
        <v>189</v>
      </c>
      <c r="AJ26" s="24" t="s">
        <v>190</v>
      </c>
      <c r="AK26" s="90" t="s">
        <v>85</v>
      </c>
      <c r="AL26" s="90">
        <v>61898</v>
      </c>
      <c r="AM26" s="90" t="s">
        <v>81</v>
      </c>
      <c r="AN26" s="90" t="s">
        <v>178</v>
      </c>
      <c r="AO26" s="125" t="s">
        <v>188</v>
      </c>
      <c r="AP26" s="24" t="s">
        <v>134</v>
      </c>
      <c r="AQ26" s="90" t="s">
        <v>181</v>
      </c>
      <c r="AR26" s="24" t="s">
        <v>134</v>
      </c>
      <c r="AS26" s="90" t="s">
        <v>119</v>
      </c>
      <c r="AT26" s="24" t="s">
        <v>189</v>
      </c>
      <c r="AU26" s="90" t="s">
        <v>119</v>
      </c>
      <c r="AV26" s="90" t="str">
        <f>IF(ISNUMBER(SEARCH("disagree",AE26)),"N","Y")</f>
        <v>Y</v>
      </c>
      <c r="AW26" s="90" t="s">
        <v>119</v>
      </c>
      <c r="AX26" s="24" t="s">
        <v>119</v>
      </c>
      <c r="AY26" s="90" t="str">
        <f>CONCATENATE(AZ26,BA26,BB26,BC26)</f>
        <v/>
      </c>
      <c r="AZ26" s="90" t="str">
        <f>IF(ISNUMBER(SEARCH("Y",AC26)),"R","")</f>
        <v/>
      </c>
      <c r="BA26" s="90" t="str">
        <f>IF(ISNUMBER(SEARCH("Y",Y26)),"M","")</f>
        <v/>
      </c>
      <c r="BB26" s="90" t="str">
        <f>IF(ISNUMBER(SEARCH("Y",AB26)),"QC","")</f>
        <v/>
      </c>
      <c r="BC26" s="90" t="str">
        <f>IF(ISNUMBER(SEARCH("Y",Z26)),"S","")</f>
        <v/>
      </c>
      <c r="BD26" s="90"/>
      <c r="BE26" s="24" t="s">
        <v>119</v>
      </c>
      <c r="BF26" s="125" t="str">
        <f>IF(AND(AW26&gt;=56543,AW26&lt;=76543,LEN(AW26)&gt;0),"3 Feb 2020",IF(AND(AW26&gt;=66544,AW26&lt;=99999,LEN(AW26)&gt;0),"12 Sep 2020",""))</f>
        <v/>
      </c>
      <c r="BG26" s="125" t="str">
        <f>IF((AND(BF26="3 Feb 2020",LEN(BF26)&gt;0)),"Completed",IF((AND(BF26="12 Sep 2020",LEN(BF26)&gt;0)),"Pending",""))</f>
        <v/>
      </c>
      <c r="BH26" s="90" t="str">
        <f>IF((AND(BF26="3 Feb 2020",LEN(BF26)&gt;0)),"3 Feb 2020","")</f>
        <v/>
      </c>
      <c r="BI26" s="90">
        <v>61898</v>
      </c>
      <c r="BJ26" s="90" t="str">
        <f>L26</f>
        <v>8H11AT87392-89</v>
      </c>
      <c r="BK26" s="127">
        <v>43508</v>
      </c>
      <c r="BL26" s="127">
        <v>44239</v>
      </c>
      <c r="BM26" s="128">
        <f>P26*1.1</f>
        <v>888424.9</v>
      </c>
      <c r="BN26" s="129">
        <f>P26*0.9</f>
        <v>726893.1</v>
      </c>
      <c r="BO26" s="130">
        <f>P26*0.8</f>
        <v>646127.20000000007</v>
      </c>
      <c r="BP26" s="90">
        <f>IF(Z26="Y",BM26*0.4,BM26*1.05)</f>
        <v>932846.14500000002</v>
      </c>
      <c r="BQ26" s="90">
        <f>BP26*0.8</f>
        <v>746276.91600000008</v>
      </c>
      <c r="BR26" s="90">
        <f>IF(ISNUMBER(SEARCH("subrecipient",AI26)),P26*0.6,"")</f>
        <v>484595.39999999997</v>
      </c>
      <c r="BS26" s="90">
        <v>61898</v>
      </c>
      <c r="BT26" s="90" t="str">
        <f>BJ26</f>
        <v>8H11AT87392-89</v>
      </c>
      <c r="BU26" s="127">
        <f>BK26</f>
        <v>43508</v>
      </c>
      <c r="BV26" s="127">
        <f>BL26</f>
        <v>44239</v>
      </c>
      <c r="BW26" s="90" t="str">
        <f>H26</f>
        <v>NIH</v>
      </c>
      <c r="BX26" s="90" t="str">
        <f>IF(H26="NATIONAL HEMOPHILIA FOUNDATION","Non Federal","Federal")</f>
        <v>Federal</v>
      </c>
      <c r="BY26" s="128">
        <f>BM26</f>
        <v>888424.9</v>
      </c>
      <c r="BZ26" s="90">
        <f>IF(LEN(BR26)&gt;0,1,"")</f>
        <v>1</v>
      </c>
      <c r="CA26" s="90" t="str">
        <f>IF(LEN(BR26)&gt;0,"VIRAL HEPATITIS PROJECT","")</f>
        <v>VIRAL HEPATITIS PROJECT</v>
      </c>
      <c r="CB26" s="129">
        <f>IF(LEN(BR26)&gt;0,BM26*0.7,"")</f>
        <v>621897.42999999993</v>
      </c>
      <c r="CC26" s="90">
        <f>BP26</f>
        <v>932846.14500000002</v>
      </c>
      <c r="CD26" s="90" t="str">
        <f>IF(LEN(BR26)&gt;0,"70%","")</f>
        <v>70%</v>
      </c>
      <c r="CE26" s="90">
        <f>BS26</f>
        <v>61898</v>
      </c>
      <c r="CF26" s="90" t="str">
        <f>CA26</f>
        <v>VIRAL HEPATITIS PROJECT</v>
      </c>
      <c r="CG26" s="90" t="s">
        <v>191</v>
      </c>
      <c r="CH26" s="24" t="s">
        <v>192</v>
      </c>
      <c r="CI26" s="129">
        <f>CB26</f>
        <v>621897.42999999993</v>
      </c>
      <c r="CJ26" s="125" t="s">
        <v>157</v>
      </c>
      <c r="CK26" s="90" t="s">
        <v>158</v>
      </c>
      <c r="CL26" s="90" t="s">
        <v>160</v>
      </c>
      <c r="CM26" s="90" t="s">
        <v>160</v>
      </c>
      <c r="CN26" s="90" t="s">
        <v>160</v>
      </c>
      <c r="CO26" s="24" t="s">
        <v>193</v>
      </c>
      <c r="CP26" s="24" t="s">
        <v>194</v>
      </c>
      <c r="CQ26" s="132">
        <v>0.3</v>
      </c>
      <c r="CR26" s="127">
        <f>BU26+50</f>
        <v>43558</v>
      </c>
      <c r="CS26" s="127">
        <f>BV26-50</f>
        <v>44189</v>
      </c>
      <c r="CT26" s="138">
        <f>CI26*0.4</f>
        <v>248758.97199999998</v>
      </c>
    </row>
    <row r="27" spans="1:98" ht="75">
      <c r="A27" s="89">
        <v>61898</v>
      </c>
      <c r="B27" s="90">
        <v>2020</v>
      </c>
      <c r="C27" s="90" t="s">
        <v>81</v>
      </c>
      <c r="D27" s="90" t="s">
        <v>178</v>
      </c>
      <c r="E27" s="125" t="s">
        <v>195</v>
      </c>
      <c r="F27" s="24" t="s">
        <v>180</v>
      </c>
      <c r="G27" s="90" t="s">
        <v>85</v>
      </c>
      <c r="H27" s="90" t="s">
        <v>117</v>
      </c>
      <c r="I27" s="90">
        <v>93</v>
      </c>
      <c r="J27" s="90">
        <v>157</v>
      </c>
      <c r="K27" s="90" t="s">
        <v>85</v>
      </c>
      <c r="L27" s="90" t="s">
        <v>181</v>
      </c>
      <c r="M27" s="90" t="s">
        <v>119</v>
      </c>
      <c r="N27" s="24" t="s">
        <v>134</v>
      </c>
      <c r="O27" s="24" t="str">
        <f>IF(ISNUMBER(SEARCH("Cancer",N27)),"Cancer",IF(ISNUMBER(SEARCH("health",N27)),"Public health",IF(ISNUMBER(SEARCH("disabilities",N27)),"Disabilities","Other")))</f>
        <v>Other</v>
      </c>
      <c r="P27" s="126">
        <v>807659</v>
      </c>
      <c r="Q27" s="90" t="s">
        <v>85</v>
      </c>
      <c r="R27" s="90" t="str">
        <f>IF(P27&gt;20000000,"B","A")</f>
        <v>A</v>
      </c>
      <c r="S27" s="90" t="s">
        <v>90</v>
      </c>
      <c r="T27" s="90" t="s">
        <v>119</v>
      </c>
      <c r="U27" s="90" t="s">
        <v>119</v>
      </c>
      <c r="V27" s="90" t="s">
        <v>119</v>
      </c>
      <c r="W27" s="90" t="s">
        <v>119</v>
      </c>
      <c r="X27" s="90" t="s">
        <v>119</v>
      </c>
      <c r="Y27" s="90" t="s">
        <v>119</v>
      </c>
      <c r="Z27" s="90" t="s">
        <v>119</v>
      </c>
      <c r="AA27" s="90" t="s">
        <v>119</v>
      </c>
      <c r="AB27" s="90" t="s">
        <v>119</v>
      </c>
      <c r="AC27" s="90" t="s">
        <v>119</v>
      </c>
      <c r="AD27" s="90" t="s">
        <v>119</v>
      </c>
      <c r="AE27" s="24">
        <v>0</v>
      </c>
      <c r="AF27" s="90">
        <v>0</v>
      </c>
      <c r="AG27" s="24">
        <v>0</v>
      </c>
      <c r="AH27" s="90">
        <v>87136</v>
      </c>
      <c r="AI27" s="24" t="s">
        <v>196</v>
      </c>
      <c r="AJ27" s="24" t="s">
        <v>197</v>
      </c>
      <c r="AK27" s="90" t="s">
        <v>85</v>
      </c>
      <c r="AL27" s="90">
        <v>61898</v>
      </c>
      <c r="AM27" s="90" t="s">
        <v>81</v>
      </c>
      <c r="AN27" s="90" t="s">
        <v>178</v>
      </c>
      <c r="AO27" s="125" t="s">
        <v>195</v>
      </c>
      <c r="AP27" s="24" t="s">
        <v>134</v>
      </c>
      <c r="AQ27" s="90" t="s">
        <v>181</v>
      </c>
      <c r="AR27" s="24" t="s">
        <v>134</v>
      </c>
      <c r="AS27" s="90" t="s">
        <v>119</v>
      </c>
      <c r="AT27" s="24" t="s">
        <v>196</v>
      </c>
      <c r="AU27" s="90" t="s">
        <v>119</v>
      </c>
      <c r="AV27" s="90" t="str">
        <f>IF(ISNUMBER(SEARCH("disagree",AE27)),"N","Y")</f>
        <v>Y</v>
      </c>
      <c r="AW27" s="90" t="s">
        <v>119</v>
      </c>
      <c r="AX27" s="24" t="s">
        <v>119</v>
      </c>
      <c r="AY27" s="90" t="str">
        <f>CONCATENATE(AZ27,BA27,BB27,BC27)</f>
        <v/>
      </c>
      <c r="AZ27" s="90" t="str">
        <f>IF(ISNUMBER(SEARCH("Y",AC27)),"R","")</f>
        <v/>
      </c>
      <c r="BA27" s="90" t="str">
        <f>IF(ISNUMBER(SEARCH("Y",Y27)),"M","")</f>
        <v/>
      </c>
      <c r="BB27" s="90" t="str">
        <f>IF(ISNUMBER(SEARCH("Y",AB27)),"QC","")</f>
        <v/>
      </c>
      <c r="BC27" s="90" t="str">
        <f>IF(ISNUMBER(SEARCH("Y",Z27)),"S","")</f>
        <v/>
      </c>
      <c r="BD27" s="90"/>
      <c r="BE27" s="24" t="s">
        <v>119</v>
      </c>
      <c r="BF27" s="125" t="str">
        <f>IF(AND(AW27&gt;=56543,AW27&lt;=76543,LEN(AW27)&gt;0),"3 Feb 2020",IF(AND(AW27&gt;=66544,AW27&lt;=99999,LEN(AW27)&gt;0),"12 Sep 2020",""))</f>
        <v/>
      </c>
      <c r="BG27" s="125" t="str">
        <f>IF((AND(BF27="3 Feb 2020",LEN(BF27)&gt;0)),"Completed",IF((AND(BF27="12 Sep 2020",LEN(BF27)&gt;0)),"Pending",""))</f>
        <v/>
      </c>
      <c r="BH27" s="90" t="str">
        <f>IF((AND(BF27="3 Feb 2020",LEN(BF27)&gt;0)),"3 Feb 2020","")</f>
        <v/>
      </c>
      <c r="BI27" s="90">
        <v>61898</v>
      </c>
      <c r="BJ27" s="90" t="str">
        <f>L27</f>
        <v>8H11AT87392-89</v>
      </c>
      <c r="BK27" s="127">
        <v>43508</v>
      </c>
      <c r="BL27" s="127">
        <v>44239</v>
      </c>
      <c r="BM27" s="128">
        <f>P27*1.1</f>
        <v>888424.9</v>
      </c>
      <c r="BN27" s="129">
        <f>P27*0.9</f>
        <v>726893.1</v>
      </c>
      <c r="BO27" s="130">
        <f>P27*0.8</f>
        <v>646127.20000000007</v>
      </c>
      <c r="BP27" s="90">
        <f>IF(Z27="Y",BM27*0.4,BM27*1.05)</f>
        <v>932846.14500000002</v>
      </c>
      <c r="BQ27" s="90">
        <f>BP27*0.8</f>
        <v>746276.91600000008</v>
      </c>
      <c r="BR27" s="90" t="str">
        <f>IF(ISNUMBER(SEARCH("subrecipient",AI23)),P27*0.6,"")</f>
        <v/>
      </c>
      <c r="BS27" s="90">
        <v>61898</v>
      </c>
      <c r="BT27" s="90" t="str">
        <f>BJ27</f>
        <v>8H11AT87392-89</v>
      </c>
      <c r="BU27" s="127">
        <f>BK27</f>
        <v>43508</v>
      </c>
      <c r="BV27" s="127">
        <f>BL27</f>
        <v>44239</v>
      </c>
      <c r="BW27" s="90" t="str">
        <f>H27</f>
        <v>NIH</v>
      </c>
      <c r="BX27" s="90" t="str">
        <f>IF(H27="NATIONAL HEMOPHILIA FOUNDATION","Non Federal","Federal")</f>
        <v>Federal</v>
      </c>
      <c r="BY27" s="128">
        <f>BM27</f>
        <v>888424.9</v>
      </c>
      <c r="BZ27" s="90" t="str">
        <f>IF(LEN(BR27)&gt;0,1,"")</f>
        <v/>
      </c>
      <c r="CA27" s="90" t="str">
        <f>IF(LEN(BR27)&gt;0,"VIRAL HEPATITIS PROJECT","")</f>
        <v/>
      </c>
      <c r="CB27" s="129" t="str">
        <f>IF(LEN(BR27)&gt;0,BM27*0.7,"")</f>
        <v/>
      </c>
      <c r="CC27" s="90">
        <f>BP27</f>
        <v>932846.14500000002</v>
      </c>
      <c r="CD27" s="90" t="str">
        <f>IF(LEN(BR27)&gt;0,"70%","")</f>
        <v/>
      </c>
      <c r="CE27" s="90">
        <f>BS27</f>
        <v>61898</v>
      </c>
      <c r="CF27" s="90" t="str">
        <f>CA27</f>
        <v/>
      </c>
      <c r="CG27" s="90"/>
      <c r="CH27" s="90"/>
      <c r="CI27" s="90"/>
      <c r="CJ27" s="90"/>
      <c r="CK27" s="90"/>
      <c r="CL27" s="90"/>
      <c r="CM27" s="90"/>
      <c r="CN27" s="90"/>
      <c r="CO27" s="90"/>
      <c r="CP27" s="90"/>
      <c r="CQ27" s="90"/>
      <c r="CR27" s="90"/>
      <c r="CS27" s="90"/>
      <c r="CT27" s="137"/>
    </row>
    <row r="28" spans="1:98" ht="75">
      <c r="A28" s="89">
        <v>65549</v>
      </c>
      <c r="B28" s="90">
        <v>2020</v>
      </c>
      <c r="C28" s="90" t="s">
        <v>81</v>
      </c>
      <c r="D28" s="90" t="s">
        <v>198</v>
      </c>
      <c r="E28" s="125" t="s">
        <v>199</v>
      </c>
      <c r="F28" s="24" t="s">
        <v>200</v>
      </c>
      <c r="G28" s="90" t="s">
        <v>85</v>
      </c>
      <c r="H28" s="90" t="s">
        <v>132</v>
      </c>
      <c r="I28" s="90">
        <v>93</v>
      </c>
      <c r="J28" s="90">
        <v>157</v>
      </c>
      <c r="K28" s="90" t="s">
        <v>85</v>
      </c>
      <c r="L28" s="90" t="s">
        <v>201</v>
      </c>
      <c r="M28" s="90" t="s">
        <v>119</v>
      </c>
      <c r="N28" s="24" t="s">
        <v>202</v>
      </c>
      <c r="O28" s="24" t="str">
        <f>IF(ISNUMBER(SEARCH("Cancer",N28)),"Cancer",IF(ISNUMBER(SEARCH("health",N28)),"Public health",IF(ISNUMBER(SEARCH("disabilities",N28)),"Disabilities","Other")))</f>
        <v>Public health</v>
      </c>
      <c r="P28" s="126">
        <v>869880</v>
      </c>
      <c r="Q28" s="90" t="s">
        <v>85</v>
      </c>
      <c r="R28" s="90" t="str">
        <f>IF(P28&gt;20000000,"B","A")</f>
        <v>A</v>
      </c>
      <c r="S28" s="90" t="s">
        <v>90</v>
      </c>
      <c r="T28" s="90" t="s">
        <v>119</v>
      </c>
      <c r="U28" s="90" t="s">
        <v>119</v>
      </c>
      <c r="V28" s="90" t="s">
        <v>119</v>
      </c>
      <c r="W28" s="90" t="s">
        <v>119</v>
      </c>
      <c r="X28" s="90" t="s">
        <v>119</v>
      </c>
      <c r="Y28" s="90" t="s">
        <v>119</v>
      </c>
      <c r="Z28" s="90" t="s">
        <v>119</v>
      </c>
      <c r="AA28" s="90" t="s">
        <v>119</v>
      </c>
      <c r="AB28" s="90" t="s">
        <v>119</v>
      </c>
      <c r="AC28" s="90" t="s">
        <v>119</v>
      </c>
      <c r="AD28" s="90" t="s">
        <v>119</v>
      </c>
      <c r="AE28" s="24">
        <v>0</v>
      </c>
      <c r="AF28" s="90">
        <v>0</v>
      </c>
      <c r="AG28" s="24">
        <v>0</v>
      </c>
      <c r="AH28" s="90">
        <v>85965</v>
      </c>
      <c r="AI28" s="24" t="s">
        <v>94</v>
      </c>
      <c r="AJ28" s="24" t="s">
        <v>203</v>
      </c>
      <c r="AK28" s="90" t="s">
        <v>85</v>
      </c>
      <c r="AL28" s="90">
        <v>65549</v>
      </c>
      <c r="AM28" s="90" t="s">
        <v>81</v>
      </c>
      <c r="AN28" s="90" t="s">
        <v>198</v>
      </c>
      <c r="AO28" s="125" t="s">
        <v>199</v>
      </c>
      <c r="AP28" s="24" t="s">
        <v>202</v>
      </c>
      <c r="AQ28" s="90" t="s">
        <v>201</v>
      </c>
      <c r="AR28" s="24" t="s">
        <v>202</v>
      </c>
      <c r="AS28" s="90" t="s">
        <v>119</v>
      </c>
      <c r="AT28" s="24" t="s">
        <v>94</v>
      </c>
      <c r="AU28" s="90" t="s">
        <v>119</v>
      </c>
      <c r="AV28" s="90" t="str">
        <f>IF(ISNUMBER(SEARCH("disagree",AE28)),"N","Y")</f>
        <v>Y</v>
      </c>
      <c r="AW28" s="90" t="s">
        <v>119</v>
      </c>
      <c r="AX28" s="24" t="s">
        <v>119</v>
      </c>
      <c r="AY28" s="90" t="str">
        <f>CONCATENATE(AZ28,BA28,BB28,BC28)</f>
        <v/>
      </c>
      <c r="AZ28" s="90" t="str">
        <f>IF(ISNUMBER(SEARCH("Y",AC28)),"R","")</f>
        <v/>
      </c>
      <c r="BA28" s="90" t="str">
        <f>IF(ISNUMBER(SEARCH("Y",Y28)),"M","")</f>
        <v/>
      </c>
      <c r="BB28" s="90" t="str">
        <f>IF(ISNUMBER(SEARCH("Y",AB28)),"QC","")</f>
        <v/>
      </c>
      <c r="BC28" s="90" t="str">
        <f>IF(ISNUMBER(SEARCH("Y",Z28)),"S","")</f>
        <v/>
      </c>
      <c r="BD28" s="90"/>
      <c r="BE28" s="24" t="s">
        <v>119</v>
      </c>
      <c r="BF28" s="125" t="str">
        <f>IF(AND(AW28&gt;=56543,AW28&lt;=76543,LEN(AW28)&gt;0),"3 Feb 2020",IF(AND(AW28&gt;=66544,AW28&lt;=99999,LEN(AW28)&gt;0),"12 Sep 2020",""))</f>
        <v/>
      </c>
      <c r="BG28" s="125" t="str">
        <f>IF((AND(BF28="3 Feb 2020",LEN(BF28)&gt;0)),"Completed",IF((AND(BF28="12 Sep 2020",LEN(BF28)&gt;0)),"Pending",""))</f>
        <v/>
      </c>
      <c r="BH28" s="90" t="str">
        <f>IF((AND(BF28="3 Feb 2020",LEN(BF28)&gt;0)),"3 Feb 2020","")</f>
        <v/>
      </c>
      <c r="BI28" s="90">
        <v>65549</v>
      </c>
      <c r="BJ28" s="90" t="str">
        <f>L28</f>
        <v>6S93HS87137-84</v>
      </c>
      <c r="BK28" s="127">
        <v>43508</v>
      </c>
      <c r="BL28" s="127">
        <v>44239</v>
      </c>
      <c r="BM28" s="128">
        <f>P28*1.1</f>
        <v>956868.00000000012</v>
      </c>
      <c r="BN28" s="129">
        <f>P28*0.9</f>
        <v>782892</v>
      </c>
      <c r="BO28" s="130">
        <f>P28*0.8</f>
        <v>695904</v>
      </c>
      <c r="BP28" s="90">
        <f>IF(Z28="Y",BM28*0.4,BM28*1.05)</f>
        <v>1004711.4000000001</v>
      </c>
      <c r="BQ28" s="90">
        <f>BP28*0.8</f>
        <v>803769.12000000011</v>
      </c>
      <c r="BR28" s="90" t="str">
        <f>IF(ISNUMBER(SEARCH("subrecipient",AI24)),P28*0.6,"")</f>
        <v/>
      </c>
      <c r="BS28" s="90">
        <v>65549</v>
      </c>
      <c r="BT28" s="90" t="str">
        <f>BJ28</f>
        <v>6S93HS87137-84</v>
      </c>
      <c r="BU28" s="127">
        <f>BK28</f>
        <v>43508</v>
      </c>
      <c r="BV28" s="127">
        <f>BL28</f>
        <v>44239</v>
      </c>
      <c r="BW28" s="90" t="str">
        <f>H28</f>
        <v>FDA</v>
      </c>
      <c r="BX28" s="90" t="str">
        <f>IF(H28="NATIONAL HEMOPHILIA FOUNDATION","Non Federal","Federal")</f>
        <v>Federal</v>
      </c>
      <c r="BY28" s="128">
        <f>BM28</f>
        <v>956868.00000000012</v>
      </c>
      <c r="BZ28" s="90" t="str">
        <f>IF(LEN(BR28)&gt;0,1,"")</f>
        <v/>
      </c>
      <c r="CA28" s="90" t="str">
        <f>IF(LEN(BR28)&gt;0,"VIRAL HEPATITIS PROJECT","")</f>
        <v/>
      </c>
      <c r="CB28" s="129" t="str">
        <f>IF(LEN(BR28)&gt;0,BM28*0.7,"")</f>
        <v/>
      </c>
      <c r="CC28" s="90">
        <f>BP28</f>
        <v>1004711.4000000001</v>
      </c>
      <c r="CD28" s="90" t="str">
        <f>IF(LEN(BR28)&gt;0,"70%","")</f>
        <v/>
      </c>
      <c r="CE28" s="90">
        <f>BS28</f>
        <v>65549</v>
      </c>
      <c r="CF28" s="90" t="str">
        <f>CA28</f>
        <v/>
      </c>
      <c r="CG28" s="90"/>
      <c r="CH28" s="90"/>
      <c r="CI28" s="90"/>
      <c r="CJ28" s="90"/>
      <c r="CK28" s="90"/>
      <c r="CL28" s="90"/>
      <c r="CM28" s="90"/>
      <c r="CN28" s="90"/>
      <c r="CO28" s="90"/>
      <c r="CP28" s="90"/>
      <c r="CQ28" s="90"/>
      <c r="CR28" s="90"/>
      <c r="CS28" s="90"/>
      <c r="CT28" s="137"/>
    </row>
    <row r="29" spans="1:98" ht="45">
      <c r="A29" s="89">
        <v>65549</v>
      </c>
      <c r="B29" s="90">
        <v>2020</v>
      </c>
      <c r="C29" s="90" t="s">
        <v>81</v>
      </c>
      <c r="D29" s="90" t="s">
        <v>198</v>
      </c>
      <c r="E29" s="125" t="s">
        <v>204</v>
      </c>
      <c r="F29" s="24" t="s">
        <v>200</v>
      </c>
      <c r="G29" s="90" t="s">
        <v>85</v>
      </c>
      <c r="H29" s="90" t="s">
        <v>132</v>
      </c>
      <c r="I29" s="90">
        <v>93</v>
      </c>
      <c r="J29" s="90">
        <v>157</v>
      </c>
      <c r="K29" s="90" t="s">
        <v>85</v>
      </c>
      <c r="L29" s="90" t="s">
        <v>201</v>
      </c>
      <c r="M29" s="90" t="s">
        <v>119</v>
      </c>
      <c r="N29" s="24" t="s">
        <v>202</v>
      </c>
      <c r="O29" s="24" t="str">
        <f>IF(ISNUMBER(SEARCH("Cancer",N29)),"Cancer",IF(ISNUMBER(SEARCH("health",N29)),"Public health",IF(ISNUMBER(SEARCH("disabilities",N29)),"Disabilities","Other")))</f>
        <v>Public health</v>
      </c>
      <c r="P29" s="126">
        <v>869880</v>
      </c>
      <c r="Q29" s="90" t="s">
        <v>85</v>
      </c>
      <c r="R29" s="90" t="str">
        <f>IF(P29&gt;20000000,"B","A")</f>
        <v>A</v>
      </c>
      <c r="S29" s="90" t="s">
        <v>90</v>
      </c>
      <c r="T29" s="90" t="s">
        <v>119</v>
      </c>
      <c r="U29" s="90" t="s">
        <v>119</v>
      </c>
      <c r="V29" s="90" t="s">
        <v>119</v>
      </c>
      <c r="W29" s="90" t="s">
        <v>119</v>
      </c>
      <c r="X29" s="90" t="s">
        <v>119</v>
      </c>
      <c r="Y29" s="90" t="s">
        <v>119</v>
      </c>
      <c r="Z29" s="90" t="s">
        <v>119</v>
      </c>
      <c r="AA29" s="90" t="s">
        <v>119</v>
      </c>
      <c r="AB29" s="90" t="s">
        <v>119</v>
      </c>
      <c r="AC29" s="90" t="s">
        <v>119</v>
      </c>
      <c r="AD29" s="90" t="s">
        <v>119</v>
      </c>
      <c r="AE29" s="24">
        <v>0</v>
      </c>
      <c r="AF29" s="90">
        <v>0</v>
      </c>
      <c r="AG29" s="24">
        <v>0</v>
      </c>
      <c r="AH29" s="90">
        <v>85967</v>
      </c>
      <c r="AI29" s="24" t="s">
        <v>102</v>
      </c>
      <c r="AJ29" s="24" t="s">
        <v>103</v>
      </c>
      <c r="AK29" s="90" t="s">
        <v>85</v>
      </c>
      <c r="AL29" s="90">
        <v>65549</v>
      </c>
      <c r="AM29" s="90" t="s">
        <v>81</v>
      </c>
      <c r="AN29" s="90" t="s">
        <v>198</v>
      </c>
      <c r="AO29" s="125" t="s">
        <v>204</v>
      </c>
      <c r="AP29" s="24" t="s">
        <v>202</v>
      </c>
      <c r="AQ29" s="90" t="s">
        <v>201</v>
      </c>
      <c r="AR29" s="24" t="s">
        <v>202</v>
      </c>
      <c r="AS29" s="90" t="s">
        <v>119</v>
      </c>
      <c r="AT29" s="24" t="s">
        <v>102</v>
      </c>
      <c r="AU29" s="90" t="s">
        <v>119</v>
      </c>
      <c r="AV29" s="90" t="str">
        <f>IF(ISNUMBER(SEARCH("disagree",AE29)),"N","Y")</f>
        <v>Y</v>
      </c>
      <c r="AW29" s="90" t="s">
        <v>119</v>
      </c>
      <c r="AX29" s="24" t="s">
        <v>119</v>
      </c>
      <c r="AY29" s="90" t="str">
        <f>CONCATENATE(AZ29,BA29,BB29,BC29)</f>
        <v/>
      </c>
      <c r="AZ29" s="90" t="str">
        <f>IF(ISNUMBER(SEARCH("Y",AC29)),"R","")</f>
        <v/>
      </c>
      <c r="BA29" s="90" t="str">
        <f>IF(ISNUMBER(SEARCH("Y",Y29)),"M","")</f>
        <v/>
      </c>
      <c r="BB29" s="90" t="str">
        <f>IF(ISNUMBER(SEARCH("Y",AB29)),"QC","")</f>
        <v/>
      </c>
      <c r="BC29" s="90" t="str">
        <f>IF(ISNUMBER(SEARCH("Y",Z29)),"S","")</f>
        <v/>
      </c>
      <c r="BD29" s="90"/>
      <c r="BE29" s="24" t="s">
        <v>119</v>
      </c>
      <c r="BF29" s="125" t="str">
        <f>IF(AND(AW29&gt;=56543,AW29&lt;=76543,LEN(AW29)&gt;0),"3 Feb 2020",IF(AND(AW29&gt;=66544,AW29&lt;=99999,LEN(AW29)&gt;0),"12 Sep 2020",""))</f>
        <v/>
      </c>
      <c r="BG29" s="125" t="str">
        <f>IF((AND(BF29="3 Feb 2020",LEN(BF29)&gt;0)),"Completed",IF((AND(BF29="12 Sep 2020",LEN(BF29)&gt;0)),"Pending",""))</f>
        <v/>
      </c>
      <c r="BH29" s="90" t="str">
        <f>IF((AND(BF29="3 Feb 2020",LEN(BF29)&gt;0)),"3 Feb 2020","")</f>
        <v/>
      </c>
      <c r="BI29" s="90">
        <v>65549</v>
      </c>
      <c r="BJ29" s="90" t="str">
        <f>L29</f>
        <v>6S93HS87137-84</v>
      </c>
      <c r="BK29" s="127">
        <v>43508</v>
      </c>
      <c r="BL29" s="127">
        <v>44239</v>
      </c>
      <c r="BM29" s="128">
        <f>P29*1.1</f>
        <v>956868.00000000012</v>
      </c>
      <c r="BN29" s="129">
        <f>P29*0.9</f>
        <v>782892</v>
      </c>
      <c r="BO29" s="130">
        <f>P29*0.8</f>
        <v>695904</v>
      </c>
      <c r="BP29" s="90">
        <f>IF(Z29="Y",BM29*0.4,BM29*1.05)</f>
        <v>1004711.4000000001</v>
      </c>
      <c r="BQ29" s="90">
        <f>BP29*0.8</f>
        <v>803769.12000000011</v>
      </c>
      <c r="BR29" s="90" t="str">
        <f>IF(ISNUMBER(SEARCH("subrecipient",AI25)),P29*0.6,"")</f>
        <v/>
      </c>
      <c r="BS29" s="90">
        <v>65549</v>
      </c>
      <c r="BT29" s="90" t="str">
        <f>BJ29</f>
        <v>6S93HS87137-84</v>
      </c>
      <c r="BU29" s="127">
        <f>BK29</f>
        <v>43508</v>
      </c>
      <c r="BV29" s="127">
        <f>BL29</f>
        <v>44239</v>
      </c>
      <c r="BW29" s="90" t="str">
        <f>H29</f>
        <v>FDA</v>
      </c>
      <c r="BX29" s="90" t="str">
        <f>IF(H29="NATIONAL HEMOPHILIA FOUNDATION","Non Federal","Federal")</f>
        <v>Federal</v>
      </c>
      <c r="BY29" s="128">
        <f>BM29</f>
        <v>956868.00000000012</v>
      </c>
      <c r="BZ29" s="90" t="str">
        <f>IF(LEN(BR29)&gt;0,1,"")</f>
        <v/>
      </c>
      <c r="CA29" s="90" t="str">
        <f>IF(LEN(BR29)&gt;0,"VIRAL HEPATITIS PROJECT","")</f>
        <v/>
      </c>
      <c r="CB29" s="129" t="str">
        <f>IF(LEN(BR29)&gt;0,BM29*0.7,"")</f>
        <v/>
      </c>
      <c r="CC29" s="90">
        <f>BP29</f>
        <v>1004711.4000000001</v>
      </c>
      <c r="CD29" s="90" t="str">
        <f>IF(LEN(BR29)&gt;0,"70%","")</f>
        <v/>
      </c>
      <c r="CE29" s="90">
        <f>BS29</f>
        <v>65549</v>
      </c>
      <c r="CF29" s="90" t="str">
        <f>CA29</f>
        <v/>
      </c>
      <c r="CG29" s="90"/>
      <c r="CH29" s="90"/>
      <c r="CI29" s="90"/>
      <c r="CJ29" s="90"/>
      <c r="CK29" s="90"/>
      <c r="CL29" s="90"/>
      <c r="CM29" s="90"/>
      <c r="CN29" s="90"/>
      <c r="CO29" s="90"/>
      <c r="CP29" s="90"/>
      <c r="CQ29" s="90"/>
      <c r="CR29" s="90"/>
      <c r="CS29" s="90"/>
      <c r="CT29" s="137"/>
    </row>
    <row r="30" spans="1:98" ht="105">
      <c r="A30" s="89">
        <v>65549</v>
      </c>
      <c r="B30" s="90">
        <v>2020</v>
      </c>
      <c r="C30" s="90" t="s">
        <v>81</v>
      </c>
      <c r="D30" s="90" t="s">
        <v>198</v>
      </c>
      <c r="E30" s="125" t="s">
        <v>205</v>
      </c>
      <c r="F30" s="24" t="s">
        <v>200</v>
      </c>
      <c r="G30" s="90" t="s">
        <v>85</v>
      </c>
      <c r="H30" s="90" t="s">
        <v>132</v>
      </c>
      <c r="I30" s="90">
        <v>93</v>
      </c>
      <c r="J30" s="90">
        <v>157</v>
      </c>
      <c r="K30" s="90" t="s">
        <v>85</v>
      </c>
      <c r="L30" s="90" t="s">
        <v>201</v>
      </c>
      <c r="M30" s="90" t="s">
        <v>119</v>
      </c>
      <c r="N30" s="24" t="s">
        <v>202</v>
      </c>
      <c r="O30" s="24" t="str">
        <f>IF(ISNUMBER(SEARCH("Cancer",N30)),"Cancer",IF(ISNUMBER(SEARCH("health",N30)),"Public health",IF(ISNUMBER(SEARCH("disabilities",N30)),"Disabilities","Other")))</f>
        <v>Public health</v>
      </c>
      <c r="P30" s="126">
        <v>869880</v>
      </c>
      <c r="Q30" s="90" t="s">
        <v>85</v>
      </c>
      <c r="R30" s="90" t="str">
        <f>IF(P30&gt;20000000,"B","A")</f>
        <v>A</v>
      </c>
      <c r="S30" s="90" t="s">
        <v>90</v>
      </c>
      <c r="T30" s="90" t="s">
        <v>119</v>
      </c>
      <c r="U30" s="90" t="s">
        <v>119</v>
      </c>
      <c r="V30" s="90" t="s">
        <v>119</v>
      </c>
      <c r="W30" s="90" t="s">
        <v>119</v>
      </c>
      <c r="X30" s="90" t="s">
        <v>119</v>
      </c>
      <c r="Y30" s="90" t="s">
        <v>119</v>
      </c>
      <c r="Z30" s="90" t="s">
        <v>119</v>
      </c>
      <c r="AA30" s="90" t="s">
        <v>119</v>
      </c>
      <c r="AB30" s="90" t="s">
        <v>119</v>
      </c>
      <c r="AC30" s="90" t="s">
        <v>119</v>
      </c>
      <c r="AD30" s="90" t="s">
        <v>119</v>
      </c>
      <c r="AE30" s="24">
        <v>0</v>
      </c>
      <c r="AF30" s="90">
        <v>0</v>
      </c>
      <c r="AG30" s="24">
        <v>0</v>
      </c>
      <c r="AH30" s="90">
        <v>85966</v>
      </c>
      <c r="AI30" s="24" t="s">
        <v>110</v>
      </c>
      <c r="AJ30" s="24" t="s">
        <v>206</v>
      </c>
      <c r="AK30" s="90" t="s">
        <v>85</v>
      </c>
      <c r="AL30" s="90">
        <v>65549</v>
      </c>
      <c r="AM30" s="90" t="s">
        <v>81</v>
      </c>
      <c r="AN30" s="90" t="s">
        <v>198</v>
      </c>
      <c r="AO30" s="125" t="s">
        <v>205</v>
      </c>
      <c r="AP30" s="24" t="s">
        <v>202</v>
      </c>
      <c r="AQ30" s="90" t="s">
        <v>201</v>
      </c>
      <c r="AR30" s="24" t="s">
        <v>202</v>
      </c>
      <c r="AS30" s="90" t="s">
        <v>119</v>
      </c>
      <c r="AT30" s="24" t="s">
        <v>110</v>
      </c>
      <c r="AU30" s="90" t="s">
        <v>119</v>
      </c>
      <c r="AV30" s="90" t="str">
        <f>IF(ISNUMBER(SEARCH("disagree",AE30)),"N","Y")</f>
        <v>Y</v>
      </c>
      <c r="AW30" s="90" t="s">
        <v>119</v>
      </c>
      <c r="AX30" s="24" t="s">
        <v>119</v>
      </c>
      <c r="AY30" s="90" t="str">
        <f>CONCATENATE(AZ30,BA30,BB30,BC30)</f>
        <v/>
      </c>
      <c r="AZ30" s="90" t="str">
        <f>IF(ISNUMBER(SEARCH("Y",AC30)),"R","")</f>
        <v/>
      </c>
      <c r="BA30" s="90" t="str">
        <f>IF(ISNUMBER(SEARCH("Y",Y30)),"M","")</f>
        <v/>
      </c>
      <c r="BB30" s="90" t="str">
        <f>IF(ISNUMBER(SEARCH("Y",AB30)),"QC","")</f>
        <v/>
      </c>
      <c r="BC30" s="90" t="str">
        <f>IF(ISNUMBER(SEARCH("Y",Z30)),"S","")</f>
        <v/>
      </c>
      <c r="BD30" s="90"/>
      <c r="BE30" s="24" t="s">
        <v>119</v>
      </c>
      <c r="BF30" s="125" t="str">
        <f>IF(AND(AW30&gt;=56543,AW30&lt;=76543,LEN(AW30)&gt;0),"3 Feb 2020",IF(AND(AW30&gt;=66544,AW30&lt;=99999,LEN(AW30)&gt;0),"12 Sep 2020",""))</f>
        <v/>
      </c>
      <c r="BG30" s="125" t="str">
        <f>IF((AND(BF30="3 Feb 2020",LEN(BF30)&gt;0)),"Completed",IF((AND(BF30="12 Sep 2020",LEN(BF30)&gt;0)),"Pending",""))</f>
        <v/>
      </c>
      <c r="BH30" s="90" t="str">
        <f>IF((AND(BF30="3 Feb 2020",LEN(BF30)&gt;0)),"3 Feb 2020","")</f>
        <v/>
      </c>
      <c r="BI30" s="90">
        <v>65549</v>
      </c>
      <c r="BJ30" s="90" t="str">
        <f>L30</f>
        <v>6S93HS87137-84</v>
      </c>
      <c r="BK30" s="127">
        <v>43508</v>
      </c>
      <c r="BL30" s="127">
        <v>44239</v>
      </c>
      <c r="BM30" s="128">
        <f>P30*1.1</f>
        <v>956868.00000000012</v>
      </c>
      <c r="BN30" s="129">
        <f>P30*0.9</f>
        <v>782892</v>
      </c>
      <c r="BO30" s="130">
        <f>P30*0.8</f>
        <v>695904</v>
      </c>
      <c r="BP30" s="90">
        <f>IF(Z30="Y",BM30*0.4,BM30*1.05)</f>
        <v>1004711.4000000001</v>
      </c>
      <c r="BQ30" s="90">
        <f>BP30*0.8</f>
        <v>803769.12000000011</v>
      </c>
      <c r="BR30" s="90">
        <f>IF(ISNUMBER(SEARCH("subrecipient",AI26)),P30*0.6,"")</f>
        <v>521928</v>
      </c>
      <c r="BS30" s="90">
        <v>65549</v>
      </c>
      <c r="BT30" s="90" t="str">
        <f>BJ30</f>
        <v>6S93HS87137-84</v>
      </c>
      <c r="BU30" s="127">
        <f>BK30</f>
        <v>43508</v>
      </c>
      <c r="BV30" s="127">
        <f>BL30</f>
        <v>44239</v>
      </c>
      <c r="BW30" s="90" t="str">
        <f>H30</f>
        <v>FDA</v>
      </c>
      <c r="BX30" s="90" t="str">
        <f>IF(H30="NATIONAL HEMOPHILIA FOUNDATION","Non Federal","Federal")</f>
        <v>Federal</v>
      </c>
      <c r="BY30" s="128">
        <f>BM30</f>
        <v>956868.00000000012</v>
      </c>
      <c r="BZ30" s="90">
        <f>IF(LEN(BR30)&gt;0,1,"")</f>
        <v>1</v>
      </c>
      <c r="CA30" s="90" t="str">
        <f>IF(LEN(BR30)&gt;0,"VIRAL HEPATITIS PROJECT","")</f>
        <v>VIRAL HEPATITIS PROJECT</v>
      </c>
      <c r="CB30" s="129">
        <f>IF(LEN(BR30)&gt;0,BM30*0.7,"")</f>
        <v>669807.60000000009</v>
      </c>
      <c r="CC30" s="90">
        <f>BP30</f>
        <v>1004711.4000000001</v>
      </c>
      <c r="CD30" s="90" t="str">
        <f>IF(LEN(BR30)&gt;0,"70%","")</f>
        <v>70%</v>
      </c>
      <c r="CE30" s="90">
        <f>BS30</f>
        <v>65549</v>
      </c>
      <c r="CF30" s="90" t="str">
        <f>CA30</f>
        <v>VIRAL HEPATITIS PROJECT</v>
      </c>
      <c r="CG30" s="90" t="s">
        <v>207</v>
      </c>
      <c r="CH30" s="24" t="s">
        <v>208</v>
      </c>
      <c r="CI30" s="129">
        <f>CB30</f>
        <v>669807.60000000009</v>
      </c>
      <c r="CJ30" s="125" t="s">
        <v>157</v>
      </c>
      <c r="CK30" s="90" t="s">
        <v>158</v>
      </c>
      <c r="CL30" s="90" t="s">
        <v>159</v>
      </c>
      <c r="CM30" s="90" t="s">
        <v>160</v>
      </c>
      <c r="CN30" s="90" t="s">
        <v>160</v>
      </c>
      <c r="CO30" s="24" t="s">
        <v>161</v>
      </c>
      <c r="CP30" s="24" t="s">
        <v>209</v>
      </c>
      <c r="CQ30" s="132">
        <v>0.5</v>
      </c>
      <c r="CR30" s="127">
        <f>BU30+50</f>
        <v>43558</v>
      </c>
      <c r="CS30" s="127">
        <f>BV30-50</f>
        <v>44189</v>
      </c>
      <c r="CT30" s="138">
        <f>CI30*0.4</f>
        <v>267923.04000000004</v>
      </c>
    </row>
    <row r="31" spans="1:98" ht="45">
      <c r="A31" s="89">
        <v>65549</v>
      </c>
      <c r="B31" s="90">
        <v>2020</v>
      </c>
      <c r="C31" s="90" t="s">
        <v>81</v>
      </c>
      <c r="D31" s="90" t="s">
        <v>198</v>
      </c>
      <c r="E31" s="125" t="s">
        <v>210</v>
      </c>
      <c r="F31" s="24" t="s">
        <v>200</v>
      </c>
      <c r="G31" s="90" t="s">
        <v>85</v>
      </c>
      <c r="H31" s="90" t="s">
        <v>132</v>
      </c>
      <c r="I31" s="90">
        <v>93</v>
      </c>
      <c r="J31" s="90">
        <v>157</v>
      </c>
      <c r="K31" s="90" t="s">
        <v>85</v>
      </c>
      <c r="L31" s="90" t="s">
        <v>201</v>
      </c>
      <c r="M31" s="90" t="s">
        <v>119</v>
      </c>
      <c r="N31" s="24" t="s">
        <v>202</v>
      </c>
      <c r="O31" s="24" t="str">
        <f>IF(ISNUMBER(SEARCH("Cancer",N31)),"Cancer",IF(ISNUMBER(SEARCH("health",N31)),"Public health",IF(ISNUMBER(SEARCH("disabilities",N31)),"Disabilities","Other")))</f>
        <v>Public health</v>
      </c>
      <c r="P31" s="126">
        <v>869880</v>
      </c>
      <c r="Q31" s="90" t="s">
        <v>85</v>
      </c>
      <c r="R31" s="90" t="str">
        <f>IF(P31&gt;20000000,"B","A")</f>
        <v>A</v>
      </c>
      <c r="S31" s="90" t="s">
        <v>90</v>
      </c>
      <c r="T31" s="90" t="s">
        <v>119</v>
      </c>
      <c r="U31" s="90" t="s">
        <v>119</v>
      </c>
      <c r="V31" s="90" t="s">
        <v>119</v>
      </c>
      <c r="W31" s="90" t="s">
        <v>119</v>
      </c>
      <c r="X31" s="90" t="s">
        <v>119</v>
      </c>
      <c r="Y31" s="90" t="s">
        <v>119</v>
      </c>
      <c r="Z31" s="90" t="s">
        <v>119</v>
      </c>
      <c r="AA31" s="90" t="s">
        <v>119</v>
      </c>
      <c r="AB31" s="90" t="s">
        <v>119</v>
      </c>
      <c r="AC31" s="90" t="s">
        <v>119</v>
      </c>
      <c r="AD31" s="90" t="s">
        <v>119</v>
      </c>
      <c r="AE31" s="24">
        <v>0</v>
      </c>
      <c r="AF31" s="90">
        <v>0</v>
      </c>
      <c r="AG31" s="24">
        <v>0</v>
      </c>
      <c r="AH31" s="90">
        <v>85968</v>
      </c>
      <c r="AI31" s="24" t="s">
        <v>211</v>
      </c>
      <c r="AJ31" s="24" t="s">
        <v>212</v>
      </c>
      <c r="AK31" s="90" t="s">
        <v>85</v>
      </c>
      <c r="AL31" s="90">
        <v>65549</v>
      </c>
      <c r="AM31" s="90" t="s">
        <v>81</v>
      </c>
      <c r="AN31" s="90" t="s">
        <v>198</v>
      </c>
      <c r="AO31" s="125" t="s">
        <v>210</v>
      </c>
      <c r="AP31" s="24" t="s">
        <v>202</v>
      </c>
      <c r="AQ31" s="90" t="s">
        <v>201</v>
      </c>
      <c r="AR31" s="24" t="s">
        <v>202</v>
      </c>
      <c r="AS31" s="90" t="s">
        <v>119</v>
      </c>
      <c r="AT31" s="24" t="s">
        <v>211</v>
      </c>
      <c r="AU31" s="90" t="s">
        <v>119</v>
      </c>
      <c r="AV31" s="90" t="str">
        <f>IF(ISNUMBER(SEARCH("disagree",AE31)),"N","Y")</f>
        <v>Y</v>
      </c>
      <c r="AW31" s="90" t="s">
        <v>119</v>
      </c>
      <c r="AX31" s="24" t="s">
        <v>119</v>
      </c>
      <c r="AY31" s="90" t="str">
        <f>CONCATENATE(AZ31,BA31,BB31,BC31)</f>
        <v/>
      </c>
      <c r="AZ31" s="90" t="str">
        <f>IF(ISNUMBER(SEARCH("Y",AC31)),"R","")</f>
        <v/>
      </c>
      <c r="BA31" s="90" t="str">
        <f>IF(ISNUMBER(SEARCH("Y",Y31)),"M","")</f>
        <v/>
      </c>
      <c r="BB31" s="90" t="str">
        <f>IF(ISNUMBER(SEARCH("Y",AB31)),"QC","")</f>
        <v/>
      </c>
      <c r="BC31" s="90" t="str">
        <f>IF(ISNUMBER(SEARCH("Y",Z31)),"S","")</f>
        <v/>
      </c>
      <c r="BD31" s="90"/>
      <c r="BE31" s="24" t="s">
        <v>119</v>
      </c>
      <c r="BF31" s="125" t="str">
        <f>IF(AND(AW31&gt;=56543,AW31&lt;=76543,LEN(AW31)&gt;0),"3 Feb 2020",IF(AND(AW31&gt;=66544,AW31&lt;=99999,LEN(AW31)&gt;0),"12 Sep 2020",""))</f>
        <v/>
      </c>
      <c r="BG31" s="125" t="str">
        <f>IF((AND(BF31="3 Feb 2020",LEN(BF31)&gt;0)),"Completed",IF((AND(BF31="12 Sep 2020",LEN(BF31)&gt;0)),"Pending",""))</f>
        <v/>
      </c>
      <c r="BH31" s="90" t="str">
        <f>IF((AND(BF31="3 Feb 2020",LEN(BF31)&gt;0)),"3 Feb 2020","")</f>
        <v/>
      </c>
      <c r="BI31" s="90">
        <v>65549</v>
      </c>
      <c r="BJ31" s="90" t="str">
        <f>L31</f>
        <v>6S93HS87137-84</v>
      </c>
      <c r="BK31" s="127">
        <v>43508</v>
      </c>
      <c r="BL31" s="127">
        <v>44239</v>
      </c>
      <c r="BM31" s="128">
        <f>P31*1.1</f>
        <v>956868.00000000012</v>
      </c>
      <c r="BN31" s="129">
        <f>P31*0.9</f>
        <v>782892</v>
      </c>
      <c r="BO31" s="130">
        <f>P31*0.8</f>
        <v>695904</v>
      </c>
      <c r="BP31" s="90">
        <f>IF(Z31="Y",BM31*0.4,BM31*1.05)</f>
        <v>1004711.4000000001</v>
      </c>
      <c r="BQ31" s="90">
        <f>BP31*0.8</f>
        <v>803769.12000000011</v>
      </c>
      <c r="BR31" s="90">
        <f>IF(ISNUMBER(SEARCH("subrecipient",AI31)),P31*0.6,"")</f>
        <v>521928</v>
      </c>
      <c r="BS31" s="90">
        <v>65549</v>
      </c>
      <c r="BT31" s="90" t="str">
        <f>BJ31</f>
        <v>6S93HS87137-84</v>
      </c>
      <c r="BU31" s="127">
        <f>BK31</f>
        <v>43508</v>
      </c>
      <c r="BV31" s="127">
        <f>BL31</f>
        <v>44239</v>
      </c>
      <c r="BW31" s="90" t="str">
        <f>H31</f>
        <v>FDA</v>
      </c>
      <c r="BX31" s="90" t="str">
        <f>IF(H31="NATIONAL HEMOPHILIA FOUNDATION","Non Federal","Federal")</f>
        <v>Federal</v>
      </c>
      <c r="BY31" s="128">
        <f>BM31</f>
        <v>956868.00000000012</v>
      </c>
      <c r="BZ31" s="90">
        <f>IF(LEN(BR31)&gt;0,1,"")</f>
        <v>1</v>
      </c>
      <c r="CA31" s="90" t="str">
        <f>IF(LEN(BR31)&gt;0,"VIRAL HEPATITIS PROJECT","")</f>
        <v>VIRAL HEPATITIS PROJECT</v>
      </c>
      <c r="CB31" s="129">
        <f>IF(LEN(BR31)&gt;0,BM31*0.7,"")</f>
        <v>669807.60000000009</v>
      </c>
      <c r="CC31" s="90">
        <f>BP31</f>
        <v>1004711.4000000001</v>
      </c>
      <c r="CD31" s="90" t="str">
        <f>IF(LEN(BR31)&gt;0,"70%","")</f>
        <v>70%</v>
      </c>
      <c r="CE31" s="90">
        <f>BS31</f>
        <v>65549</v>
      </c>
      <c r="CF31" s="90" t="str">
        <f>CA31</f>
        <v>VIRAL HEPATITIS PROJECT</v>
      </c>
      <c r="CG31" s="90" t="s">
        <v>213</v>
      </c>
      <c r="CH31" s="90"/>
      <c r="CI31" s="90"/>
      <c r="CJ31" s="90"/>
      <c r="CK31" s="90"/>
      <c r="CL31" s="90"/>
      <c r="CM31" s="90"/>
      <c r="CN31" s="90"/>
      <c r="CO31" s="90"/>
      <c r="CP31" s="90"/>
      <c r="CQ31" s="90"/>
      <c r="CR31" s="90"/>
      <c r="CS31" s="90"/>
      <c r="CT31" s="137"/>
    </row>
    <row r="32" spans="1:98" ht="105">
      <c r="A32" s="89">
        <v>66846</v>
      </c>
      <c r="B32" s="90">
        <v>2020</v>
      </c>
      <c r="C32" s="90" t="s">
        <v>81</v>
      </c>
      <c r="D32" s="90" t="s">
        <v>214</v>
      </c>
      <c r="E32" s="125" t="s">
        <v>215</v>
      </c>
      <c r="F32" s="24" t="s">
        <v>216</v>
      </c>
      <c r="G32" s="90" t="s">
        <v>85</v>
      </c>
      <c r="H32" s="90" t="s">
        <v>150</v>
      </c>
      <c r="I32" s="90">
        <v>93</v>
      </c>
      <c r="J32" s="90">
        <v>157</v>
      </c>
      <c r="K32" s="90" t="s">
        <v>85</v>
      </c>
      <c r="L32" s="90" t="s">
        <v>217</v>
      </c>
      <c r="M32" s="90" t="s">
        <v>119</v>
      </c>
      <c r="N32" s="24" t="s">
        <v>218</v>
      </c>
      <c r="O32" s="24" t="str">
        <f>IF(ISNUMBER(SEARCH("Cancer",N32)),"Cancer",IF(ISNUMBER(SEARCH("health",N32)),"Public health",IF(ISNUMBER(SEARCH("disabilities",N32)),"Disabilities","Other")))</f>
        <v>Other</v>
      </c>
      <c r="P32" s="126">
        <v>886126</v>
      </c>
      <c r="Q32" s="90" t="s">
        <v>85</v>
      </c>
      <c r="R32" s="90" t="str">
        <f>IF(P32&gt;20000000,"B","A")</f>
        <v>A</v>
      </c>
      <c r="S32" s="90" t="s">
        <v>90</v>
      </c>
      <c r="T32" s="90" t="s">
        <v>119</v>
      </c>
      <c r="U32" s="90" t="s">
        <v>119</v>
      </c>
      <c r="V32" s="90" t="s">
        <v>119</v>
      </c>
      <c r="W32" s="90" t="s">
        <v>119</v>
      </c>
      <c r="X32" s="90" t="s">
        <v>119</v>
      </c>
      <c r="Y32" s="90" t="s">
        <v>119</v>
      </c>
      <c r="Z32" s="90" t="s">
        <v>119</v>
      </c>
      <c r="AA32" s="90" t="s">
        <v>119</v>
      </c>
      <c r="AB32" s="90" t="s">
        <v>119</v>
      </c>
      <c r="AC32" s="90" t="s">
        <v>119</v>
      </c>
      <c r="AD32" s="90" t="s">
        <v>119</v>
      </c>
      <c r="AE32" s="24">
        <v>0</v>
      </c>
      <c r="AF32" s="90">
        <v>0</v>
      </c>
      <c r="AG32" s="24">
        <v>0</v>
      </c>
      <c r="AH32" s="90">
        <v>84189</v>
      </c>
      <c r="AI32" s="24" t="s">
        <v>94</v>
      </c>
      <c r="AJ32" s="24" t="s">
        <v>219</v>
      </c>
      <c r="AK32" s="90" t="s">
        <v>85</v>
      </c>
      <c r="AL32" s="90">
        <v>66846</v>
      </c>
      <c r="AM32" s="90" t="s">
        <v>81</v>
      </c>
      <c r="AN32" s="90" t="s">
        <v>214</v>
      </c>
      <c r="AO32" s="125" t="s">
        <v>215</v>
      </c>
      <c r="AP32" s="24" t="s">
        <v>218</v>
      </c>
      <c r="AQ32" s="90" t="s">
        <v>217</v>
      </c>
      <c r="AR32" s="24" t="s">
        <v>218</v>
      </c>
      <c r="AS32" s="90" t="s">
        <v>119</v>
      </c>
      <c r="AT32" s="24" t="s">
        <v>94</v>
      </c>
      <c r="AU32" s="90" t="s">
        <v>119</v>
      </c>
      <c r="AV32" s="90" t="str">
        <f>IF(ISNUMBER(SEARCH("disagree",AE32)),"N","Y")</f>
        <v>Y</v>
      </c>
      <c r="AW32" s="90" t="s">
        <v>119</v>
      </c>
      <c r="AX32" s="24" t="s">
        <v>119</v>
      </c>
      <c r="AY32" s="90" t="str">
        <f>CONCATENATE(AZ32,BA32,BB32,BC32)</f>
        <v/>
      </c>
      <c r="AZ32" s="90" t="str">
        <f>IF(ISNUMBER(SEARCH("Y",AC32)),"R","")</f>
        <v/>
      </c>
      <c r="BA32" s="90" t="str">
        <f>IF(ISNUMBER(SEARCH("Y",Y32)),"M","")</f>
        <v/>
      </c>
      <c r="BB32" s="90" t="str">
        <f>IF(ISNUMBER(SEARCH("Y",AB32)),"QC","")</f>
        <v/>
      </c>
      <c r="BC32" s="90" t="str">
        <f>IF(ISNUMBER(SEARCH("Y",Z32)),"S","")</f>
        <v/>
      </c>
      <c r="BD32" s="90"/>
      <c r="BE32" s="24" t="s">
        <v>119</v>
      </c>
      <c r="BF32" s="125" t="str">
        <f>IF(AND(AW32&gt;=56543,AW32&lt;=76543,LEN(AW32)&gt;0),"3 Feb 2020",IF(AND(AW32&gt;=66544,AW32&lt;=99999,LEN(AW32)&gt;0),"12 Sep 2020",""))</f>
        <v/>
      </c>
      <c r="BG32" s="125" t="str">
        <f>IF((AND(BF32="3 Feb 2020",LEN(BF32)&gt;0)),"Completed",IF((AND(BF32="12 Sep 2020",LEN(BF32)&gt;0)),"Pending",""))</f>
        <v/>
      </c>
      <c r="BH32" s="90" t="str">
        <f>IF((AND(BF32="3 Feb 2020",LEN(BF32)&gt;0)),"3 Feb 2020","")</f>
        <v/>
      </c>
      <c r="BI32" s="90">
        <v>66846</v>
      </c>
      <c r="BJ32" s="90" t="str">
        <f>L32</f>
        <v>7S57BS87135-60</v>
      </c>
      <c r="BK32" s="127">
        <v>43508</v>
      </c>
      <c r="BL32" s="127">
        <v>44239</v>
      </c>
      <c r="BM32" s="128">
        <f>P32*1.1</f>
        <v>974738.60000000009</v>
      </c>
      <c r="BN32" s="129">
        <f>P32*0.9</f>
        <v>797513.4</v>
      </c>
      <c r="BO32" s="130">
        <f>P32*0.8</f>
        <v>708900.8</v>
      </c>
      <c r="BP32" s="90">
        <f>IF(Z32="Y",BM32*0.4,BM32*1.05)</f>
        <v>1023475.5300000001</v>
      </c>
      <c r="BQ32" s="90">
        <f>BP32*0.8</f>
        <v>818780.42400000012</v>
      </c>
      <c r="BR32" s="90" t="str">
        <f>IF(ISNUMBER(SEARCH("subrecipient",AI28)),P32*0.6,"")</f>
        <v/>
      </c>
      <c r="BS32" s="90">
        <v>66846</v>
      </c>
      <c r="BT32" s="90" t="str">
        <f>BJ32</f>
        <v>7S57BS87135-60</v>
      </c>
      <c r="BU32" s="127">
        <f>BK32</f>
        <v>43508</v>
      </c>
      <c r="BV32" s="127">
        <f>BL32</f>
        <v>44239</v>
      </c>
      <c r="BW32" s="90" t="str">
        <f>H32</f>
        <v>ACF</v>
      </c>
      <c r="BX32" s="90" t="str">
        <f>IF(H32="NATIONAL HEMOPHILIA FOUNDATION","Non Federal","Federal")</f>
        <v>Federal</v>
      </c>
      <c r="BY32" s="128">
        <f>BM32</f>
        <v>974738.60000000009</v>
      </c>
      <c r="BZ32" s="90" t="str">
        <f>IF(LEN(BR32)&gt;0,1,"")</f>
        <v/>
      </c>
      <c r="CA32" s="90" t="str">
        <f>IF(LEN(BR32)&gt;0,"VIRAL HEPATITIS PROJECT","")</f>
        <v/>
      </c>
      <c r="CB32" s="129" t="str">
        <f>IF(LEN(BR32)&gt;0,BM32*0.7,"")</f>
        <v/>
      </c>
      <c r="CC32" s="90">
        <f>BP32</f>
        <v>1023475.5300000001</v>
      </c>
      <c r="CD32" s="90" t="str">
        <f>IF(LEN(BR32)&gt;0,"70%","")</f>
        <v/>
      </c>
      <c r="CE32" s="90">
        <f>BS32</f>
        <v>66846</v>
      </c>
      <c r="CF32" s="90" t="str">
        <f>CA32</f>
        <v/>
      </c>
      <c r="CG32" s="90"/>
      <c r="CH32" s="90"/>
      <c r="CI32" s="90"/>
      <c r="CJ32" s="90"/>
      <c r="CK32" s="90"/>
      <c r="CL32" s="90"/>
      <c r="CM32" s="90"/>
      <c r="CN32" s="90"/>
      <c r="CO32" s="90"/>
      <c r="CP32" s="90"/>
      <c r="CQ32" s="90"/>
      <c r="CR32" s="90"/>
      <c r="CS32" s="90"/>
      <c r="CT32" s="137"/>
    </row>
    <row r="33" spans="1:98" ht="75">
      <c r="A33" s="89">
        <v>66846</v>
      </c>
      <c r="B33" s="90">
        <v>2020</v>
      </c>
      <c r="C33" s="90" t="s">
        <v>81</v>
      </c>
      <c r="D33" s="90" t="s">
        <v>214</v>
      </c>
      <c r="E33" s="125" t="s">
        <v>220</v>
      </c>
      <c r="F33" s="24" t="s">
        <v>216</v>
      </c>
      <c r="G33" s="90" t="s">
        <v>85</v>
      </c>
      <c r="H33" s="90" t="s">
        <v>150</v>
      </c>
      <c r="I33" s="90">
        <v>93</v>
      </c>
      <c r="J33" s="90">
        <v>157</v>
      </c>
      <c r="K33" s="90" t="s">
        <v>85</v>
      </c>
      <c r="L33" s="90" t="s">
        <v>217</v>
      </c>
      <c r="M33" s="90" t="s">
        <v>119</v>
      </c>
      <c r="N33" s="24" t="s">
        <v>218</v>
      </c>
      <c r="O33" s="24" t="str">
        <f>IF(ISNUMBER(SEARCH("Cancer",N33)),"Cancer",IF(ISNUMBER(SEARCH("health",N33)),"Public health",IF(ISNUMBER(SEARCH("disabilities",N33)),"Disabilities","Other")))</f>
        <v>Other</v>
      </c>
      <c r="P33" s="126">
        <v>886126</v>
      </c>
      <c r="Q33" s="90" t="s">
        <v>85</v>
      </c>
      <c r="R33" s="90" t="str">
        <f>IF(P33&gt;20000000,"B","A")</f>
        <v>A</v>
      </c>
      <c r="S33" s="90" t="s">
        <v>90</v>
      </c>
      <c r="T33" s="90" t="s">
        <v>119</v>
      </c>
      <c r="U33" s="90" t="s">
        <v>119</v>
      </c>
      <c r="V33" s="90" t="s">
        <v>119</v>
      </c>
      <c r="W33" s="90" t="s">
        <v>119</v>
      </c>
      <c r="X33" s="90" t="s">
        <v>119</v>
      </c>
      <c r="Y33" s="90" t="s">
        <v>119</v>
      </c>
      <c r="Z33" s="90" t="s">
        <v>119</v>
      </c>
      <c r="AA33" s="90" t="s">
        <v>119</v>
      </c>
      <c r="AB33" s="90" t="s">
        <v>119</v>
      </c>
      <c r="AC33" s="90" t="s">
        <v>119</v>
      </c>
      <c r="AD33" s="90" t="s">
        <v>119</v>
      </c>
      <c r="AE33" s="24">
        <v>0</v>
      </c>
      <c r="AF33" s="90">
        <v>0</v>
      </c>
      <c r="AG33" s="24">
        <v>0</v>
      </c>
      <c r="AH33" s="90">
        <v>84188</v>
      </c>
      <c r="AI33" s="24" t="s">
        <v>102</v>
      </c>
      <c r="AJ33" s="24" t="s">
        <v>221</v>
      </c>
      <c r="AK33" s="90" t="s">
        <v>85</v>
      </c>
      <c r="AL33" s="90">
        <v>66846</v>
      </c>
      <c r="AM33" s="90" t="s">
        <v>81</v>
      </c>
      <c r="AN33" s="90" t="s">
        <v>214</v>
      </c>
      <c r="AO33" s="125" t="s">
        <v>220</v>
      </c>
      <c r="AP33" s="24" t="s">
        <v>218</v>
      </c>
      <c r="AQ33" s="90" t="s">
        <v>217</v>
      </c>
      <c r="AR33" s="24" t="s">
        <v>218</v>
      </c>
      <c r="AS33" s="90" t="s">
        <v>119</v>
      </c>
      <c r="AT33" s="24" t="s">
        <v>102</v>
      </c>
      <c r="AU33" s="90" t="s">
        <v>119</v>
      </c>
      <c r="AV33" s="90" t="str">
        <f>IF(ISNUMBER(SEARCH("disagree",AE33)),"N","Y")</f>
        <v>Y</v>
      </c>
      <c r="AW33" s="90" t="s">
        <v>119</v>
      </c>
      <c r="AX33" s="24" t="s">
        <v>119</v>
      </c>
      <c r="AY33" s="90" t="str">
        <f>CONCATENATE(AZ33,BA33,BB33,BC33)</f>
        <v/>
      </c>
      <c r="AZ33" s="90" t="str">
        <f>IF(ISNUMBER(SEARCH("Y",AC33)),"R","")</f>
        <v/>
      </c>
      <c r="BA33" s="90" t="str">
        <f>IF(ISNUMBER(SEARCH("Y",Y33)),"M","")</f>
        <v/>
      </c>
      <c r="BB33" s="90" t="str">
        <f>IF(ISNUMBER(SEARCH("Y",AB33)),"QC","")</f>
        <v/>
      </c>
      <c r="BC33" s="90" t="str">
        <f>IF(ISNUMBER(SEARCH("Y",Z33)),"S","")</f>
        <v/>
      </c>
      <c r="BD33" s="90"/>
      <c r="BE33" s="24" t="s">
        <v>119</v>
      </c>
      <c r="BF33" s="125" t="str">
        <f>IF(AND(AW33&gt;=56543,AW33&lt;=76543,LEN(AW33)&gt;0),"3 Feb 2020",IF(AND(AW33&gt;=66544,AW33&lt;=99999,LEN(AW33)&gt;0),"12 Sep 2020",""))</f>
        <v/>
      </c>
      <c r="BG33" s="125" t="str">
        <f>IF((AND(BF33="3 Feb 2020",LEN(BF33)&gt;0)),"Completed",IF((AND(BF33="12 Sep 2020",LEN(BF33)&gt;0)),"Pending",""))</f>
        <v/>
      </c>
      <c r="BH33" s="90" t="str">
        <f>IF((AND(BF33="3 Feb 2020",LEN(BF33)&gt;0)),"3 Feb 2020","")</f>
        <v/>
      </c>
      <c r="BI33" s="90">
        <v>66846</v>
      </c>
      <c r="BJ33" s="90" t="str">
        <f>L33</f>
        <v>7S57BS87135-60</v>
      </c>
      <c r="BK33" s="127">
        <v>43508</v>
      </c>
      <c r="BL33" s="127">
        <v>44239</v>
      </c>
      <c r="BM33" s="128">
        <f>P33*1.1</f>
        <v>974738.60000000009</v>
      </c>
      <c r="BN33" s="129">
        <f>P33*0.9</f>
        <v>797513.4</v>
      </c>
      <c r="BO33" s="130">
        <f>P33*0.8</f>
        <v>708900.8</v>
      </c>
      <c r="BP33" s="90">
        <f>IF(Z33="Y",BM33*0.4,BM33*1.05)</f>
        <v>1023475.5300000001</v>
      </c>
      <c r="BQ33" s="90">
        <f>BP33*0.8</f>
        <v>818780.42400000012</v>
      </c>
      <c r="BR33" s="90" t="str">
        <f>IF(ISNUMBER(SEARCH("subrecipient",AI29)),P33*0.6,"")</f>
        <v/>
      </c>
      <c r="BS33" s="90">
        <v>66846</v>
      </c>
      <c r="BT33" s="90" t="str">
        <f>BJ33</f>
        <v>7S57BS87135-60</v>
      </c>
      <c r="BU33" s="127">
        <f>BK33</f>
        <v>43508</v>
      </c>
      <c r="BV33" s="127">
        <f>BL33</f>
        <v>44239</v>
      </c>
      <c r="BW33" s="90" t="str">
        <f>H33</f>
        <v>ACF</v>
      </c>
      <c r="BX33" s="90" t="str">
        <f>IF(H33="NATIONAL HEMOPHILIA FOUNDATION","Non Federal","Federal")</f>
        <v>Federal</v>
      </c>
      <c r="BY33" s="128">
        <f>BM33</f>
        <v>974738.60000000009</v>
      </c>
      <c r="BZ33" s="90" t="str">
        <f>IF(LEN(BR33)&gt;0,1,"")</f>
        <v/>
      </c>
      <c r="CA33" s="90" t="str">
        <f>IF(LEN(BR33)&gt;0,"VIRAL HEPATITIS PROJECT","")</f>
        <v/>
      </c>
      <c r="CB33" s="129" t="str">
        <f>IF(LEN(BR33)&gt;0,BM33*0.7,"")</f>
        <v/>
      </c>
      <c r="CC33" s="90">
        <f>BP33</f>
        <v>1023475.5300000001</v>
      </c>
      <c r="CD33" s="90" t="str">
        <f>IF(LEN(BR33)&gt;0,"70%","")</f>
        <v/>
      </c>
      <c r="CE33" s="90">
        <f>BS33</f>
        <v>66846</v>
      </c>
      <c r="CF33" s="90" t="str">
        <f>CA33</f>
        <v/>
      </c>
      <c r="CG33" s="90"/>
      <c r="CH33" s="90"/>
      <c r="CI33" s="90"/>
      <c r="CJ33" s="90"/>
      <c r="CK33" s="90"/>
      <c r="CL33" s="90"/>
      <c r="CM33" s="90"/>
      <c r="CN33" s="90"/>
      <c r="CO33" s="90"/>
      <c r="CP33" s="90"/>
      <c r="CQ33" s="90"/>
      <c r="CR33" s="90"/>
      <c r="CS33" s="90"/>
      <c r="CT33" s="137"/>
    </row>
    <row r="34" spans="1:98" ht="60">
      <c r="A34" s="89">
        <v>66846</v>
      </c>
      <c r="B34" s="90">
        <v>2020</v>
      </c>
      <c r="C34" s="90" t="s">
        <v>81</v>
      </c>
      <c r="D34" s="90" t="s">
        <v>214</v>
      </c>
      <c r="E34" s="125" t="s">
        <v>222</v>
      </c>
      <c r="F34" s="24" t="s">
        <v>216</v>
      </c>
      <c r="G34" s="90" t="s">
        <v>85</v>
      </c>
      <c r="H34" s="90" t="s">
        <v>150</v>
      </c>
      <c r="I34" s="90">
        <v>93</v>
      </c>
      <c r="J34" s="90">
        <v>157</v>
      </c>
      <c r="K34" s="90" t="s">
        <v>85</v>
      </c>
      <c r="L34" s="90" t="s">
        <v>217</v>
      </c>
      <c r="M34" s="90" t="s">
        <v>119</v>
      </c>
      <c r="N34" s="24" t="s">
        <v>218</v>
      </c>
      <c r="O34" s="24" t="str">
        <f>IF(ISNUMBER(SEARCH("Cancer",N34)),"Cancer",IF(ISNUMBER(SEARCH("health",N34)),"Public health",IF(ISNUMBER(SEARCH("disabilities",N34)),"Disabilities","Other")))</f>
        <v>Other</v>
      </c>
      <c r="P34" s="126">
        <v>886126</v>
      </c>
      <c r="Q34" s="90" t="s">
        <v>85</v>
      </c>
      <c r="R34" s="90" t="str">
        <f>IF(P34&gt;20000000,"B","A")</f>
        <v>A</v>
      </c>
      <c r="S34" s="90" t="s">
        <v>90</v>
      </c>
      <c r="T34" s="90" t="s">
        <v>119</v>
      </c>
      <c r="U34" s="90" t="s">
        <v>119</v>
      </c>
      <c r="V34" s="90" t="s">
        <v>119</v>
      </c>
      <c r="W34" s="90" t="s">
        <v>119</v>
      </c>
      <c r="X34" s="90" t="s">
        <v>119</v>
      </c>
      <c r="Y34" s="90" t="s">
        <v>119</v>
      </c>
      <c r="Z34" s="90" t="s">
        <v>119</v>
      </c>
      <c r="AA34" s="90" t="s">
        <v>119</v>
      </c>
      <c r="AB34" s="90" t="s">
        <v>119</v>
      </c>
      <c r="AC34" s="90" t="s">
        <v>119</v>
      </c>
      <c r="AD34" s="90" t="s">
        <v>119</v>
      </c>
      <c r="AE34" s="24">
        <v>0</v>
      </c>
      <c r="AF34" s="90">
        <v>0</v>
      </c>
      <c r="AG34" s="24">
        <v>0</v>
      </c>
      <c r="AH34" s="90">
        <v>84190</v>
      </c>
      <c r="AI34" s="24" t="s">
        <v>124</v>
      </c>
      <c r="AJ34" s="24" t="s">
        <v>223</v>
      </c>
      <c r="AK34" s="90" t="s">
        <v>85</v>
      </c>
      <c r="AL34" s="90">
        <v>66846</v>
      </c>
      <c r="AM34" s="90" t="s">
        <v>81</v>
      </c>
      <c r="AN34" s="90" t="s">
        <v>214</v>
      </c>
      <c r="AO34" s="125" t="s">
        <v>222</v>
      </c>
      <c r="AP34" s="24" t="s">
        <v>218</v>
      </c>
      <c r="AQ34" s="90" t="s">
        <v>217</v>
      </c>
      <c r="AR34" s="24" t="s">
        <v>218</v>
      </c>
      <c r="AS34" s="90" t="s">
        <v>119</v>
      </c>
      <c r="AT34" s="24" t="s">
        <v>124</v>
      </c>
      <c r="AU34" s="90" t="s">
        <v>119</v>
      </c>
      <c r="AV34" s="90" t="str">
        <f>IF(ISNUMBER(SEARCH("disagree",AE34)),"N","Y")</f>
        <v>Y</v>
      </c>
      <c r="AW34" s="90" t="s">
        <v>119</v>
      </c>
      <c r="AX34" s="24" t="s">
        <v>119</v>
      </c>
      <c r="AY34" s="90" t="str">
        <f>CONCATENATE(AZ34,BA34,BB34,BC34)</f>
        <v/>
      </c>
      <c r="AZ34" s="90" t="str">
        <f>IF(ISNUMBER(SEARCH("Y",AC34)),"R","")</f>
        <v/>
      </c>
      <c r="BA34" s="90" t="str">
        <f>IF(ISNUMBER(SEARCH("Y",Y34)),"M","")</f>
        <v/>
      </c>
      <c r="BB34" s="90" t="str">
        <f>IF(ISNUMBER(SEARCH("Y",AB34)),"QC","")</f>
        <v/>
      </c>
      <c r="BC34" s="90" t="str">
        <f>IF(ISNUMBER(SEARCH("Y",Z34)),"S","")</f>
        <v/>
      </c>
      <c r="BD34" s="90"/>
      <c r="BE34" s="24" t="s">
        <v>119</v>
      </c>
      <c r="BF34" s="125" t="str">
        <f>IF(AND(AW34&gt;=56543,AW34&lt;=76543,LEN(AW34)&gt;0),"3 Feb 2020",IF(AND(AW34&gt;=66544,AW34&lt;=99999,LEN(AW34)&gt;0),"12 Sep 2020",""))</f>
        <v/>
      </c>
      <c r="BG34" s="125" t="str">
        <f>IF((AND(BF34="3 Feb 2020",LEN(BF34)&gt;0)),"Completed",IF((AND(BF34="12 Sep 2020",LEN(BF34)&gt;0)),"Pending",""))</f>
        <v/>
      </c>
      <c r="BH34" s="90" t="str">
        <f>IF((AND(BF34="3 Feb 2020",LEN(BF34)&gt;0)),"3 Feb 2020","")</f>
        <v/>
      </c>
      <c r="BI34" s="90">
        <v>66846</v>
      </c>
      <c r="BJ34" s="90" t="str">
        <f>L34</f>
        <v>7S57BS87135-60</v>
      </c>
      <c r="BK34" s="127">
        <v>43508</v>
      </c>
      <c r="BL34" s="127">
        <v>44239</v>
      </c>
      <c r="BM34" s="128">
        <f>P34*1.1</f>
        <v>974738.60000000009</v>
      </c>
      <c r="BN34" s="129">
        <f>P34*0.9</f>
        <v>797513.4</v>
      </c>
      <c r="BO34" s="130">
        <f>P34*0.8</f>
        <v>708900.8</v>
      </c>
      <c r="BP34" s="90">
        <f>IF(Z34="Y",BM34*0.4,BM34*1.05)</f>
        <v>1023475.5300000001</v>
      </c>
      <c r="BQ34" s="90">
        <f>BP34*0.8</f>
        <v>818780.42400000012</v>
      </c>
      <c r="BR34" s="90" t="str">
        <f>IF(ISNUMBER(SEARCH("subrecipient",AI30)),P34*0.6,"")</f>
        <v/>
      </c>
      <c r="BS34" s="90">
        <v>66846</v>
      </c>
      <c r="BT34" s="90" t="str">
        <f>BJ34</f>
        <v>7S57BS87135-60</v>
      </c>
      <c r="BU34" s="127">
        <f>BK34</f>
        <v>43508</v>
      </c>
      <c r="BV34" s="127">
        <f>BL34</f>
        <v>44239</v>
      </c>
      <c r="BW34" s="90" t="str">
        <f>H34</f>
        <v>ACF</v>
      </c>
      <c r="BX34" s="90" t="str">
        <f>IF(H34="NATIONAL HEMOPHILIA FOUNDATION","Non Federal","Federal")</f>
        <v>Federal</v>
      </c>
      <c r="BY34" s="128">
        <f>BM34</f>
        <v>974738.60000000009</v>
      </c>
      <c r="BZ34" s="90" t="str">
        <f>IF(LEN(BR34)&gt;0,1,"")</f>
        <v/>
      </c>
      <c r="CA34" s="90" t="str">
        <f>IF(LEN(BR34)&gt;0,"VIRAL HEPATITIS PROJECT","")</f>
        <v/>
      </c>
      <c r="CB34" s="129" t="str">
        <f>IF(LEN(BR34)&gt;0,BM34*0.7,"")</f>
        <v/>
      </c>
      <c r="CC34" s="90">
        <f>BP34</f>
        <v>1023475.5300000001</v>
      </c>
      <c r="CD34" s="90" t="str">
        <f>IF(LEN(BR34)&gt;0,"70%","")</f>
        <v/>
      </c>
      <c r="CE34" s="90">
        <f>BS34</f>
        <v>66846</v>
      </c>
      <c r="CF34" s="90" t="str">
        <f>CA34</f>
        <v/>
      </c>
      <c r="CG34" s="90"/>
      <c r="CH34" s="90"/>
      <c r="CI34" s="90"/>
      <c r="CJ34" s="90"/>
      <c r="CK34" s="90"/>
      <c r="CL34" s="90"/>
      <c r="CM34" s="90"/>
      <c r="CN34" s="90"/>
      <c r="CO34" s="90"/>
      <c r="CP34" s="90"/>
      <c r="CQ34" s="90"/>
      <c r="CR34" s="90"/>
      <c r="CS34" s="90"/>
      <c r="CT34" s="137"/>
    </row>
    <row r="35" spans="1:98" ht="150">
      <c r="A35" s="89">
        <v>67316</v>
      </c>
      <c r="B35" s="90">
        <v>2020</v>
      </c>
      <c r="C35" s="90" t="s">
        <v>81</v>
      </c>
      <c r="D35" s="90" t="s">
        <v>224</v>
      </c>
      <c r="E35" s="125" t="s">
        <v>225</v>
      </c>
      <c r="F35" s="24" t="s">
        <v>226</v>
      </c>
      <c r="G35" s="90" t="s">
        <v>85</v>
      </c>
      <c r="H35" s="90" t="s">
        <v>86</v>
      </c>
      <c r="I35" s="90">
        <v>93</v>
      </c>
      <c r="J35" s="90">
        <v>157</v>
      </c>
      <c r="K35" s="90" t="s">
        <v>85</v>
      </c>
      <c r="L35" s="90" t="s">
        <v>227</v>
      </c>
      <c r="M35" s="90" t="s">
        <v>119</v>
      </c>
      <c r="N35" s="24" t="s">
        <v>228</v>
      </c>
      <c r="O35" s="24" t="str">
        <f>IF(ISNUMBER(SEARCH("Cancer",N35)),"Cancer",IF(ISNUMBER(SEARCH("health",N35)),"Public health",IF(ISNUMBER(SEARCH("disabilities",N35)),"Disabilities","Other")))</f>
        <v>Other</v>
      </c>
      <c r="P35" s="126">
        <v>969787</v>
      </c>
      <c r="Q35" s="90" t="s">
        <v>85</v>
      </c>
      <c r="R35" s="90" t="str">
        <f>IF(P35&gt;20000000,"B","A")</f>
        <v>A</v>
      </c>
      <c r="S35" s="90" t="s">
        <v>90</v>
      </c>
      <c r="T35" s="90" t="s">
        <v>119</v>
      </c>
      <c r="U35" s="90" t="s">
        <v>119</v>
      </c>
      <c r="V35" s="90" t="s">
        <v>119</v>
      </c>
      <c r="W35" s="90" t="s">
        <v>119</v>
      </c>
      <c r="X35" s="90" t="s">
        <v>119</v>
      </c>
      <c r="Y35" s="90" t="s">
        <v>119</v>
      </c>
      <c r="Z35" s="90" t="s">
        <v>119</v>
      </c>
      <c r="AA35" s="90" t="s">
        <v>119</v>
      </c>
      <c r="AB35" s="90" t="s">
        <v>119</v>
      </c>
      <c r="AC35" s="90" t="s">
        <v>119</v>
      </c>
      <c r="AD35" s="90" t="s">
        <v>119</v>
      </c>
      <c r="AE35" s="24">
        <v>0</v>
      </c>
      <c r="AF35" s="90">
        <v>0</v>
      </c>
      <c r="AG35" s="24">
        <v>0</v>
      </c>
      <c r="AH35" s="90">
        <v>89995</v>
      </c>
      <c r="AI35" s="24" t="s">
        <v>94</v>
      </c>
      <c r="AJ35" s="24" t="s">
        <v>229</v>
      </c>
      <c r="AK35" s="90" t="s">
        <v>85</v>
      </c>
      <c r="AL35" s="90">
        <v>67316</v>
      </c>
      <c r="AM35" s="90" t="s">
        <v>81</v>
      </c>
      <c r="AN35" s="90" t="s">
        <v>224</v>
      </c>
      <c r="AO35" s="125" t="s">
        <v>225</v>
      </c>
      <c r="AP35" s="24" t="s">
        <v>228</v>
      </c>
      <c r="AQ35" s="90" t="s">
        <v>227</v>
      </c>
      <c r="AR35" s="24" t="s">
        <v>228</v>
      </c>
      <c r="AS35" s="90" t="s">
        <v>119</v>
      </c>
      <c r="AT35" s="24" t="s">
        <v>94</v>
      </c>
      <c r="AU35" s="90" t="s">
        <v>119</v>
      </c>
      <c r="AV35" s="90" t="str">
        <f>IF(ISNUMBER(SEARCH("disagree",AE35)),"N","Y")</f>
        <v>Y</v>
      </c>
      <c r="AW35" s="90" t="s">
        <v>119</v>
      </c>
      <c r="AX35" s="24" t="s">
        <v>119</v>
      </c>
      <c r="AY35" s="90" t="str">
        <f>CONCATENATE(AZ35,BA35,BB35,BC35)</f>
        <v/>
      </c>
      <c r="AZ35" s="90" t="str">
        <f>IF(ISNUMBER(SEARCH("Y",AC35)),"R","")</f>
        <v/>
      </c>
      <c r="BA35" s="90" t="str">
        <f>IF(ISNUMBER(SEARCH("Y",Y35)),"M","")</f>
        <v/>
      </c>
      <c r="BB35" s="90" t="str">
        <f>IF(ISNUMBER(SEARCH("Y",AB35)),"QC","")</f>
        <v/>
      </c>
      <c r="BC35" s="90" t="str">
        <f>IF(ISNUMBER(SEARCH("Y",Z35)),"S","")</f>
        <v/>
      </c>
      <c r="BD35" s="90"/>
      <c r="BE35" s="24" t="s">
        <v>119</v>
      </c>
      <c r="BF35" s="125" t="str">
        <f>IF(AND(AW35&gt;=56543,AW35&lt;=76543,LEN(AW35)&gt;0),"3 Feb 2020",IF(AND(AW35&gt;=66544,AW35&lt;=99999,LEN(AW35)&gt;0),"12 Sep 2020",""))</f>
        <v/>
      </c>
      <c r="BG35" s="125" t="str">
        <f>IF((AND(BF35="3 Feb 2020",LEN(BF35)&gt;0)),"Completed",IF((AND(BF35="12 Sep 2020",LEN(BF35)&gt;0)),"Pending",""))</f>
        <v/>
      </c>
      <c r="BH35" s="90" t="str">
        <f>IF((AND(BF35="3 Feb 2020",LEN(BF35)&gt;0)),"3 Feb 2020","")</f>
        <v/>
      </c>
      <c r="BI35" s="90">
        <v>67316</v>
      </c>
      <c r="BJ35" s="90" t="str">
        <f>L35</f>
        <v>8S21AS85967-90</v>
      </c>
      <c r="BK35" s="127">
        <v>43508</v>
      </c>
      <c r="BL35" s="127">
        <v>44239</v>
      </c>
      <c r="BM35" s="128">
        <f>P35*1.1</f>
        <v>1066765.7000000002</v>
      </c>
      <c r="BN35" s="129">
        <f>P35*0.9</f>
        <v>872808.3</v>
      </c>
      <c r="BO35" s="130">
        <f>P35*0.8</f>
        <v>775829.60000000009</v>
      </c>
      <c r="BP35" s="90">
        <f>IF(Z35="Y",BM35*0.4,BM35*1.05)</f>
        <v>1120103.9850000003</v>
      </c>
      <c r="BQ35" s="90">
        <f>BP35*0.8</f>
        <v>896083.18800000031</v>
      </c>
      <c r="BR35" s="90">
        <f>IF(ISNUMBER(SEARCH("subrecipient",AI31)),P35*0.6,"")</f>
        <v>581872.19999999995</v>
      </c>
      <c r="BS35" s="90">
        <v>67316</v>
      </c>
      <c r="BT35" s="90" t="str">
        <f>BJ35</f>
        <v>8S21AS85967-90</v>
      </c>
      <c r="BU35" s="127">
        <f>BK35</f>
        <v>43508</v>
      </c>
      <c r="BV35" s="127">
        <f>BL35</f>
        <v>44239</v>
      </c>
      <c r="BW35" s="90" t="str">
        <f>H35</f>
        <v>CDC</v>
      </c>
      <c r="BX35" s="90" t="str">
        <f>IF(H35="NATIONAL HEMOPHILIA FOUNDATION","Non Federal","Federal")</f>
        <v>Federal</v>
      </c>
      <c r="BY35" s="128">
        <f>BM35</f>
        <v>1066765.7000000002</v>
      </c>
      <c r="BZ35" s="90">
        <f>IF(LEN(BR35)&gt;0,1,"")</f>
        <v>1</v>
      </c>
      <c r="CA35" s="90" t="str">
        <f>IF(LEN(BR35)&gt;0,"VIRAL HEPATITIS PROJECT","")</f>
        <v>VIRAL HEPATITIS PROJECT</v>
      </c>
      <c r="CB35" s="129">
        <f>IF(LEN(BR35)&gt;0,BM35*0.7,"")</f>
        <v>746735.99000000011</v>
      </c>
      <c r="CC35" s="90">
        <f>BP35</f>
        <v>1120103.9850000003</v>
      </c>
      <c r="CD35" s="90" t="str">
        <f>IF(LEN(BR35)&gt;0,"70%","")</f>
        <v>70%</v>
      </c>
      <c r="CE35" s="90">
        <f>BS35</f>
        <v>67316</v>
      </c>
      <c r="CF35" s="90" t="str">
        <f>CA35</f>
        <v>VIRAL HEPATITIS PROJECT</v>
      </c>
      <c r="CG35" s="90" t="s">
        <v>230</v>
      </c>
      <c r="CH35" s="24" t="s">
        <v>231</v>
      </c>
      <c r="CI35" s="129">
        <f>CB35</f>
        <v>746735.99000000011</v>
      </c>
      <c r="CJ35" s="125" t="s">
        <v>157</v>
      </c>
      <c r="CK35" s="90" t="s">
        <v>158</v>
      </c>
      <c r="CL35" s="90" t="s">
        <v>159</v>
      </c>
      <c r="CM35" s="90" t="s">
        <v>160</v>
      </c>
      <c r="CN35" s="90" t="s">
        <v>160</v>
      </c>
      <c r="CO35" s="24" t="s">
        <v>193</v>
      </c>
      <c r="CP35" s="24" t="s">
        <v>232</v>
      </c>
      <c r="CQ35" s="132">
        <v>0.3</v>
      </c>
      <c r="CR35" s="127">
        <f>BU35+50</f>
        <v>43558</v>
      </c>
      <c r="CS35" s="127">
        <f>BV35-50</f>
        <v>44189</v>
      </c>
      <c r="CT35" s="138">
        <f>CI35*0.4</f>
        <v>298694.39600000007</v>
      </c>
    </row>
    <row r="36" spans="1:98" ht="150">
      <c r="A36" s="89">
        <v>67316</v>
      </c>
      <c r="B36" s="90">
        <v>2020</v>
      </c>
      <c r="C36" s="90" t="s">
        <v>81</v>
      </c>
      <c r="D36" s="90" t="s">
        <v>224</v>
      </c>
      <c r="E36" s="125" t="s">
        <v>233</v>
      </c>
      <c r="F36" s="24" t="s">
        <v>226</v>
      </c>
      <c r="G36" s="90" t="s">
        <v>85</v>
      </c>
      <c r="H36" s="90" t="s">
        <v>86</v>
      </c>
      <c r="I36" s="90">
        <v>93</v>
      </c>
      <c r="J36" s="90">
        <v>157</v>
      </c>
      <c r="K36" s="90" t="s">
        <v>85</v>
      </c>
      <c r="L36" s="90" t="s">
        <v>227</v>
      </c>
      <c r="M36" s="90" t="s">
        <v>119</v>
      </c>
      <c r="N36" s="24" t="s">
        <v>228</v>
      </c>
      <c r="O36" s="24" t="str">
        <f>IF(ISNUMBER(SEARCH("Cancer",N36)),"Cancer",IF(ISNUMBER(SEARCH("health",N36)),"Public health",IF(ISNUMBER(SEARCH("disabilities",N36)),"Disabilities","Other")))</f>
        <v>Other</v>
      </c>
      <c r="P36" s="126">
        <v>969787</v>
      </c>
      <c r="Q36" s="90" t="s">
        <v>85</v>
      </c>
      <c r="R36" s="90" t="str">
        <f>IF(P36&gt;20000000,"B","A")</f>
        <v>A</v>
      </c>
      <c r="S36" s="90" t="s">
        <v>90</v>
      </c>
      <c r="T36" s="90" t="s">
        <v>119</v>
      </c>
      <c r="U36" s="90" t="s">
        <v>119</v>
      </c>
      <c r="V36" s="90" t="s">
        <v>119</v>
      </c>
      <c r="W36" s="90" t="s">
        <v>119</v>
      </c>
      <c r="X36" s="90" t="s">
        <v>119</v>
      </c>
      <c r="Y36" s="90" t="s">
        <v>119</v>
      </c>
      <c r="Z36" s="90" t="s">
        <v>119</v>
      </c>
      <c r="AA36" s="90" t="s">
        <v>119</v>
      </c>
      <c r="AB36" s="90" t="s">
        <v>119</v>
      </c>
      <c r="AC36" s="90" t="s">
        <v>119</v>
      </c>
      <c r="AD36" s="90" t="s">
        <v>119</v>
      </c>
      <c r="AE36" s="24">
        <v>0</v>
      </c>
      <c r="AF36" s="90">
        <v>0</v>
      </c>
      <c r="AG36" s="24">
        <v>0</v>
      </c>
      <c r="AH36" s="90">
        <v>89998</v>
      </c>
      <c r="AI36" s="24" t="s">
        <v>102</v>
      </c>
      <c r="AJ36" s="24" t="s">
        <v>103</v>
      </c>
      <c r="AK36" s="90" t="s">
        <v>85</v>
      </c>
      <c r="AL36" s="90">
        <v>67316</v>
      </c>
      <c r="AM36" s="90" t="s">
        <v>81</v>
      </c>
      <c r="AN36" s="90" t="s">
        <v>224</v>
      </c>
      <c r="AO36" s="125" t="s">
        <v>233</v>
      </c>
      <c r="AP36" s="24" t="s">
        <v>228</v>
      </c>
      <c r="AQ36" s="90" t="s">
        <v>227</v>
      </c>
      <c r="AR36" s="24" t="s">
        <v>228</v>
      </c>
      <c r="AS36" s="90" t="s">
        <v>119</v>
      </c>
      <c r="AT36" s="24" t="s">
        <v>102</v>
      </c>
      <c r="AU36" s="90" t="s">
        <v>119</v>
      </c>
      <c r="AV36" s="90" t="str">
        <f>IF(ISNUMBER(SEARCH("disagree",AE36)),"N","Y")</f>
        <v>Y</v>
      </c>
      <c r="AW36" s="90" t="s">
        <v>119</v>
      </c>
      <c r="AX36" s="24" t="s">
        <v>119</v>
      </c>
      <c r="AY36" s="90" t="str">
        <f>CONCATENATE(AZ36,BA36,BB36,BC36)</f>
        <v/>
      </c>
      <c r="AZ36" s="90" t="str">
        <f>IF(ISNUMBER(SEARCH("Y",AC36)),"R","")</f>
        <v/>
      </c>
      <c r="BA36" s="90" t="str">
        <f>IF(ISNUMBER(SEARCH("Y",Y36)),"M","")</f>
        <v/>
      </c>
      <c r="BB36" s="90" t="str">
        <f>IF(ISNUMBER(SEARCH("Y",AB36)),"QC","")</f>
        <v/>
      </c>
      <c r="BC36" s="90" t="str">
        <f>IF(ISNUMBER(SEARCH("Y",Z36)),"S","")</f>
        <v/>
      </c>
      <c r="BD36" s="90"/>
      <c r="BE36" s="24" t="s">
        <v>119</v>
      </c>
      <c r="BF36" s="125" t="str">
        <f>IF(AND(AW36&gt;=56543,AW36&lt;=76543,LEN(AW36)&gt;0),"3 Feb 2020",IF(AND(AW36&gt;=66544,AW36&lt;=99999,LEN(AW36)&gt;0),"12 Sep 2020",""))</f>
        <v/>
      </c>
      <c r="BG36" s="125" t="str">
        <f>IF((AND(BF36="3 Feb 2020",LEN(BF36)&gt;0)),"Completed",IF((AND(BF36="12 Sep 2020",LEN(BF36)&gt;0)),"Pending",""))</f>
        <v/>
      </c>
      <c r="BH36" s="90" t="str">
        <f>IF((AND(BF36="3 Feb 2020",LEN(BF36)&gt;0)),"3 Feb 2020","")</f>
        <v/>
      </c>
      <c r="BI36" s="90">
        <v>67316</v>
      </c>
      <c r="BJ36" s="90" t="str">
        <f>L36</f>
        <v>8S21AS85967-90</v>
      </c>
      <c r="BK36" s="127">
        <v>43508</v>
      </c>
      <c r="BL36" s="127">
        <v>44239</v>
      </c>
      <c r="BM36" s="128">
        <f>P36*1.1</f>
        <v>1066765.7000000002</v>
      </c>
      <c r="BN36" s="129">
        <f>P36*0.9</f>
        <v>872808.3</v>
      </c>
      <c r="BO36" s="130">
        <f>P36*0.8</f>
        <v>775829.60000000009</v>
      </c>
      <c r="BP36" s="90">
        <f>IF(Z36="Y",BM36*0.4,BM36*1.05)</f>
        <v>1120103.9850000003</v>
      </c>
      <c r="BQ36" s="90">
        <f>BP36*0.8</f>
        <v>896083.18800000031</v>
      </c>
      <c r="BR36" s="90" t="str">
        <f>IF(ISNUMBER(SEARCH("subrecipient",AI32)),P36*0.6,"")</f>
        <v/>
      </c>
      <c r="BS36" s="90">
        <v>67316</v>
      </c>
      <c r="BT36" s="90" t="str">
        <f>BJ36</f>
        <v>8S21AS85967-90</v>
      </c>
      <c r="BU36" s="127">
        <f>BK36</f>
        <v>43508</v>
      </c>
      <c r="BV36" s="127">
        <f>BL36</f>
        <v>44239</v>
      </c>
      <c r="BW36" s="90" t="str">
        <f>H36</f>
        <v>CDC</v>
      </c>
      <c r="BX36" s="90" t="str">
        <f>IF(H36="NATIONAL HEMOPHILIA FOUNDATION","Non Federal","Federal")</f>
        <v>Federal</v>
      </c>
      <c r="BY36" s="128">
        <f>BM36</f>
        <v>1066765.7000000002</v>
      </c>
      <c r="BZ36" s="90" t="str">
        <f>IF(LEN(BR36)&gt;0,1,"")</f>
        <v/>
      </c>
      <c r="CA36" s="90" t="str">
        <f>IF(LEN(BR36)&gt;0,"VIRAL HEPATITIS PROJECT","")</f>
        <v/>
      </c>
      <c r="CB36" s="129" t="str">
        <f>IF(LEN(BR36)&gt;0,BM36*0.7,"")</f>
        <v/>
      </c>
      <c r="CC36" s="90">
        <f>BP36</f>
        <v>1120103.9850000003</v>
      </c>
      <c r="CD36" s="90" t="str">
        <f>IF(LEN(BR36)&gt;0,"70%","")</f>
        <v/>
      </c>
      <c r="CE36" s="90">
        <f>BS36</f>
        <v>67316</v>
      </c>
      <c r="CF36" s="90" t="str">
        <f>CA36</f>
        <v/>
      </c>
      <c r="CG36" s="90"/>
      <c r="CH36" s="90"/>
      <c r="CI36" s="90"/>
      <c r="CJ36" s="90"/>
      <c r="CK36" s="90"/>
      <c r="CL36" s="90"/>
      <c r="CM36" s="90"/>
      <c r="CN36" s="90"/>
      <c r="CO36" s="90"/>
      <c r="CP36" s="90"/>
      <c r="CQ36" s="90"/>
      <c r="CR36" s="90"/>
      <c r="CS36" s="90"/>
      <c r="CT36" s="137"/>
    </row>
    <row r="37" spans="1:98" ht="150">
      <c r="A37" s="89">
        <v>67316</v>
      </c>
      <c r="B37" s="90">
        <v>2020</v>
      </c>
      <c r="C37" s="90" t="s">
        <v>81</v>
      </c>
      <c r="D37" s="90" t="s">
        <v>224</v>
      </c>
      <c r="E37" s="125" t="s">
        <v>234</v>
      </c>
      <c r="F37" s="24" t="s">
        <v>226</v>
      </c>
      <c r="G37" s="90" t="s">
        <v>85</v>
      </c>
      <c r="H37" s="90" t="s">
        <v>86</v>
      </c>
      <c r="I37" s="90">
        <v>93</v>
      </c>
      <c r="J37" s="90">
        <v>157</v>
      </c>
      <c r="K37" s="90" t="s">
        <v>85</v>
      </c>
      <c r="L37" s="90" t="s">
        <v>227</v>
      </c>
      <c r="M37" s="90" t="s">
        <v>119</v>
      </c>
      <c r="N37" s="24" t="s">
        <v>228</v>
      </c>
      <c r="O37" s="24" t="str">
        <f>IF(ISNUMBER(SEARCH("Cancer",N37)),"Cancer",IF(ISNUMBER(SEARCH("health",N37)),"Public health",IF(ISNUMBER(SEARCH("disabilities",N37)),"Disabilities","Other")))</f>
        <v>Other</v>
      </c>
      <c r="P37" s="126">
        <v>969787</v>
      </c>
      <c r="Q37" s="90" t="s">
        <v>85</v>
      </c>
      <c r="R37" s="90" t="str">
        <f>IF(P37&gt;20000000,"B","A")</f>
        <v>A</v>
      </c>
      <c r="S37" s="90" t="s">
        <v>90</v>
      </c>
      <c r="T37" s="90" t="s">
        <v>119</v>
      </c>
      <c r="U37" s="90" t="s">
        <v>119</v>
      </c>
      <c r="V37" s="90" t="s">
        <v>119</v>
      </c>
      <c r="W37" s="90" t="s">
        <v>119</v>
      </c>
      <c r="X37" s="90" t="s">
        <v>119</v>
      </c>
      <c r="Y37" s="90" t="s">
        <v>119</v>
      </c>
      <c r="Z37" s="90" t="s">
        <v>119</v>
      </c>
      <c r="AA37" s="90" t="s">
        <v>119</v>
      </c>
      <c r="AB37" s="90" t="s">
        <v>119</v>
      </c>
      <c r="AC37" s="90" t="s">
        <v>119</v>
      </c>
      <c r="AD37" s="90" t="s">
        <v>119</v>
      </c>
      <c r="AE37" s="24">
        <v>0</v>
      </c>
      <c r="AF37" s="90">
        <v>0</v>
      </c>
      <c r="AG37" s="24">
        <v>0</v>
      </c>
      <c r="AH37" s="90">
        <v>89997</v>
      </c>
      <c r="AI37" s="24" t="s">
        <v>235</v>
      </c>
      <c r="AJ37" s="24" t="s">
        <v>236</v>
      </c>
      <c r="AK37" s="90" t="s">
        <v>85</v>
      </c>
      <c r="AL37" s="90">
        <v>67316</v>
      </c>
      <c r="AM37" s="90" t="s">
        <v>81</v>
      </c>
      <c r="AN37" s="90" t="s">
        <v>224</v>
      </c>
      <c r="AO37" s="125" t="s">
        <v>234</v>
      </c>
      <c r="AP37" s="24" t="s">
        <v>228</v>
      </c>
      <c r="AQ37" s="90" t="s">
        <v>227</v>
      </c>
      <c r="AR37" s="24" t="s">
        <v>228</v>
      </c>
      <c r="AS37" s="90" t="s">
        <v>119</v>
      </c>
      <c r="AT37" s="24" t="s">
        <v>235</v>
      </c>
      <c r="AU37" s="90" t="s">
        <v>119</v>
      </c>
      <c r="AV37" s="90" t="str">
        <f>IF(ISNUMBER(SEARCH("disagree",AE37)),"N","Y")</f>
        <v>Y</v>
      </c>
      <c r="AW37" s="90" t="s">
        <v>119</v>
      </c>
      <c r="AX37" s="24" t="s">
        <v>119</v>
      </c>
      <c r="AY37" s="90" t="str">
        <f>CONCATENATE(AZ37,BA37,BB37,BC37)</f>
        <v/>
      </c>
      <c r="AZ37" s="90" t="str">
        <f>IF(ISNUMBER(SEARCH("Y",AC37)),"R","")</f>
        <v/>
      </c>
      <c r="BA37" s="90" t="str">
        <f>IF(ISNUMBER(SEARCH("Y",Y37)),"M","")</f>
        <v/>
      </c>
      <c r="BB37" s="90" t="str">
        <f>IF(ISNUMBER(SEARCH("Y",AB37)),"QC","")</f>
        <v/>
      </c>
      <c r="BC37" s="90" t="str">
        <f>IF(ISNUMBER(SEARCH("Y",Z37)),"S","")</f>
        <v/>
      </c>
      <c r="BD37" s="90"/>
      <c r="BE37" s="24" t="s">
        <v>119</v>
      </c>
      <c r="BF37" s="125" t="str">
        <f>IF(AND(AW37&gt;=56543,AW37&lt;=76543,LEN(AW37)&gt;0),"3 Feb 2020",IF(AND(AW37&gt;=66544,AW37&lt;=99999,LEN(AW37)&gt;0),"12 Sep 2020",""))</f>
        <v/>
      </c>
      <c r="BG37" s="125" t="str">
        <f>IF((AND(BF37="3 Feb 2020",LEN(BF37)&gt;0)),"Completed",IF((AND(BF37="12 Sep 2020",LEN(BF37)&gt;0)),"Pending",""))</f>
        <v/>
      </c>
      <c r="BH37" s="90" t="str">
        <f>IF((AND(BF37="3 Feb 2020",LEN(BF37)&gt;0)),"3 Feb 2020","")</f>
        <v/>
      </c>
      <c r="BI37" s="90">
        <v>67316</v>
      </c>
      <c r="BJ37" s="90" t="str">
        <f>L37</f>
        <v>8S21AS85967-90</v>
      </c>
      <c r="BK37" s="127">
        <v>43508</v>
      </c>
      <c r="BL37" s="127">
        <v>44239</v>
      </c>
      <c r="BM37" s="128">
        <f>P37*1.1</f>
        <v>1066765.7000000002</v>
      </c>
      <c r="BN37" s="129">
        <f>P37*0.9</f>
        <v>872808.3</v>
      </c>
      <c r="BO37" s="130">
        <f>P37*0.8</f>
        <v>775829.60000000009</v>
      </c>
      <c r="BP37" s="90">
        <f>IF(Z37="Y",BM37*0.4,BM37*1.05)</f>
        <v>1120103.9850000003</v>
      </c>
      <c r="BQ37" s="90">
        <f>BP37*0.8</f>
        <v>896083.18800000031</v>
      </c>
      <c r="BR37" s="90" t="str">
        <f>IF(ISNUMBER(SEARCH("subrecipient",AI33)),P37*0.6,"")</f>
        <v/>
      </c>
      <c r="BS37" s="90">
        <v>67316</v>
      </c>
      <c r="BT37" s="90" t="str">
        <f>BJ37</f>
        <v>8S21AS85967-90</v>
      </c>
      <c r="BU37" s="127">
        <f>BK37</f>
        <v>43508</v>
      </c>
      <c r="BV37" s="127">
        <f>BL37</f>
        <v>44239</v>
      </c>
      <c r="BW37" s="90" t="str">
        <f>H37</f>
        <v>CDC</v>
      </c>
      <c r="BX37" s="90" t="str">
        <f>IF(H37="NATIONAL HEMOPHILIA FOUNDATION","Non Federal","Federal")</f>
        <v>Federal</v>
      </c>
      <c r="BY37" s="128">
        <f>BM37</f>
        <v>1066765.7000000002</v>
      </c>
      <c r="BZ37" s="90" t="str">
        <f>IF(LEN(BR37)&gt;0,1,"")</f>
        <v/>
      </c>
      <c r="CA37" s="90" t="str">
        <f>IF(LEN(BR37)&gt;0,"VIRAL HEPATITIS PROJECT","")</f>
        <v/>
      </c>
      <c r="CB37" s="129" t="str">
        <f>IF(LEN(BR37)&gt;0,BM37*0.7,"")</f>
        <v/>
      </c>
      <c r="CC37" s="90">
        <f>BP37</f>
        <v>1120103.9850000003</v>
      </c>
      <c r="CD37" s="90" t="str">
        <f>IF(LEN(BR37)&gt;0,"70%","")</f>
        <v/>
      </c>
      <c r="CE37" s="90">
        <f>BS37</f>
        <v>67316</v>
      </c>
      <c r="CF37" s="90" t="str">
        <f>CA37</f>
        <v/>
      </c>
      <c r="CG37" s="90"/>
      <c r="CH37" s="90"/>
      <c r="CI37" s="90"/>
      <c r="CJ37" s="90"/>
      <c r="CK37" s="90"/>
      <c r="CL37" s="90"/>
      <c r="CM37" s="90"/>
      <c r="CN37" s="90"/>
      <c r="CO37" s="90"/>
      <c r="CP37" s="90"/>
      <c r="CQ37" s="90"/>
      <c r="CR37" s="90"/>
      <c r="CS37" s="90"/>
      <c r="CT37" s="137"/>
    </row>
    <row r="38" spans="1:98" ht="150">
      <c r="A38" s="89">
        <v>67316</v>
      </c>
      <c r="B38" s="90">
        <v>2020</v>
      </c>
      <c r="C38" s="90" t="s">
        <v>81</v>
      </c>
      <c r="D38" s="90" t="s">
        <v>224</v>
      </c>
      <c r="E38" s="125" t="s">
        <v>237</v>
      </c>
      <c r="F38" s="24" t="s">
        <v>226</v>
      </c>
      <c r="G38" s="90" t="s">
        <v>85</v>
      </c>
      <c r="H38" s="90" t="s">
        <v>86</v>
      </c>
      <c r="I38" s="90">
        <v>93</v>
      </c>
      <c r="J38" s="90">
        <v>157</v>
      </c>
      <c r="K38" s="90" t="s">
        <v>85</v>
      </c>
      <c r="L38" s="90" t="s">
        <v>227</v>
      </c>
      <c r="M38" s="90" t="s">
        <v>119</v>
      </c>
      <c r="N38" s="24" t="s">
        <v>228</v>
      </c>
      <c r="O38" s="24" t="str">
        <f>IF(ISNUMBER(SEARCH("Cancer",N38)),"Cancer",IF(ISNUMBER(SEARCH("health",N38)),"Public health",IF(ISNUMBER(SEARCH("disabilities",N38)),"Disabilities","Other")))</f>
        <v>Other</v>
      </c>
      <c r="P38" s="126">
        <v>969787</v>
      </c>
      <c r="Q38" s="90" t="s">
        <v>85</v>
      </c>
      <c r="R38" s="90" t="str">
        <f>IF(P38&gt;20000000,"B","A")</f>
        <v>A</v>
      </c>
      <c r="S38" s="90" t="s">
        <v>90</v>
      </c>
      <c r="T38" s="90" t="s">
        <v>119</v>
      </c>
      <c r="U38" s="90" t="s">
        <v>119</v>
      </c>
      <c r="V38" s="90" t="s">
        <v>119</v>
      </c>
      <c r="W38" s="90" t="s">
        <v>119</v>
      </c>
      <c r="X38" s="90" t="s">
        <v>119</v>
      </c>
      <c r="Y38" s="90" t="s">
        <v>119</v>
      </c>
      <c r="Z38" s="90" t="s">
        <v>119</v>
      </c>
      <c r="AA38" s="90" t="s">
        <v>119</v>
      </c>
      <c r="AB38" s="90" t="s">
        <v>119</v>
      </c>
      <c r="AC38" s="90" t="s">
        <v>119</v>
      </c>
      <c r="AD38" s="90" t="s">
        <v>119</v>
      </c>
      <c r="AE38" s="24">
        <v>0</v>
      </c>
      <c r="AF38" s="90">
        <v>0</v>
      </c>
      <c r="AG38" s="24">
        <v>0</v>
      </c>
      <c r="AH38" s="90">
        <v>89996</v>
      </c>
      <c r="AI38" s="24" t="s">
        <v>124</v>
      </c>
      <c r="AJ38" s="24" t="s">
        <v>238</v>
      </c>
      <c r="AK38" s="90" t="s">
        <v>85</v>
      </c>
      <c r="AL38" s="90">
        <v>67316</v>
      </c>
      <c r="AM38" s="90" t="s">
        <v>81</v>
      </c>
      <c r="AN38" s="90" t="s">
        <v>224</v>
      </c>
      <c r="AO38" s="125" t="s">
        <v>237</v>
      </c>
      <c r="AP38" s="24" t="s">
        <v>228</v>
      </c>
      <c r="AQ38" s="90" t="s">
        <v>227</v>
      </c>
      <c r="AR38" s="24" t="s">
        <v>228</v>
      </c>
      <c r="AS38" s="90" t="s">
        <v>119</v>
      </c>
      <c r="AT38" s="24" t="s">
        <v>124</v>
      </c>
      <c r="AU38" s="90" t="s">
        <v>119</v>
      </c>
      <c r="AV38" s="90" t="str">
        <f>IF(ISNUMBER(SEARCH("disagree",AE38)),"N","Y")</f>
        <v>Y</v>
      </c>
      <c r="AW38" s="90" t="s">
        <v>119</v>
      </c>
      <c r="AX38" s="24" t="s">
        <v>119</v>
      </c>
      <c r="AY38" s="90" t="str">
        <f>CONCATENATE(AZ38,BA38,BB38,BC38)</f>
        <v/>
      </c>
      <c r="AZ38" s="90" t="str">
        <f>IF(ISNUMBER(SEARCH("Y",AC38)),"R","")</f>
        <v/>
      </c>
      <c r="BA38" s="90" t="str">
        <f>IF(ISNUMBER(SEARCH("Y",Y38)),"M","")</f>
        <v/>
      </c>
      <c r="BB38" s="90" t="str">
        <f>IF(ISNUMBER(SEARCH("Y",AB38)),"QC","")</f>
        <v/>
      </c>
      <c r="BC38" s="90" t="str">
        <f>IF(ISNUMBER(SEARCH("Y",Z38)),"S","")</f>
        <v/>
      </c>
      <c r="BD38" s="90"/>
      <c r="BE38" s="24" t="s">
        <v>119</v>
      </c>
      <c r="BF38" s="125" t="str">
        <f>IF(AND(AW38&gt;=56543,AW38&lt;=76543,LEN(AW38)&gt;0),"3 Feb 2020",IF(AND(AW38&gt;=66544,AW38&lt;=99999,LEN(AW38)&gt;0),"12 Sep 2020",""))</f>
        <v/>
      </c>
      <c r="BG38" s="125" t="str">
        <f>IF((AND(BF38="3 Feb 2020",LEN(BF38)&gt;0)),"Completed",IF((AND(BF38="12 Sep 2020",LEN(BF38)&gt;0)),"Pending",""))</f>
        <v/>
      </c>
      <c r="BH38" s="90" t="str">
        <f>IF((AND(BF38="3 Feb 2020",LEN(BF38)&gt;0)),"3 Feb 2020","")</f>
        <v/>
      </c>
      <c r="BI38" s="90">
        <v>67316</v>
      </c>
      <c r="BJ38" s="90" t="str">
        <f>L38</f>
        <v>8S21AS85967-90</v>
      </c>
      <c r="BK38" s="127">
        <v>43508</v>
      </c>
      <c r="BL38" s="127">
        <v>44239</v>
      </c>
      <c r="BM38" s="128">
        <f>P38*1.1</f>
        <v>1066765.7000000002</v>
      </c>
      <c r="BN38" s="129">
        <f>P38*0.9</f>
        <v>872808.3</v>
      </c>
      <c r="BO38" s="130">
        <f>P38*0.8</f>
        <v>775829.60000000009</v>
      </c>
      <c r="BP38" s="90">
        <f>IF(Z38="Y",BM38*0.4,BM38*1.05)</f>
        <v>1120103.9850000003</v>
      </c>
      <c r="BQ38" s="90">
        <f>BP38*0.8</f>
        <v>896083.18800000031</v>
      </c>
      <c r="BR38" s="90" t="str">
        <f>IF(ISNUMBER(SEARCH("subrecipient",AI34)),P38*0.6,"")</f>
        <v/>
      </c>
      <c r="BS38" s="90">
        <v>67316</v>
      </c>
      <c r="BT38" s="90" t="str">
        <f>BJ38</f>
        <v>8S21AS85967-90</v>
      </c>
      <c r="BU38" s="127">
        <f>BK38</f>
        <v>43508</v>
      </c>
      <c r="BV38" s="127">
        <f>BL38</f>
        <v>44239</v>
      </c>
      <c r="BW38" s="90" t="str">
        <f>H38</f>
        <v>CDC</v>
      </c>
      <c r="BX38" s="90" t="str">
        <f>IF(H38="NATIONAL HEMOPHILIA FOUNDATION","Non Federal","Federal")</f>
        <v>Federal</v>
      </c>
      <c r="BY38" s="128">
        <f>BM38</f>
        <v>1066765.7000000002</v>
      </c>
      <c r="BZ38" s="90" t="str">
        <f>IF(LEN(BR38)&gt;0,1,"")</f>
        <v/>
      </c>
      <c r="CA38" s="90" t="str">
        <f>IF(LEN(BR38)&gt;0,"VIRAL HEPATITIS PROJECT","")</f>
        <v/>
      </c>
      <c r="CB38" s="129" t="str">
        <f>IF(LEN(BR38)&gt;0,BM38*0.7,"")</f>
        <v/>
      </c>
      <c r="CC38" s="90">
        <f>BP38</f>
        <v>1120103.9850000003</v>
      </c>
      <c r="CD38" s="90" t="str">
        <f>IF(LEN(BR38)&gt;0,"70%","")</f>
        <v/>
      </c>
      <c r="CE38" s="90">
        <f>BS38</f>
        <v>67316</v>
      </c>
      <c r="CF38" s="90" t="str">
        <f>CA38</f>
        <v/>
      </c>
      <c r="CG38" s="90"/>
      <c r="CH38" s="90"/>
      <c r="CI38" s="90"/>
      <c r="CJ38" s="90"/>
      <c r="CK38" s="90"/>
      <c r="CL38" s="90"/>
      <c r="CM38" s="90"/>
      <c r="CN38" s="90"/>
      <c r="CO38" s="90"/>
      <c r="CP38" s="90"/>
      <c r="CQ38" s="90"/>
      <c r="CR38" s="90"/>
      <c r="CS38" s="90"/>
      <c r="CT38" s="137"/>
    </row>
    <row r="39" spans="1:98" ht="90">
      <c r="A39" s="89">
        <v>67455</v>
      </c>
      <c r="B39" s="90">
        <v>2020</v>
      </c>
      <c r="C39" s="90" t="s">
        <v>81</v>
      </c>
      <c r="D39" s="90" t="s">
        <v>239</v>
      </c>
      <c r="E39" s="125" t="s">
        <v>240</v>
      </c>
      <c r="F39" s="24" t="s">
        <v>241</v>
      </c>
      <c r="G39" s="90" t="s">
        <v>85</v>
      </c>
      <c r="H39" s="90" t="s">
        <v>180</v>
      </c>
      <c r="I39" s="90">
        <v>93</v>
      </c>
      <c r="J39" s="90">
        <v>157</v>
      </c>
      <c r="K39" s="90" t="s">
        <v>85</v>
      </c>
      <c r="L39" s="90" t="s">
        <v>242</v>
      </c>
      <c r="M39" s="90" t="s">
        <v>119</v>
      </c>
      <c r="N39" s="24" t="s">
        <v>243</v>
      </c>
      <c r="O39" s="24" t="str">
        <f>IF(ISNUMBER(SEARCH("Cancer",N39)),"Cancer",IF(ISNUMBER(SEARCH("health",N39)),"Public health",IF(ISNUMBER(SEARCH("disabilities",N39)),"Disabilities","Other")))</f>
        <v>Other</v>
      </c>
      <c r="P39" s="126">
        <v>786772</v>
      </c>
      <c r="Q39" s="90" t="s">
        <v>85</v>
      </c>
      <c r="R39" s="90" t="str">
        <f>IF(P39&gt;20000000,"B","A")</f>
        <v>A</v>
      </c>
      <c r="S39" s="90" t="s">
        <v>90</v>
      </c>
      <c r="T39" s="90" t="s">
        <v>119</v>
      </c>
      <c r="U39" s="90" t="s">
        <v>119</v>
      </c>
      <c r="V39" s="90" t="s">
        <v>119</v>
      </c>
      <c r="W39" s="90" t="s">
        <v>119</v>
      </c>
      <c r="X39" s="90" t="s">
        <v>119</v>
      </c>
      <c r="Y39" s="90" t="s">
        <v>119</v>
      </c>
      <c r="Z39" s="90" t="s">
        <v>119</v>
      </c>
      <c r="AA39" s="90" t="s">
        <v>119</v>
      </c>
      <c r="AB39" s="90" t="s">
        <v>119</v>
      </c>
      <c r="AC39" s="90" t="s">
        <v>119</v>
      </c>
      <c r="AD39" s="90" t="s">
        <v>119</v>
      </c>
      <c r="AE39" s="24">
        <v>0</v>
      </c>
      <c r="AF39" s="90">
        <v>0</v>
      </c>
      <c r="AG39" s="24">
        <v>0</v>
      </c>
      <c r="AH39" s="90">
        <v>84195</v>
      </c>
      <c r="AI39" s="24" t="s">
        <v>94</v>
      </c>
      <c r="AJ39" s="24" t="s">
        <v>244</v>
      </c>
      <c r="AK39" s="90" t="s">
        <v>85</v>
      </c>
      <c r="AL39" s="90">
        <v>67455</v>
      </c>
      <c r="AM39" s="90" t="s">
        <v>81</v>
      </c>
      <c r="AN39" s="90" t="s">
        <v>239</v>
      </c>
      <c r="AO39" s="125" t="s">
        <v>240</v>
      </c>
      <c r="AP39" s="24" t="s">
        <v>243</v>
      </c>
      <c r="AQ39" s="90" t="s">
        <v>242</v>
      </c>
      <c r="AR39" s="24" t="s">
        <v>243</v>
      </c>
      <c r="AS39" s="90" t="s">
        <v>119</v>
      </c>
      <c r="AT39" s="24" t="s">
        <v>94</v>
      </c>
      <c r="AU39" s="90" t="s">
        <v>119</v>
      </c>
      <c r="AV39" s="90" t="str">
        <f>IF(ISNUMBER(SEARCH("disagree",AE39)),"N","Y")</f>
        <v>Y</v>
      </c>
      <c r="AW39" s="90" t="s">
        <v>119</v>
      </c>
      <c r="AX39" s="24" t="s">
        <v>119</v>
      </c>
      <c r="AY39" s="90" t="str">
        <f>CONCATENATE(AZ39,BA39,BB39,BC39)</f>
        <v/>
      </c>
      <c r="AZ39" s="90" t="str">
        <f>IF(ISNUMBER(SEARCH("Y",AC39)),"R","")</f>
        <v/>
      </c>
      <c r="BA39" s="90" t="str">
        <f>IF(ISNUMBER(SEARCH("Y",Y39)),"M","")</f>
        <v/>
      </c>
      <c r="BB39" s="90" t="str">
        <f>IF(ISNUMBER(SEARCH("Y",AB39)),"QC","")</f>
        <v/>
      </c>
      <c r="BC39" s="90" t="str">
        <f>IF(ISNUMBER(SEARCH("Y",Z39)),"S","")</f>
        <v/>
      </c>
      <c r="BD39" s="90"/>
      <c r="BE39" s="24" t="s">
        <v>119</v>
      </c>
      <c r="BF39" s="125" t="str">
        <f>IF(AND(AW39&gt;=56543,AW39&lt;=76543,LEN(AW39)&gt;0),"3 Feb 2020",IF(AND(AW39&gt;=66544,AW39&lt;=99999,LEN(AW39)&gt;0),"12 Sep 2020",""))</f>
        <v/>
      </c>
      <c r="BG39" s="125" t="str">
        <f>IF((AND(BF39="3 Feb 2020",LEN(BF39)&gt;0)),"Completed",IF((AND(BF39="12 Sep 2020",LEN(BF39)&gt;0)),"Pending",""))</f>
        <v/>
      </c>
      <c r="BH39" s="90" t="str">
        <f>IF((AND(BF39="3 Feb 2020",LEN(BF39)&gt;0)),"3 Feb 2020","")</f>
        <v/>
      </c>
      <c r="BI39" s="90">
        <v>67455</v>
      </c>
      <c r="BJ39" s="90" t="str">
        <f>L39</f>
        <v>9R13IR85968-77</v>
      </c>
      <c r="BK39" s="127">
        <v>43508</v>
      </c>
      <c r="BL39" s="127">
        <v>44239</v>
      </c>
      <c r="BM39" s="128">
        <f>P39*1.1</f>
        <v>865449.20000000007</v>
      </c>
      <c r="BN39" s="129">
        <f>P39*0.9</f>
        <v>708094.8</v>
      </c>
      <c r="BO39" s="130">
        <f>P39*0.8</f>
        <v>629417.60000000009</v>
      </c>
      <c r="BP39" s="90">
        <f>IF(Z39="Y",BM39*0.4,BM39*1.05)</f>
        <v>908721.66000000015</v>
      </c>
      <c r="BQ39" s="90">
        <f>BP39*0.8</f>
        <v>726977.32800000021</v>
      </c>
      <c r="BR39" s="90" t="str">
        <f>IF(ISNUMBER(SEARCH("subrecipient",AI35)),P39*0.6,"")</f>
        <v/>
      </c>
      <c r="BS39" s="90">
        <v>67455</v>
      </c>
      <c r="BT39" s="90" t="str">
        <f>BJ39</f>
        <v>9R13IR85968-77</v>
      </c>
      <c r="BU39" s="127">
        <f>BK39</f>
        <v>43508</v>
      </c>
      <c r="BV39" s="127">
        <f>BL39</f>
        <v>44239</v>
      </c>
      <c r="BW39" s="90" t="str">
        <f>H39</f>
        <v>NATIONAL HEMOPHILIA FOUNDATION</v>
      </c>
      <c r="BX39" s="90" t="str">
        <f>IF(H39="NATIONAL HEMOPHILIA FOUNDATION","Non Federal","Federal")</f>
        <v>Non Federal</v>
      </c>
      <c r="BY39" s="128">
        <f>BM39</f>
        <v>865449.20000000007</v>
      </c>
      <c r="BZ39" s="90" t="str">
        <f>IF(LEN(BR39)&gt;0,1,"")</f>
        <v/>
      </c>
      <c r="CA39" s="90" t="str">
        <f>IF(LEN(BR39)&gt;0,"VIRAL HEPATITIS PROJECT","")</f>
        <v/>
      </c>
      <c r="CB39" s="129" t="str">
        <f>IF(LEN(BR39)&gt;0,BM39*0.7,"")</f>
        <v/>
      </c>
      <c r="CC39" s="90">
        <f>BP39</f>
        <v>908721.66000000015</v>
      </c>
      <c r="CD39" s="90" t="str">
        <f>IF(LEN(BR39)&gt;0,"70%","")</f>
        <v/>
      </c>
      <c r="CE39" s="90">
        <f>BS39</f>
        <v>67455</v>
      </c>
      <c r="CF39" s="90" t="str">
        <f>CA39</f>
        <v/>
      </c>
      <c r="CG39" s="90"/>
      <c r="CH39" s="90"/>
      <c r="CI39" s="90"/>
      <c r="CJ39" s="90"/>
      <c r="CK39" s="90"/>
      <c r="CL39" s="90"/>
      <c r="CM39" s="90"/>
      <c r="CN39" s="90"/>
      <c r="CO39" s="90"/>
      <c r="CP39" s="90"/>
      <c r="CQ39" s="90"/>
      <c r="CR39" s="90"/>
      <c r="CS39" s="90"/>
      <c r="CT39" s="137"/>
    </row>
    <row r="40" spans="1:98" ht="90">
      <c r="A40" s="89">
        <v>67455</v>
      </c>
      <c r="B40" s="90">
        <v>2020</v>
      </c>
      <c r="C40" s="90" t="s">
        <v>81</v>
      </c>
      <c r="D40" s="90" t="s">
        <v>239</v>
      </c>
      <c r="E40" s="125" t="s">
        <v>245</v>
      </c>
      <c r="F40" s="24" t="s">
        <v>241</v>
      </c>
      <c r="G40" s="90" t="s">
        <v>85</v>
      </c>
      <c r="H40" s="90" t="s">
        <v>180</v>
      </c>
      <c r="I40" s="90">
        <v>93</v>
      </c>
      <c r="J40" s="90">
        <v>157</v>
      </c>
      <c r="K40" s="90" t="s">
        <v>85</v>
      </c>
      <c r="L40" s="90" t="s">
        <v>242</v>
      </c>
      <c r="M40" s="90" t="s">
        <v>119</v>
      </c>
      <c r="N40" s="24" t="s">
        <v>243</v>
      </c>
      <c r="O40" s="24" t="str">
        <f>IF(ISNUMBER(SEARCH("Cancer",N40)),"Cancer",IF(ISNUMBER(SEARCH("health",N40)),"Public health",IF(ISNUMBER(SEARCH("disabilities",N40)),"Disabilities","Other")))</f>
        <v>Other</v>
      </c>
      <c r="P40" s="126">
        <v>786772</v>
      </c>
      <c r="Q40" s="90" t="s">
        <v>85</v>
      </c>
      <c r="R40" s="90" t="str">
        <f>IF(P40&gt;20000000,"B","A")</f>
        <v>A</v>
      </c>
      <c r="S40" s="90" t="s">
        <v>90</v>
      </c>
      <c r="T40" s="90" t="s">
        <v>119</v>
      </c>
      <c r="U40" s="90" t="s">
        <v>119</v>
      </c>
      <c r="V40" s="90" t="s">
        <v>119</v>
      </c>
      <c r="W40" s="90" t="s">
        <v>119</v>
      </c>
      <c r="X40" s="90" t="s">
        <v>119</v>
      </c>
      <c r="Y40" s="90" t="s">
        <v>119</v>
      </c>
      <c r="Z40" s="90" t="s">
        <v>119</v>
      </c>
      <c r="AA40" s="90" t="s">
        <v>119</v>
      </c>
      <c r="AB40" s="90" t="s">
        <v>119</v>
      </c>
      <c r="AC40" s="90" t="s">
        <v>119</v>
      </c>
      <c r="AD40" s="90" t="s">
        <v>119</v>
      </c>
      <c r="AE40" s="24">
        <v>0</v>
      </c>
      <c r="AF40" s="90">
        <v>0</v>
      </c>
      <c r="AG40" s="24">
        <v>0</v>
      </c>
      <c r="AH40" s="90">
        <v>84196</v>
      </c>
      <c r="AI40" s="24" t="s">
        <v>102</v>
      </c>
      <c r="AJ40" s="24" t="s">
        <v>103</v>
      </c>
      <c r="AK40" s="90" t="s">
        <v>85</v>
      </c>
      <c r="AL40" s="90">
        <v>67455</v>
      </c>
      <c r="AM40" s="90" t="s">
        <v>81</v>
      </c>
      <c r="AN40" s="90" t="s">
        <v>239</v>
      </c>
      <c r="AO40" s="125" t="s">
        <v>245</v>
      </c>
      <c r="AP40" s="24" t="s">
        <v>243</v>
      </c>
      <c r="AQ40" s="90" t="s">
        <v>242</v>
      </c>
      <c r="AR40" s="24" t="s">
        <v>243</v>
      </c>
      <c r="AS40" s="90" t="s">
        <v>119</v>
      </c>
      <c r="AT40" s="24" t="s">
        <v>102</v>
      </c>
      <c r="AU40" s="90" t="s">
        <v>119</v>
      </c>
      <c r="AV40" s="90" t="str">
        <f>IF(ISNUMBER(SEARCH("disagree",AE40)),"N","Y")</f>
        <v>Y</v>
      </c>
      <c r="AW40" s="90" t="s">
        <v>119</v>
      </c>
      <c r="AX40" s="24" t="s">
        <v>119</v>
      </c>
      <c r="AY40" s="90" t="str">
        <f>CONCATENATE(AZ40,BA40,BB40,BC40)</f>
        <v/>
      </c>
      <c r="AZ40" s="90" t="str">
        <f>IF(ISNUMBER(SEARCH("Y",AC40)),"R","")</f>
        <v/>
      </c>
      <c r="BA40" s="90" t="str">
        <f>IF(ISNUMBER(SEARCH("Y",Y40)),"M","")</f>
        <v/>
      </c>
      <c r="BB40" s="90" t="str">
        <f>IF(ISNUMBER(SEARCH("Y",AB40)),"QC","")</f>
        <v/>
      </c>
      <c r="BC40" s="90" t="str">
        <f>IF(ISNUMBER(SEARCH("Y",Z40)),"S","")</f>
        <v/>
      </c>
      <c r="BD40" s="90"/>
      <c r="BE40" s="24" t="s">
        <v>119</v>
      </c>
      <c r="BF40" s="125" t="str">
        <f>IF(AND(AW40&gt;=56543,AW40&lt;=76543,LEN(AW40)&gt;0),"3 Feb 2020",IF(AND(AW40&gt;=66544,AW40&lt;=99999,LEN(AW40)&gt;0),"12 Sep 2020",""))</f>
        <v/>
      </c>
      <c r="BG40" s="125" t="str">
        <f>IF((AND(BF40="3 Feb 2020",LEN(BF40)&gt;0)),"Completed",IF((AND(BF40="12 Sep 2020",LEN(BF40)&gt;0)),"Pending",""))</f>
        <v/>
      </c>
      <c r="BH40" s="90" t="str">
        <f>IF((AND(BF40="3 Feb 2020",LEN(BF40)&gt;0)),"3 Feb 2020","")</f>
        <v/>
      </c>
      <c r="BI40" s="90">
        <v>67455</v>
      </c>
      <c r="BJ40" s="90" t="str">
        <f>L40</f>
        <v>9R13IR85968-77</v>
      </c>
      <c r="BK40" s="127">
        <v>43508</v>
      </c>
      <c r="BL40" s="127">
        <v>44239</v>
      </c>
      <c r="BM40" s="128">
        <f>P40*1.1</f>
        <v>865449.20000000007</v>
      </c>
      <c r="BN40" s="129">
        <f>P40*0.9</f>
        <v>708094.8</v>
      </c>
      <c r="BO40" s="130">
        <f>P40*0.8</f>
        <v>629417.60000000009</v>
      </c>
      <c r="BP40" s="90">
        <f>IF(Z40="Y",BM40*0.4,BM40*1.05)</f>
        <v>908721.66000000015</v>
      </c>
      <c r="BQ40" s="90">
        <f>BP40*0.8</f>
        <v>726977.32800000021</v>
      </c>
      <c r="BR40" s="90" t="str">
        <f>IF(ISNUMBER(SEARCH("subrecipient",AI36)),P40*0.6,"")</f>
        <v/>
      </c>
      <c r="BS40" s="90">
        <v>67455</v>
      </c>
      <c r="BT40" s="90" t="str">
        <f>BJ40</f>
        <v>9R13IR85968-77</v>
      </c>
      <c r="BU40" s="127">
        <f>BK40</f>
        <v>43508</v>
      </c>
      <c r="BV40" s="127">
        <f>BL40</f>
        <v>44239</v>
      </c>
      <c r="BW40" s="90" t="str">
        <f>H40</f>
        <v>NATIONAL HEMOPHILIA FOUNDATION</v>
      </c>
      <c r="BX40" s="90" t="str">
        <f>IF(H40="NATIONAL HEMOPHILIA FOUNDATION","Non Federal","Federal")</f>
        <v>Non Federal</v>
      </c>
      <c r="BY40" s="128">
        <f>BM40</f>
        <v>865449.20000000007</v>
      </c>
      <c r="BZ40" s="90" t="str">
        <f>IF(LEN(BR40)&gt;0,1,"")</f>
        <v/>
      </c>
      <c r="CA40" s="90" t="str">
        <f>IF(LEN(BR40)&gt;0,"VIRAL HEPATITIS PROJECT","")</f>
        <v/>
      </c>
      <c r="CB40" s="129" t="str">
        <f>IF(LEN(BR40)&gt;0,BM40*0.7,"")</f>
        <v/>
      </c>
      <c r="CC40" s="90">
        <f>BP40</f>
        <v>908721.66000000015</v>
      </c>
      <c r="CD40" s="90" t="str">
        <f>IF(LEN(BR40)&gt;0,"70%","")</f>
        <v/>
      </c>
      <c r="CE40" s="90">
        <f>BS40</f>
        <v>67455</v>
      </c>
      <c r="CF40" s="90" t="str">
        <f>CA40</f>
        <v/>
      </c>
      <c r="CG40" s="90"/>
      <c r="CH40" s="90"/>
      <c r="CI40" s="90"/>
      <c r="CJ40" s="90"/>
      <c r="CK40" s="90"/>
      <c r="CL40" s="90"/>
      <c r="CM40" s="90"/>
      <c r="CN40" s="90"/>
      <c r="CO40" s="90"/>
      <c r="CP40" s="90"/>
      <c r="CQ40" s="90"/>
      <c r="CR40" s="90"/>
      <c r="CS40" s="90"/>
      <c r="CT40" s="137"/>
    </row>
    <row r="41" spans="1:98" ht="90">
      <c r="A41" s="89">
        <v>67455</v>
      </c>
      <c r="B41" s="90">
        <v>2020</v>
      </c>
      <c r="C41" s="90" t="s">
        <v>81</v>
      </c>
      <c r="D41" s="90" t="s">
        <v>239</v>
      </c>
      <c r="E41" s="125" t="s">
        <v>246</v>
      </c>
      <c r="F41" s="24" t="s">
        <v>241</v>
      </c>
      <c r="G41" s="90" t="s">
        <v>85</v>
      </c>
      <c r="H41" s="90" t="s">
        <v>180</v>
      </c>
      <c r="I41" s="90">
        <v>93</v>
      </c>
      <c r="J41" s="90">
        <v>157</v>
      </c>
      <c r="K41" s="90" t="s">
        <v>85</v>
      </c>
      <c r="L41" s="90" t="s">
        <v>242</v>
      </c>
      <c r="M41" s="90" t="s">
        <v>119</v>
      </c>
      <c r="N41" s="24" t="s">
        <v>243</v>
      </c>
      <c r="O41" s="24" t="str">
        <f>IF(ISNUMBER(SEARCH("Cancer",N41)),"Cancer",IF(ISNUMBER(SEARCH("health",N41)),"Public health",IF(ISNUMBER(SEARCH("disabilities",N41)),"Disabilities","Other")))</f>
        <v>Other</v>
      </c>
      <c r="P41" s="126">
        <v>786772</v>
      </c>
      <c r="Q41" s="90" t="s">
        <v>85</v>
      </c>
      <c r="R41" s="90" t="str">
        <f>IF(P41&gt;20000000,"B","A")</f>
        <v>A</v>
      </c>
      <c r="S41" s="90" t="s">
        <v>90</v>
      </c>
      <c r="T41" s="90" t="s">
        <v>119</v>
      </c>
      <c r="U41" s="90" t="s">
        <v>119</v>
      </c>
      <c r="V41" s="90" t="s">
        <v>119</v>
      </c>
      <c r="W41" s="90" t="s">
        <v>119</v>
      </c>
      <c r="X41" s="90" t="s">
        <v>119</v>
      </c>
      <c r="Y41" s="90" t="s">
        <v>119</v>
      </c>
      <c r="Z41" s="90" t="s">
        <v>119</v>
      </c>
      <c r="AA41" s="90" t="s">
        <v>119</v>
      </c>
      <c r="AB41" s="90" t="s">
        <v>119</v>
      </c>
      <c r="AC41" s="90" t="s">
        <v>119</v>
      </c>
      <c r="AD41" s="90" t="s">
        <v>119</v>
      </c>
      <c r="AE41" s="24">
        <v>0</v>
      </c>
      <c r="AF41" s="90">
        <v>0</v>
      </c>
      <c r="AG41" s="24">
        <v>0</v>
      </c>
      <c r="AH41" s="90">
        <v>84197</v>
      </c>
      <c r="AI41" s="24" t="s">
        <v>235</v>
      </c>
      <c r="AJ41" s="24" t="s">
        <v>247</v>
      </c>
      <c r="AK41" s="90" t="s">
        <v>85</v>
      </c>
      <c r="AL41" s="90">
        <v>67455</v>
      </c>
      <c r="AM41" s="90" t="s">
        <v>81</v>
      </c>
      <c r="AN41" s="90" t="s">
        <v>239</v>
      </c>
      <c r="AO41" s="125" t="s">
        <v>246</v>
      </c>
      <c r="AP41" s="24" t="s">
        <v>243</v>
      </c>
      <c r="AQ41" s="90" t="s">
        <v>242</v>
      </c>
      <c r="AR41" s="24" t="s">
        <v>243</v>
      </c>
      <c r="AS41" s="90" t="s">
        <v>119</v>
      </c>
      <c r="AT41" s="24" t="s">
        <v>235</v>
      </c>
      <c r="AU41" s="90" t="s">
        <v>119</v>
      </c>
      <c r="AV41" s="90" t="str">
        <f>IF(ISNUMBER(SEARCH("disagree",AE41)),"N","Y")</f>
        <v>Y</v>
      </c>
      <c r="AW41" s="90" t="s">
        <v>119</v>
      </c>
      <c r="AX41" s="24" t="s">
        <v>119</v>
      </c>
      <c r="AY41" s="90" t="str">
        <f>CONCATENATE(AZ41,BA41,BB41,BC41)</f>
        <v/>
      </c>
      <c r="AZ41" s="90" t="str">
        <f>IF(ISNUMBER(SEARCH("Y",AC41)),"R","")</f>
        <v/>
      </c>
      <c r="BA41" s="90" t="str">
        <f>IF(ISNUMBER(SEARCH("Y",Y41)),"M","")</f>
        <v/>
      </c>
      <c r="BB41" s="90" t="str">
        <f>IF(ISNUMBER(SEARCH("Y",AB41)),"QC","")</f>
        <v/>
      </c>
      <c r="BC41" s="90" t="str">
        <f>IF(ISNUMBER(SEARCH("Y",Z41)),"S","")</f>
        <v/>
      </c>
      <c r="BD41" s="90"/>
      <c r="BE41" s="24" t="s">
        <v>119</v>
      </c>
      <c r="BF41" s="125" t="str">
        <f>IF(AND(AW41&gt;=56543,AW41&lt;=76543,LEN(AW41)&gt;0),"3 Feb 2020",IF(AND(AW41&gt;=66544,AW41&lt;=99999,LEN(AW41)&gt;0),"12 Sep 2020",""))</f>
        <v/>
      </c>
      <c r="BG41" s="125" t="str">
        <f>IF((AND(BF41="3 Feb 2020",LEN(BF41)&gt;0)),"Completed",IF((AND(BF41="12 Sep 2020",LEN(BF41)&gt;0)),"Pending",""))</f>
        <v/>
      </c>
      <c r="BH41" s="90" t="str">
        <f>IF((AND(BF41="3 Feb 2020",LEN(BF41)&gt;0)),"3 Feb 2020","")</f>
        <v/>
      </c>
      <c r="BI41" s="90">
        <v>67455</v>
      </c>
      <c r="BJ41" s="90" t="str">
        <f>L41</f>
        <v>9R13IR85968-77</v>
      </c>
      <c r="BK41" s="127">
        <v>43508</v>
      </c>
      <c r="BL41" s="127">
        <v>44239</v>
      </c>
      <c r="BM41" s="128">
        <f>P41*1.1</f>
        <v>865449.20000000007</v>
      </c>
      <c r="BN41" s="129">
        <f>P41*0.9</f>
        <v>708094.8</v>
      </c>
      <c r="BO41" s="130">
        <f>P41*0.8</f>
        <v>629417.60000000009</v>
      </c>
      <c r="BP41" s="90">
        <f>IF(Z41="Y",BM41*0.4,BM41*1.05)</f>
        <v>908721.66000000015</v>
      </c>
      <c r="BQ41" s="90">
        <f>BP41*0.8</f>
        <v>726977.32800000021</v>
      </c>
      <c r="BR41" s="90" t="str">
        <f>IF(ISNUMBER(SEARCH("subrecipient",AI37)),P41*0.6,"")</f>
        <v/>
      </c>
      <c r="BS41" s="90">
        <v>67455</v>
      </c>
      <c r="BT41" s="90" t="str">
        <f>BJ41</f>
        <v>9R13IR85968-77</v>
      </c>
      <c r="BU41" s="127">
        <f>BK41</f>
        <v>43508</v>
      </c>
      <c r="BV41" s="127">
        <f>BL41</f>
        <v>44239</v>
      </c>
      <c r="BW41" s="90" t="str">
        <f>H41</f>
        <v>NATIONAL HEMOPHILIA FOUNDATION</v>
      </c>
      <c r="BX41" s="90" t="str">
        <f>IF(H41="NATIONAL HEMOPHILIA FOUNDATION","Non Federal","Federal")</f>
        <v>Non Federal</v>
      </c>
      <c r="BY41" s="128">
        <f>BM41</f>
        <v>865449.20000000007</v>
      </c>
      <c r="BZ41" s="90" t="str">
        <f>IF(LEN(BR41)&gt;0,1,"")</f>
        <v/>
      </c>
      <c r="CA41" s="90" t="str">
        <f>IF(LEN(BR41)&gt;0,"VIRAL HEPATITIS PROJECT","")</f>
        <v/>
      </c>
      <c r="CB41" s="129" t="str">
        <f>IF(LEN(BR41)&gt;0,BM41*0.7,"")</f>
        <v/>
      </c>
      <c r="CC41" s="90">
        <f>BP41</f>
        <v>908721.66000000015</v>
      </c>
      <c r="CD41" s="90" t="str">
        <f>IF(LEN(BR41)&gt;0,"70%","")</f>
        <v/>
      </c>
      <c r="CE41" s="90">
        <f>BS41</f>
        <v>67455</v>
      </c>
      <c r="CF41" s="90" t="str">
        <f>CA41</f>
        <v/>
      </c>
      <c r="CG41" s="90"/>
      <c r="CH41" s="90"/>
      <c r="CI41" s="90"/>
      <c r="CJ41" s="90"/>
      <c r="CK41" s="90"/>
      <c r="CL41" s="90"/>
      <c r="CM41" s="90"/>
      <c r="CN41" s="90"/>
      <c r="CO41" s="90"/>
      <c r="CP41" s="90"/>
      <c r="CQ41" s="90"/>
      <c r="CR41" s="90"/>
      <c r="CS41" s="90"/>
      <c r="CT41" s="137"/>
    </row>
    <row r="42" spans="1:98" ht="90">
      <c r="A42" s="89">
        <v>67455</v>
      </c>
      <c r="B42" s="90">
        <v>2020</v>
      </c>
      <c r="C42" s="90" t="s">
        <v>81</v>
      </c>
      <c r="D42" s="90" t="s">
        <v>239</v>
      </c>
      <c r="E42" s="125" t="s">
        <v>248</v>
      </c>
      <c r="F42" s="24" t="s">
        <v>241</v>
      </c>
      <c r="G42" s="90" t="s">
        <v>85</v>
      </c>
      <c r="H42" s="90" t="s">
        <v>180</v>
      </c>
      <c r="I42" s="90">
        <v>93</v>
      </c>
      <c r="J42" s="90">
        <v>157</v>
      </c>
      <c r="K42" s="90" t="s">
        <v>85</v>
      </c>
      <c r="L42" s="90" t="s">
        <v>242</v>
      </c>
      <c r="M42" s="90" t="s">
        <v>119</v>
      </c>
      <c r="N42" s="24" t="s">
        <v>243</v>
      </c>
      <c r="O42" s="24" t="str">
        <f>IF(ISNUMBER(SEARCH("Cancer",N42)),"Cancer",IF(ISNUMBER(SEARCH("health",N42)),"Public health",IF(ISNUMBER(SEARCH("disabilities",N42)),"Disabilities","Other")))</f>
        <v>Other</v>
      </c>
      <c r="P42" s="126">
        <v>786772</v>
      </c>
      <c r="Q42" s="90" t="s">
        <v>85</v>
      </c>
      <c r="R42" s="90" t="str">
        <f>IF(P42&gt;20000000,"B","A")</f>
        <v>A</v>
      </c>
      <c r="S42" s="90" t="s">
        <v>90</v>
      </c>
      <c r="T42" s="90" t="s">
        <v>119</v>
      </c>
      <c r="U42" s="90" t="s">
        <v>119</v>
      </c>
      <c r="V42" s="90" t="s">
        <v>119</v>
      </c>
      <c r="W42" s="90" t="s">
        <v>119</v>
      </c>
      <c r="X42" s="90" t="s">
        <v>119</v>
      </c>
      <c r="Y42" s="90" t="s">
        <v>119</v>
      </c>
      <c r="Z42" s="90" t="s">
        <v>119</v>
      </c>
      <c r="AA42" s="90" t="s">
        <v>119</v>
      </c>
      <c r="AB42" s="90" t="s">
        <v>119</v>
      </c>
      <c r="AC42" s="90" t="s">
        <v>119</v>
      </c>
      <c r="AD42" s="90" t="s">
        <v>119</v>
      </c>
      <c r="AE42" s="24">
        <v>0</v>
      </c>
      <c r="AF42" s="90">
        <v>0</v>
      </c>
      <c r="AG42" s="24">
        <v>0</v>
      </c>
      <c r="AH42" s="90">
        <v>84194</v>
      </c>
      <c r="AI42" s="24" t="s">
        <v>124</v>
      </c>
      <c r="AJ42" s="24" t="s">
        <v>249</v>
      </c>
      <c r="AK42" s="90" t="s">
        <v>85</v>
      </c>
      <c r="AL42" s="90">
        <v>67455</v>
      </c>
      <c r="AM42" s="90" t="s">
        <v>81</v>
      </c>
      <c r="AN42" s="90" t="s">
        <v>239</v>
      </c>
      <c r="AO42" s="125" t="s">
        <v>248</v>
      </c>
      <c r="AP42" s="24" t="s">
        <v>243</v>
      </c>
      <c r="AQ42" s="90" t="s">
        <v>242</v>
      </c>
      <c r="AR42" s="24" t="s">
        <v>243</v>
      </c>
      <c r="AS42" s="90" t="s">
        <v>119</v>
      </c>
      <c r="AT42" s="24" t="s">
        <v>124</v>
      </c>
      <c r="AU42" s="90" t="s">
        <v>119</v>
      </c>
      <c r="AV42" s="90" t="str">
        <f>IF(ISNUMBER(SEARCH("disagree",AE42)),"N","Y")</f>
        <v>Y</v>
      </c>
      <c r="AW42" s="90" t="s">
        <v>119</v>
      </c>
      <c r="AX42" s="24" t="s">
        <v>119</v>
      </c>
      <c r="AY42" s="90" t="str">
        <f>CONCATENATE(AZ42,BA42,BB42,BC42)</f>
        <v/>
      </c>
      <c r="AZ42" s="90" t="str">
        <f>IF(ISNUMBER(SEARCH("Y",AC42)),"R","")</f>
        <v/>
      </c>
      <c r="BA42" s="90" t="str">
        <f>IF(ISNUMBER(SEARCH("Y",Y42)),"M","")</f>
        <v/>
      </c>
      <c r="BB42" s="90" t="str">
        <f>IF(ISNUMBER(SEARCH("Y",AB42)),"QC","")</f>
        <v/>
      </c>
      <c r="BC42" s="90" t="str">
        <f>IF(ISNUMBER(SEARCH("Y",Z42)),"S","")</f>
        <v/>
      </c>
      <c r="BD42" s="90"/>
      <c r="BE42" s="24" t="s">
        <v>119</v>
      </c>
      <c r="BF42" s="125" t="str">
        <f>IF(AND(AW42&gt;=56543,AW42&lt;=76543,LEN(AW42)&gt;0),"3 Feb 2020",IF(AND(AW42&gt;=66544,AW42&lt;=99999,LEN(AW42)&gt;0),"12 Sep 2020",""))</f>
        <v/>
      </c>
      <c r="BG42" s="125" t="str">
        <f>IF((AND(BF42="3 Feb 2020",LEN(BF42)&gt;0)),"Completed",IF((AND(BF42="12 Sep 2020",LEN(BF42)&gt;0)),"Pending",""))</f>
        <v/>
      </c>
      <c r="BH42" s="90" t="str">
        <f>IF((AND(BF42="3 Feb 2020",LEN(BF42)&gt;0)),"3 Feb 2020","")</f>
        <v/>
      </c>
      <c r="BI42" s="90">
        <v>67455</v>
      </c>
      <c r="BJ42" s="90" t="str">
        <f>L42</f>
        <v>9R13IR85968-77</v>
      </c>
      <c r="BK42" s="127">
        <v>43508</v>
      </c>
      <c r="BL42" s="127">
        <v>44239</v>
      </c>
      <c r="BM42" s="128">
        <f>P42*1.1</f>
        <v>865449.20000000007</v>
      </c>
      <c r="BN42" s="129">
        <f>P42*0.9</f>
        <v>708094.8</v>
      </c>
      <c r="BO42" s="130">
        <f>P42*0.8</f>
        <v>629417.60000000009</v>
      </c>
      <c r="BP42" s="90">
        <f>IF(Z42="Y",BM42*0.4,BM42*1.05)</f>
        <v>908721.66000000015</v>
      </c>
      <c r="BQ42" s="90">
        <f>BP42*0.8</f>
        <v>726977.32800000021</v>
      </c>
      <c r="BR42" s="90" t="str">
        <f>IF(ISNUMBER(SEARCH("subrecipient",AI38)),P42*0.6,"")</f>
        <v/>
      </c>
      <c r="BS42" s="90">
        <v>67455</v>
      </c>
      <c r="BT42" s="90" t="str">
        <f>BJ42</f>
        <v>9R13IR85968-77</v>
      </c>
      <c r="BU42" s="127">
        <f>BK42</f>
        <v>43508</v>
      </c>
      <c r="BV42" s="127">
        <f>BL42</f>
        <v>44239</v>
      </c>
      <c r="BW42" s="90" t="str">
        <f>H42</f>
        <v>NATIONAL HEMOPHILIA FOUNDATION</v>
      </c>
      <c r="BX42" s="90" t="str">
        <f>IF(H42="NATIONAL HEMOPHILIA FOUNDATION","Non Federal","Federal")</f>
        <v>Non Federal</v>
      </c>
      <c r="BY42" s="128">
        <f>BM42</f>
        <v>865449.20000000007</v>
      </c>
      <c r="BZ42" s="90" t="str">
        <f>IF(LEN(BR42)&gt;0,1,"")</f>
        <v/>
      </c>
      <c r="CA42" s="90" t="str">
        <f>IF(LEN(BR42)&gt;0,"VIRAL HEPATITIS PROJECT","")</f>
        <v/>
      </c>
      <c r="CB42" s="129" t="str">
        <f>IF(LEN(BR42)&gt;0,BM42*0.7,"")</f>
        <v/>
      </c>
      <c r="CC42" s="90">
        <f>BP42</f>
        <v>908721.66000000015</v>
      </c>
      <c r="CD42" s="90" t="str">
        <f>IF(LEN(BR42)&gt;0,"70%","")</f>
        <v/>
      </c>
      <c r="CE42" s="90">
        <f>BS42</f>
        <v>67455</v>
      </c>
      <c r="CF42" s="90" t="str">
        <f>CA42</f>
        <v/>
      </c>
      <c r="CG42" s="90"/>
      <c r="CH42" s="90"/>
      <c r="CI42" s="90"/>
      <c r="CJ42" s="90"/>
      <c r="CK42" s="90"/>
      <c r="CL42" s="90"/>
      <c r="CM42" s="90"/>
      <c r="CN42" s="90"/>
      <c r="CO42" s="90"/>
      <c r="CP42" s="90"/>
      <c r="CQ42" s="90"/>
      <c r="CR42" s="90"/>
      <c r="CS42" s="90"/>
      <c r="CT42" s="137"/>
    </row>
    <row r="43" spans="1:98" ht="150">
      <c r="A43" s="89">
        <v>70538</v>
      </c>
      <c r="B43" s="90">
        <v>2020</v>
      </c>
      <c r="C43" s="90" t="s">
        <v>81</v>
      </c>
      <c r="D43" s="90" t="s">
        <v>250</v>
      </c>
      <c r="E43" s="125" t="s">
        <v>251</v>
      </c>
      <c r="F43" s="24" t="s">
        <v>252</v>
      </c>
      <c r="G43" s="90" t="s">
        <v>85</v>
      </c>
      <c r="H43" s="90" t="s">
        <v>132</v>
      </c>
      <c r="I43" s="90">
        <v>93</v>
      </c>
      <c r="J43" s="90">
        <v>157</v>
      </c>
      <c r="K43" s="90" t="s">
        <v>85</v>
      </c>
      <c r="L43" s="90" t="s">
        <v>253</v>
      </c>
      <c r="M43" s="90" t="s">
        <v>119</v>
      </c>
      <c r="N43" s="24" t="s">
        <v>254</v>
      </c>
      <c r="O43" s="24" t="str">
        <f>IF(ISNUMBER(SEARCH("Cancer",N43)),"Cancer",IF(ISNUMBER(SEARCH("health",N43)),"Public health",IF(ISNUMBER(SEARCH("disabilities",N43)),"Disabilities","Other")))</f>
        <v>Other</v>
      </c>
      <c r="P43" s="126">
        <v>925529</v>
      </c>
      <c r="Q43" s="90" t="s">
        <v>85</v>
      </c>
      <c r="R43" s="90" t="str">
        <f>IF(P43&gt;20000000,"B","A")</f>
        <v>A</v>
      </c>
      <c r="S43" s="90" t="s">
        <v>90</v>
      </c>
      <c r="T43" s="90" t="s">
        <v>119</v>
      </c>
      <c r="U43" s="90" t="s">
        <v>119</v>
      </c>
      <c r="V43" s="90" t="s">
        <v>119</v>
      </c>
      <c r="W43" s="90" t="s">
        <v>119</v>
      </c>
      <c r="X43" s="90" t="s">
        <v>119</v>
      </c>
      <c r="Y43" s="90" t="s">
        <v>119</v>
      </c>
      <c r="Z43" s="90" t="s">
        <v>119</v>
      </c>
      <c r="AA43" s="90" t="s">
        <v>119</v>
      </c>
      <c r="AB43" s="90" t="s">
        <v>119</v>
      </c>
      <c r="AC43" s="90" t="s">
        <v>119</v>
      </c>
      <c r="AD43" s="90" t="s">
        <v>119</v>
      </c>
      <c r="AE43" s="24">
        <v>0</v>
      </c>
      <c r="AF43" s="90">
        <v>0</v>
      </c>
      <c r="AG43" s="24">
        <v>0</v>
      </c>
      <c r="AH43" s="90">
        <v>89673</v>
      </c>
      <c r="AI43" s="24" t="s">
        <v>94</v>
      </c>
      <c r="AJ43" s="24" t="s">
        <v>255</v>
      </c>
      <c r="AK43" s="90" t="s">
        <v>85</v>
      </c>
      <c r="AL43" s="90">
        <v>70538</v>
      </c>
      <c r="AM43" s="90" t="s">
        <v>81</v>
      </c>
      <c r="AN43" s="90" t="s">
        <v>250</v>
      </c>
      <c r="AO43" s="125" t="s">
        <v>251</v>
      </c>
      <c r="AP43" s="24" t="s">
        <v>254</v>
      </c>
      <c r="AQ43" s="90" t="s">
        <v>253</v>
      </c>
      <c r="AR43" s="24" t="s">
        <v>254</v>
      </c>
      <c r="AS43" s="90" t="s">
        <v>119</v>
      </c>
      <c r="AT43" s="24" t="s">
        <v>94</v>
      </c>
      <c r="AU43" s="90" t="s">
        <v>119</v>
      </c>
      <c r="AV43" s="90" t="str">
        <f>IF(ISNUMBER(SEARCH("disagree",AE43)),"N","Y")</f>
        <v>Y</v>
      </c>
      <c r="AW43" s="90" t="s">
        <v>119</v>
      </c>
      <c r="AX43" s="24" t="s">
        <v>119</v>
      </c>
      <c r="AY43" s="90" t="str">
        <f>CONCATENATE(AZ43,BA43,BB43,BC43)</f>
        <v/>
      </c>
      <c r="AZ43" s="90" t="str">
        <f>IF(ISNUMBER(SEARCH("Y",AC43)),"R","")</f>
        <v/>
      </c>
      <c r="BA43" s="90" t="str">
        <f>IF(ISNUMBER(SEARCH("Y",Y43)),"M","")</f>
        <v/>
      </c>
      <c r="BB43" s="90" t="str">
        <f>IF(ISNUMBER(SEARCH("Y",AB43)),"QC","")</f>
        <v/>
      </c>
      <c r="BC43" s="90" t="str">
        <f>IF(ISNUMBER(SEARCH("Y",Z43)),"S","")</f>
        <v/>
      </c>
      <c r="BD43" s="90"/>
      <c r="BE43" s="24" t="s">
        <v>119</v>
      </c>
      <c r="BF43" s="125" t="str">
        <f>IF(AND(AW43&gt;=56543,AW43&lt;=76543,LEN(AW43)&gt;0),"3 Feb 2020",IF(AND(AW43&gt;=66544,AW43&lt;=99999,LEN(AW43)&gt;0),"12 Sep 2020",""))</f>
        <v/>
      </c>
      <c r="BG43" s="125" t="str">
        <f>IF((AND(BF43="3 Feb 2020",LEN(BF43)&gt;0)),"Completed",IF((AND(BF43="12 Sep 2020",LEN(BF43)&gt;0)),"Pending",""))</f>
        <v/>
      </c>
      <c r="BH43" s="90" t="str">
        <f>IF((AND(BF43="3 Feb 2020",LEN(BF43)&gt;0)),"3 Feb 2020","")</f>
        <v/>
      </c>
      <c r="BI43" s="90">
        <v>70538</v>
      </c>
      <c r="BJ43" s="90" t="str">
        <f>L43</f>
        <v>8R35DR84190-19</v>
      </c>
      <c r="BK43" s="127">
        <v>43508</v>
      </c>
      <c r="BL43" s="127">
        <v>44239</v>
      </c>
      <c r="BM43" s="128">
        <f>P43*1.1</f>
        <v>1018081.9000000001</v>
      </c>
      <c r="BN43" s="129">
        <f>P43*0.9</f>
        <v>832976.1</v>
      </c>
      <c r="BO43" s="130">
        <f>P43*0.8</f>
        <v>740423.20000000007</v>
      </c>
      <c r="BP43" s="90">
        <f>IF(Z43="Y",BM43*0.4,BM43*1.05)</f>
        <v>1068985.9950000001</v>
      </c>
      <c r="BQ43" s="90">
        <f>BP43*0.8</f>
        <v>855188.79600000009</v>
      </c>
      <c r="BR43" s="90" t="str">
        <f>IF(ISNUMBER(SEARCH("subrecipient",AI39)),P43*0.6,"")</f>
        <v/>
      </c>
      <c r="BS43" s="90">
        <v>70538</v>
      </c>
      <c r="BT43" s="90" t="str">
        <f>BJ43</f>
        <v>8R35DR84190-19</v>
      </c>
      <c r="BU43" s="127">
        <f>BK43</f>
        <v>43508</v>
      </c>
      <c r="BV43" s="127">
        <f>BL43</f>
        <v>44239</v>
      </c>
      <c r="BW43" s="90" t="str">
        <f>H43</f>
        <v>FDA</v>
      </c>
      <c r="BX43" s="90" t="str">
        <f>IF(H43="NATIONAL HEMOPHILIA FOUNDATION","Non Federal","Federal")</f>
        <v>Federal</v>
      </c>
      <c r="BY43" s="128">
        <f>BM43</f>
        <v>1018081.9000000001</v>
      </c>
      <c r="BZ43" s="90" t="str">
        <f>IF(LEN(BR43)&gt;0,1,"")</f>
        <v/>
      </c>
      <c r="CA43" s="90" t="str">
        <f>IF(LEN(BR43)&gt;0,"VIRAL HEPATITIS PROJECT","")</f>
        <v/>
      </c>
      <c r="CB43" s="129" t="str">
        <f>IF(LEN(BR43)&gt;0,BM43*0.7,"")</f>
        <v/>
      </c>
      <c r="CC43" s="90">
        <f>BP43</f>
        <v>1068985.9950000001</v>
      </c>
      <c r="CD43" s="90" t="str">
        <f>IF(LEN(BR43)&gt;0,"70%","")</f>
        <v/>
      </c>
      <c r="CE43" s="90">
        <f>BS43</f>
        <v>70538</v>
      </c>
      <c r="CF43" s="90" t="str">
        <f>CA43</f>
        <v/>
      </c>
      <c r="CG43" s="90"/>
      <c r="CH43" s="90"/>
      <c r="CI43" s="90"/>
      <c r="CJ43" s="90"/>
      <c r="CK43" s="90"/>
      <c r="CL43" s="90"/>
      <c r="CM43" s="90"/>
      <c r="CN43" s="90"/>
      <c r="CO43" s="90"/>
      <c r="CP43" s="90"/>
      <c r="CQ43" s="90"/>
      <c r="CR43" s="90"/>
      <c r="CS43" s="90"/>
      <c r="CT43" s="137"/>
    </row>
    <row r="44" spans="1:98" ht="30">
      <c r="A44" s="89">
        <v>70538</v>
      </c>
      <c r="B44" s="90">
        <v>2020</v>
      </c>
      <c r="C44" s="90" t="s">
        <v>81</v>
      </c>
      <c r="D44" s="90" t="s">
        <v>250</v>
      </c>
      <c r="E44" s="125" t="s">
        <v>256</v>
      </c>
      <c r="F44" s="24" t="s">
        <v>252</v>
      </c>
      <c r="G44" s="90" t="s">
        <v>85</v>
      </c>
      <c r="H44" s="90" t="s">
        <v>132</v>
      </c>
      <c r="I44" s="90">
        <v>93</v>
      </c>
      <c r="J44" s="90">
        <v>157</v>
      </c>
      <c r="K44" s="90" t="s">
        <v>85</v>
      </c>
      <c r="L44" s="90" t="s">
        <v>253</v>
      </c>
      <c r="M44" s="90" t="s">
        <v>119</v>
      </c>
      <c r="N44" s="24" t="s">
        <v>254</v>
      </c>
      <c r="O44" s="24" t="str">
        <f>IF(ISNUMBER(SEARCH("Cancer",N44)),"Cancer",IF(ISNUMBER(SEARCH("health",N44)),"Public health",IF(ISNUMBER(SEARCH("disabilities",N44)),"Disabilities","Other")))</f>
        <v>Other</v>
      </c>
      <c r="P44" s="126">
        <v>925529</v>
      </c>
      <c r="Q44" s="90" t="s">
        <v>85</v>
      </c>
      <c r="R44" s="90" t="str">
        <f>IF(P44&gt;20000000,"B","A")</f>
        <v>A</v>
      </c>
      <c r="S44" s="90" t="s">
        <v>90</v>
      </c>
      <c r="T44" s="90" t="s">
        <v>119</v>
      </c>
      <c r="U44" s="90" t="s">
        <v>119</v>
      </c>
      <c r="V44" s="90" t="s">
        <v>119</v>
      </c>
      <c r="W44" s="90" t="s">
        <v>119</v>
      </c>
      <c r="X44" s="90" t="s">
        <v>119</v>
      </c>
      <c r="Y44" s="90" t="s">
        <v>119</v>
      </c>
      <c r="Z44" s="90" t="s">
        <v>119</v>
      </c>
      <c r="AA44" s="90" t="s">
        <v>119</v>
      </c>
      <c r="AB44" s="90" t="s">
        <v>119</v>
      </c>
      <c r="AC44" s="90" t="s">
        <v>119</v>
      </c>
      <c r="AD44" s="90" t="s">
        <v>119</v>
      </c>
      <c r="AE44" s="24">
        <v>0</v>
      </c>
      <c r="AF44" s="90">
        <v>0</v>
      </c>
      <c r="AG44" s="24">
        <v>0</v>
      </c>
      <c r="AH44" s="90">
        <v>89674</v>
      </c>
      <c r="AI44" s="24" t="s">
        <v>102</v>
      </c>
      <c r="AJ44" s="24" t="s">
        <v>257</v>
      </c>
      <c r="AK44" s="90" t="s">
        <v>85</v>
      </c>
      <c r="AL44" s="90">
        <v>70538</v>
      </c>
      <c r="AM44" s="90" t="s">
        <v>81</v>
      </c>
      <c r="AN44" s="90" t="s">
        <v>250</v>
      </c>
      <c r="AO44" s="125" t="s">
        <v>256</v>
      </c>
      <c r="AP44" s="24" t="s">
        <v>254</v>
      </c>
      <c r="AQ44" s="90" t="s">
        <v>253</v>
      </c>
      <c r="AR44" s="24" t="s">
        <v>254</v>
      </c>
      <c r="AS44" s="90" t="s">
        <v>119</v>
      </c>
      <c r="AT44" s="24" t="s">
        <v>102</v>
      </c>
      <c r="AU44" s="90" t="s">
        <v>119</v>
      </c>
      <c r="AV44" s="90" t="str">
        <f>IF(ISNUMBER(SEARCH("disagree",AE44)),"N","Y")</f>
        <v>Y</v>
      </c>
      <c r="AW44" s="90" t="s">
        <v>119</v>
      </c>
      <c r="AX44" s="24" t="s">
        <v>119</v>
      </c>
      <c r="AY44" s="90" t="str">
        <f>CONCATENATE(AZ44,BA44,BB44,BC44)</f>
        <v/>
      </c>
      <c r="AZ44" s="90" t="str">
        <f>IF(ISNUMBER(SEARCH("Y",AC44)),"R","")</f>
        <v/>
      </c>
      <c r="BA44" s="90" t="str">
        <f>IF(ISNUMBER(SEARCH("Y",Y44)),"M","")</f>
        <v/>
      </c>
      <c r="BB44" s="90" t="str">
        <f>IF(ISNUMBER(SEARCH("Y",AB44)),"QC","")</f>
        <v/>
      </c>
      <c r="BC44" s="90" t="str">
        <f>IF(ISNUMBER(SEARCH("Y",Z44)),"S","")</f>
        <v/>
      </c>
      <c r="BD44" s="90"/>
      <c r="BE44" s="24" t="s">
        <v>119</v>
      </c>
      <c r="BF44" s="125" t="str">
        <f>IF(AND(AW44&gt;=56543,AW44&lt;=76543,LEN(AW44)&gt;0),"3 Feb 2020",IF(AND(AW44&gt;=66544,AW44&lt;=99999,LEN(AW44)&gt;0),"12 Sep 2020",""))</f>
        <v/>
      </c>
      <c r="BG44" s="125" t="str">
        <f>IF((AND(BF44="3 Feb 2020",LEN(BF44)&gt;0)),"Completed",IF((AND(BF44="12 Sep 2020",LEN(BF44)&gt;0)),"Pending",""))</f>
        <v/>
      </c>
      <c r="BH44" s="90" t="str">
        <f>IF((AND(BF44="3 Feb 2020",LEN(BF44)&gt;0)),"3 Feb 2020","")</f>
        <v/>
      </c>
      <c r="BI44" s="90">
        <v>70538</v>
      </c>
      <c r="BJ44" s="90" t="str">
        <f>L44</f>
        <v>8R35DR84190-19</v>
      </c>
      <c r="BK44" s="127">
        <v>43508</v>
      </c>
      <c r="BL44" s="127">
        <v>44239</v>
      </c>
      <c r="BM44" s="128">
        <f>P44*1.1</f>
        <v>1018081.9000000001</v>
      </c>
      <c r="BN44" s="129">
        <f>P44*0.9</f>
        <v>832976.1</v>
      </c>
      <c r="BO44" s="130">
        <f>P44*0.8</f>
        <v>740423.20000000007</v>
      </c>
      <c r="BP44" s="90">
        <f>IF(Z44="Y",BM44*0.4,BM44*1.05)</f>
        <v>1068985.9950000001</v>
      </c>
      <c r="BQ44" s="90">
        <f>BP44*0.8</f>
        <v>855188.79600000009</v>
      </c>
      <c r="BR44" s="90" t="str">
        <f>IF(ISNUMBER(SEARCH("subrecipient",AI40)),P44*0.6,"")</f>
        <v/>
      </c>
      <c r="BS44" s="90">
        <v>70538</v>
      </c>
      <c r="BT44" s="90" t="str">
        <f>BJ44</f>
        <v>8R35DR84190-19</v>
      </c>
      <c r="BU44" s="127">
        <f>BK44</f>
        <v>43508</v>
      </c>
      <c r="BV44" s="127">
        <f>BL44</f>
        <v>44239</v>
      </c>
      <c r="BW44" s="90" t="str">
        <f>H44</f>
        <v>FDA</v>
      </c>
      <c r="BX44" s="90" t="str">
        <f>IF(H44="NATIONAL HEMOPHILIA FOUNDATION","Non Federal","Federal")</f>
        <v>Federal</v>
      </c>
      <c r="BY44" s="128">
        <f>BM44</f>
        <v>1018081.9000000001</v>
      </c>
      <c r="BZ44" s="90" t="str">
        <f>IF(LEN(BR44)&gt;0,1,"")</f>
        <v/>
      </c>
      <c r="CA44" s="90" t="str">
        <f>IF(LEN(BR44)&gt;0,"VIRAL HEPATITIS PROJECT","")</f>
        <v/>
      </c>
      <c r="CB44" s="129" t="str">
        <f>IF(LEN(BR44)&gt;0,BM44*0.7,"")</f>
        <v/>
      </c>
      <c r="CC44" s="90">
        <f>BP44</f>
        <v>1068985.9950000001</v>
      </c>
      <c r="CD44" s="90" t="str">
        <f>IF(LEN(BR44)&gt;0,"70%","")</f>
        <v/>
      </c>
      <c r="CE44" s="90">
        <f>BS44</f>
        <v>70538</v>
      </c>
      <c r="CF44" s="90" t="str">
        <f>CA44</f>
        <v/>
      </c>
      <c r="CG44" s="90"/>
      <c r="CH44" s="90"/>
      <c r="CI44" s="90"/>
      <c r="CJ44" s="90"/>
      <c r="CK44" s="90"/>
      <c r="CL44" s="90"/>
      <c r="CM44" s="90"/>
      <c r="CN44" s="90"/>
      <c r="CO44" s="90"/>
      <c r="CP44" s="90"/>
      <c r="CQ44" s="90"/>
      <c r="CR44" s="90"/>
      <c r="CS44" s="90"/>
      <c r="CT44" s="137"/>
    </row>
    <row r="45" spans="1:98" ht="75">
      <c r="A45" s="89">
        <v>70538</v>
      </c>
      <c r="B45" s="90">
        <v>2020</v>
      </c>
      <c r="C45" s="90" t="s">
        <v>81</v>
      </c>
      <c r="D45" s="90" t="s">
        <v>250</v>
      </c>
      <c r="E45" s="125" t="s">
        <v>258</v>
      </c>
      <c r="F45" s="24" t="s">
        <v>252</v>
      </c>
      <c r="G45" s="90" t="s">
        <v>85</v>
      </c>
      <c r="H45" s="90" t="s">
        <v>132</v>
      </c>
      <c r="I45" s="90">
        <v>93</v>
      </c>
      <c r="J45" s="90">
        <v>157</v>
      </c>
      <c r="K45" s="90" t="s">
        <v>85</v>
      </c>
      <c r="L45" s="90" t="s">
        <v>253</v>
      </c>
      <c r="M45" s="90" t="s">
        <v>119</v>
      </c>
      <c r="N45" s="24" t="s">
        <v>254</v>
      </c>
      <c r="O45" s="24" t="str">
        <f>IF(ISNUMBER(SEARCH("Cancer",N45)),"Cancer",IF(ISNUMBER(SEARCH("health",N45)),"Public health",IF(ISNUMBER(SEARCH("disabilities",N45)),"Disabilities","Other")))</f>
        <v>Other</v>
      </c>
      <c r="P45" s="126">
        <v>925529</v>
      </c>
      <c r="Q45" s="90" t="s">
        <v>85</v>
      </c>
      <c r="R45" s="90" t="str">
        <f>IF(P45&gt;20000000,"B","A")</f>
        <v>A</v>
      </c>
      <c r="S45" s="90" t="s">
        <v>90</v>
      </c>
      <c r="T45" s="90" t="s">
        <v>119</v>
      </c>
      <c r="U45" s="90" t="s">
        <v>119</v>
      </c>
      <c r="V45" s="90" t="s">
        <v>119</v>
      </c>
      <c r="W45" s="90" t="s">
        <v>119</v>
      </c>
      <c r="X45" s="90" t="s">
        <v>119</v>
      </c>
      <c r="Y45" s="90" t="s">
        <v>119</v>
      </c>
      <c r="Z45" s="90" t="s">
        <v>119</v>
      </c>
      <c r="AA45" s="90" t="s">
        <v>119</v>
      </c>
      <c r="AB45" s="90" t="s">
        <v>119</v>
      </c>
      <c r="AC45" s="90" t="s">
        <v>119</v>
      </c>
      <c r="AD45" s="90" t="s">
        <v>119</v>
      </c>
      <c r="AE45" s="24">
        <v>0</v>
      </c>
      <c r="AF45" s="90">
        <v>0</v>
      </c>
      <c r="AG45" s="24">
        <v>0</v>
      </c>
      <c r="AH45" s="90">
        <v>89675</v>
      </c>
      <c r="AI45" s="24" t="s">
        <v>110</v>
      </c>
      <c r="AJ45" s="24" t="s">
        <v>259</v>
      </c>
      <c r="AK45" s="90" t="s">
        <v>85</v>
      </c>
      <c r="AL45" s="90">
        <v>70538</v>
      </c>
      <c r="AM45" s="90" t="s">
        <v>81</v>
      </c>
      <c r="AN45" s="90" t="s">
        <v>250</v>
      </c>
      <c r="AO45" s="125" t="s">
        <v>258</v>
      </c>
      <c r="AP45" s="24" t="s">
        <v>254</v>
      </c>
      <c r="AQ45" s="90" t="s">
        <v>253</v>
      </c>
      <c r="AR45" s="24" t="s">
        <v>254</v>
      </c>
      <c r="AS45" s="90" t="s">
        <v>119</v>
      </c>
      <c r="AT45" s="24" t="s">
        <v>110</v>
      </c>
      <c r="AU45" s="90" t="s">
        <v>119</v>
      </c>
      <c r="AV45" s="90" t="str">
        <f>IF(ISNUMBER(SEARCH("disagree",AE45)),"N","Y")</f>
        <v>Y</v>
      </c>
      <c r="AW45" s="90" t="s">
        <v>119</v>
      </c>
      <c r="AX45" s="24" t="s">
        <v>119</v>
      </c>
      <c r="AY45" s="90" t="str">
        <f>CONCATENATE(AZ45,BA45,BB45,BC45)</f>
        <v/>
      </c>
      <c r="AZ45" s="90" t="str">
        <f>IF(ISNUMBER(SEARCH("Y",AC45)),"R","")</f>
        <v/>
      </c>
      <c r="BA45" s="90" t="str">
        <f>IF(ISNUMBER(SEARCH("Y",Y45)),"M","")</f>
        <v/>
      </c>
      <c r="BB45" s="90" t="str">
        <f>IF(ISNUMBER(SEARCH("Y",AB45)),"QC","")</f>
        <v/>
      </c>
      <c r="BC45" s="90" t="str">
        <f>IF(ISNUMBER(SEARCH("Y",Z45)),"S","")</f>
        <v/>
      </c>
      <c r="BD45" s="90"/>
      <c r="BE45" s="24" t="s">
        <v>119</v>
      </c>
      <c r="BF45" s="125" t="str">
        <f>IF(AND(AW45&gt;=56543,AW45&lt;=76543,LEN(AW45)&gt;0),"3 Feb 2020",IF(AND(AW45&gt;=66544,AW45&lt;=99999,LEN(AW45)&gt;0),"12 Sep 2020",""))</f>
        <v/>
      </c>
      <c r="BG45" s="125" t="str">
        <f>IF((AND(BF45="3 Feb 2020",LEN(BF45)&gt;0)),"Completed",IF((AND(BF45="12 Sep 2020",LEN(BF45)&gt;0)),"Pending",""))</f>
        <v/>
      </c>
      <c r="BH45" s="90" t="str">
        <f>IF((AND(BF45="3 Feb 2020",LEN(BF45)&gt;0)),"3 Feb 2020","")</f>
        <v/>
      </c>
      <c r="BI45" s="90">
        <v>70538</v>
      </c>
      <c r="BJ45" s="90" t="str">
        <f>L45</f>
        <v>8R35DR84190-19</v>
      </c>
      <c r="BK45" s="127">
        <v>43508</v>
      </c>
      <c r="BL45" s="127">
        <v>44239</v>
      </c>
      <c r="BM45" s="128">
        <f>P45*1.1</f>
        <v>1018081.9000000001</v>
      </c>
      <c r="BN45" s="129">
        <f>P45*0.9</f>
        <v>832976.1</v>
      </c>
      <c r="BO45" s="130">
        <f>P45*0.8</f>
        <v>740423.20000000007</v>
      </c>
      <c r="BP45" s="90">
        <f>IF(Z45="Y",BM45*0.4,BM45*1.05)</f>
        <v>1068985.9950000001</v>
      </c>
      <c r="BQ45" s="90">
        <f>BP45*0.8</f>
        <v>855188.79600000009</v>
      </c>
      <c r="BR45" s="90" t="str">
        <f>IF(ISNUMBER(SEARCH("subrecipient",AI41)),P45*0.6,"")</f>
        <v/>
      </c>
      <c r="BS45" s="90">
        <v>70538</v>
      </c>
      <c r="BT45" s="90" t="str">
        <f>BJ45</f>
        <v>8R35DR84190-19</v>
      </c>
      <c r="BU45" s="127">
        <f>BK45</f>
        <v>43508</v>
      </c>
      <c r="BV45" s="127">
        <f>BL45</f>
        <v>44239</v>
      </c>
      <c r="BW45" s="90" t="str">
        <f>H45</f>
        <v>FDA</v>
      </c>
      <c r="BX45" s="90" t="str">
        <f>IF(H45="NATIONAL HEMOPHILIA FOUNDATION","Non Federal","Federal")</f>
        <v>Federal</v>
      </c>
      <c r="BY45" s="128">
        <f>BM45</f>
        <v>1018081.9000000001</v>
      </c>
      <c r="BZ45" s="90" t="str">
        <f>IF(LEN(BR45)&gt;0,1,"")</f>
        <v/>
      </c>
      <c r="CA45" s="90" t="str">
        <f>IF(LEN(BR45)&gt;0,"VIRAL HEPATITIS PROJECT","")</f>
        <v/>
      </c>
      <c r="CB45" s="129" t="str">
        <f>IF(LEN(BR45)&gt;0,BM45*0.7,"")</f>
        <v/>
      </c>
      <c r="CC45" s="90">
        <f>BP45</f>
        <v>1068985.9950000001</v>
      </c>
      <c r="CD45" s="90" t="str">
        <f>IF(LEN(BR45)&gt;0,"70%","")</f>
        <v/>
      </c>
      <c r="CE45" s="90">
        <f>BS45</f>
        <v>70538</v>
      </c>
      <c r="CF45" s="90" t="str">
        <f>CA45</f>
        <v/>
      </c>
      <c r="CG45" s="90"/>
      <c r="CH45" s="90"/>
      <c r="CI45" s="90"/>
      <c r="CJ45" s="90"/>
      <c r="CK45" s="90"/>
      <c r="CL45" s="90"/>
      <c r="CM45" s="90"/>
      <c r="CN45" s="90"/>
      <c r="CO45" s="90"/>
      <c r="CP45" s="90"/>
      <c r="CQ45" s="90"/>
      <c r="CR45" s="90"/>
      <c r="CS45" s="90"/>
      <c r="CT45" s="137"/>
    </row>
    <row r="46" spans="1:98" ht="105">
      <c r="A46" s="89">
        <v>71379</v>
      </c>
      <c r="B46" s="90">
        <v>2020</v>
      </c>
      <c r="C46" s="90" t="s">
        <v>81</v>
      </c>
      <c r="D46" s="90" t="s">
        <v>260</v>
      </c>
      <c r="E46" s="125" t="s">
        <v>261</v>
      </c>
      <c r="F46" s="24" t="s">
        <v>262</v>
      </c>
      <c r="G46" s="90" t="s">
        <v>85</v>
      </c>
      <c r="H46" s="90" t="s">
        <v>150</v>
      </c>
      <c r="I46" s="90">
        <v>93</v>
      </c>
      <c r="J46" s="90">
        <v>157</v>
      </c>
      <c r="K46" s="90" t="s">
        <v>85</v>
      </c>
      <c r="L46" s="90" t="s">
        <v>263</v>
      </c>
      <c r="M46" s="90" t="s">
        <v>119</v>
      </c>
      <c r="N46" s="24" t="s">
        <v>264</v>
      </c>
      <c r="O46" s="24" t="str">
        <f>IF(ISNUMBER(SEARCH("Cancer",N46)),"Cancer",IF(ISNUMBER(SEARCH("health",N46)),"Public health",IF(ISNUMBER(SEARCH("disabilities",N46)),"Disabilities","Other")))</f>
        <v>Other</v>
      </c>
      <c r="P46" s="126">
        <v>753265</v>
      </c>
      <c r="Q46" s="90" t="s">
        <v>85</v>
      </c>
      <c r="R46" s="90" t="str">
        <f>IF(P46&gt;20000000,"B","A")</f>
        <v>A</v>
      </c>
      <c r="S46" s="90" t="s">
        <v>90</v>
      </c>
      <c r="T46" s="90" t="s">
        <v>119</v>
      </c>
      <c r="U46" s="90" t="s">
        <v>119</v>
      </c>
      <c r="V46" s="90" t="s">
        <v>119</v>
      </c>
      <c r="W46" s="90" t="s">
        <v>119</v>
      </c>
      <c r="X46" s="90" t="s">
        <v>119</v>
      </c>
      <c r="Y46" s="90" t="s">
        <v>119</v>
      </c>
      <c r="Z46" s="90" t="s">
        <v>119</v>
      </c>
      <c r="AA46" s="90" t="s">
        <v>119</v>
      </c>
      <c r="AB46" s="90" t="s">
        <v>119</v>
      </c>
      <c r="AC46" s="90" t="s">
        <v>119</v>
      </c>
      <c r="AD46" s="90" t="s">
        <v>119</v>
      </c>
      <c r="AE46" s="24">
        <v>0</v>
      </c>
      <c r="AF46" s="90">
        <v>0</v>
      </c>
      <c r="AG46" s="24">
        <v>0</v>
      </c>
      <c r="AH46" s="90">
        <v>86504</v>
      </c>
      <c r="AI46" s="24" t="s">
        <v>94</v>
      </c>
      <c r="AJ46" s="24" t="s">
        <v>265</v>
      </c>
      <c r="AK46" s="90" t="s">
        <v>85</v>
      </c>
      <c r="AL46" s="90">
        <v>71379</v>
      </c>
      <c r="AM46" s="90" t="s">
        <v>81</v>
      </c>
      <c r="AN46" s="90" t="s">
        <v>260</v>
      </c>
      <c r="AO46" s="125" t="s">
        <v>261</v>
      </c>
      <c r="AP46" s="24" t="s">
        <v>264</v>
      </c>
      <c r="AQ46" s="90" t="s">
        <v>263</v>
      </c>
      <c r="AR46" s="24" t="s">
        <v>264</v>
      </c>
      <c r="AS46" s="90" t="s">
        <v>119</v>
      </c>
      <c r="AT46" s="24" t="s">
        <v>94</v>
      </c>
      <c r="AU46" s="90" t="s">
        <v>119</v>
      </c>
      <c r="AV46" s="90" t="str">
        <f>IF(ISNUMBER(SEARCH("disagree",AE46)),"N","Y")</f>
        <v>Y</v>
      </c>
      <c r="AW46" s="90" t="s">
        <v>119</v>
      </c>
      <c r="AX46" s="24" t="s">
        <v>119</v>
      </c>
      <c r="AY46" s="90" t="str">
        <f>CONCATENATE(AZ46,BA46,BB46,BC46)</f>
        <v/>
      </c>
      <c r="AZ46" s="90" t="str">
        <f>IF(ISNUMBER(SEARCH("Y",AC46)),"R","")</f>
        <v/>
      </c>
      <c r="BA46" s="90" t="str">
        <f>IF(ISNUMBER(SEARCH("Y",Y46)),"M","")</f>
        <v/>
      </c>
      <c r="BB46" s="90" t="str">
        <f>IF(ISNUMBER(SEARCH("Y",AB46)),"QC","")</f>
        <v/>
      </c>
      <c r="BC46" s="90" t="str">
        <f>IF(ISNUMBER(SEARCH("Y",Z46)),"S","")</f>
        <v/>
      </c>
      <c r="BD46" s="90"/>
      <c r="BE46" s="24" t="s">
        <v>119</v>
      </c>
      <c r="BF46" s="125" t="str">
        <f>IF(AND(AW46&gt;=56543,AW46&lt;=76543,LEN(AW46)&gt;0),"3 Feb 2020",IF(AND(AW46&gt;=66544,AW46&lt;=99999,LEN(AW46)&gt;0),"12 Sep 2020",""))</f>
        <v/>
      </c>
      <c r="BG46" s="125" t="str">
        <f>IF((AND(BF46="3 Feb 2020",LEN(BF46)&gt;0)),"Completed",IF((AND(BF46="12 Sep 2020",LEN(BF46)&gt;0)),"Pending",""))</f>
        <v/>
      </c>
      <c r="BH46" s="90" t="str">
        <f>IF((AND(BF46="3 Feb 2020",LEN(BF46)&gt;0)),"3 Feb 2020","")</f>
        <v/>
      </c>
      <c r="BI46" s="90">
        <v>71379</v>
      </c>
      <c r="BJ46" s="90" t="str">
        <f>L46</f>
        <v>5H66CT89998-17</v>
      </c>
      <c r="BK46" s="127">
        <v>43508</v>
      </c>
      <c r="BL46" s="127">
        <v>44239</v>
      </c>
      <c r="BM46" s="128">
        <f>P46*1.1</f>
        <v>828591.50000000012</v>
      </c>
      <c r="BN46" s="129">
        <f>P46*0.9</f>
        <v>677938.5</v>
      </c>
      <c r="BO46" s="130">
        <f>P46*0.8</f>
        <v>602612</v>
      </c>
      <c r="BP46" s="90">
        <f>IF(Z46="Y",BM46*0.4,BM46*1.05)</f>
        <v>870021.07500000019</v>
      </c>
      <c r="BQ46" s="90">
        <f>BP46*0.8</f>
        <v>696016.86000000022</v>
      </c>
      <c r="BR46" s="90" t="str">
        <f>IF(ISNUMBER(SEARCH("subrecipient",AI42)),P46*0.6,"")</f>
        <v/>
      </c>
      <c r="BS46" s="90">
        <v>71379</v>
      </c>
      <c r="BT46" s="90" t="str">
        <f>BJ46</f>
        <v>5H66CT89998-17</v>
      </c>
      <c r="BU46" s="127">
        <f>BK46</f>
        <v>43508</v>
      </c>
      <c r="BV46" s="127">
        <f>BL46</f>
        <v>44239</v>
      </c>
      <c r="BW46" s="90" t="str">
        <f>H46</f>
        <v>ACF</v>
      </c>
      <c r="BX46" s="90" t="str">
        <f>IF(H46="NATIONAL HEMOPHILIA FOUNDATION","Non Federal","Federal")</f>
        <v>Federal</v>
      </c>
      <c r="BY46" s="128">
        <f>BM46</f>
        <v>828591.50000000012</v>
      </c>
      <c r="BZ46" s="90" t="str">
        <f>IF(LEN(BR46)&gt;0,1,"")</f>
        <v/>
      </c>
      <c r="CA46" s="90" t="str">
        <f>IF(LEN(BR46)&gt;0,"VIRAL HEPATITIS PROJECT","")</f>
        <v/>
      </c>
      <c r="CB46" s="129" t="str">
        <f>IF(LEN(BR46)&gt;0,BM46*0.7,"")</f>
        <v/>
      </c>
      <c r="CC46" s="90">
        <f>BP46</f>
        <v>870021.07500000019</v>
      </c>
      <c r="CD46" s="90" t="str">
        <f>IF(LEN(BR46)&gt;0,"70%","")</f>
        <v/>
      </c>
      <c r="CE46" s="90">
        <f>BS46</f>
        <v>71379</v>
      </c>
      <c r="CF46" s="90" t="str">
        <f>CA46</f>
        <v/>
      </c>
      <c r="CG46" s="90"/>
      <c r="CH46" s="90"/>
      <c r="CI46" s="90"/>
      <c r="CJ46" s="90"/>
      <c r="CK46" s="90"/>
      <c r="CL46" s="90"/>
      <c r="CM46" s="90"/>
      <c r="CN46" s="90"/>
      <c r="CO46" s="90"/>
      <c r="CP46" s="90"/>
      <c r="CQ46" s="90"/>
      <c r="CR46" s="90"/>
      <c r="CS46" s="90"/>
      <c r="CT46" s="137"/>
    </row>
    <row r="47" spans="1:98" ht="105">
      <c r="A47" s="89">
        <v>71379</v>
      </c>
      <c r="B47" s="90">
        <v>2020</v>
      </c>
      <c r="C47" s="90" t="s">
        <v>81</v>
      </c>
      <c r="D47" s="90" t="s">
        <v>260</v>
      </c>
      <c r="E47" s="125" t="s">
        <v>266</v>
      </c>
      <c r="F47" s="24" t="s">
        <v>262</v>
      </c>
      <c r="G47" s="90" t="s">
        <v>85</v>
      </c>
      <c r="H47" s="90" t="s">
        <v>150</v>
      </c>
      <c r="I47" s="90">
        <v>93</v>
      </c>
      <c r="J47" s="90">
        <v>157</v>
      </c>
      <c r="K47" s="90" t="s">
        <v>85</v>
      </c>
      <c r="L47" s="90" t="s">
        <v>263</v>
      </c>
      <c r="M47" s="90" t="s">
        <v>119</v>
      </c>
      <c r="N47" s="24" t="s">
        <v>264</v>
      </c>
      <c r="O47" s="24" t="str">
        <f>IF(ISNUMBER(SEARCH("Cancer",N47)),"Cancer",IF(ISNUMBER(SEARCH("health",N47)),"Public health",IF(ISNUMBER(SEARCH("disabilities",N47)),"Disabilities","Other")))</f>
        <v>Other</v>
      </c>
      <c r="P47" s="126">
        <v>753265</v>
      </c>
      <c r="Q47" s="90" t="s">
        <v>85</v>
      </c>
      <c r="R47" s="90" t="str">
        <f>IF(P47&gt;20000000,"B","A")</f>
        <v>A</v>
      </c>
      <c r="S47" s="90" t="s">
        <v>90</v>
      </c>
      <c r="T47" s="90" t="s">
        <v>119</v>
      </c>
      <c r="U47" s="90" t="s">
        <v>119</v>
      </c>
      <c r="V47" s="90" t="s">
        <v>119</v>
      </c>
      <c r="W47" s="90" t="s">
        <v>119</v>
      </c>
      <c r="X47" s="90" t="s">
        <v>119</v>
      </c>
      <c r="Y47" s="90" t="s">
        <v>119</v>
      </c>
      <c r="Z47" s="90" t="s">
        <v>119</v>
      </c>
      <c r="AA47" s="90" t="s">
        <v>119</v>
      </c>
      <c r="AB47" s="90" t="s">
        <v>119</v>
      </c>
      <c r="AC47" s="90" t="s">
        <v>119</v>
      </c>
      <c r="AD47" s="90" t="s">
        <v>119</v>
      </c>
      <c r="AE47" s="24">
        <v>0</v>
      </c>
      <c r="AF47" s="90">
        <v>0</v>
      </c>
      <c r="AG47" s="24">
        <v>0</v>
      </c>
      <c r="AH47" s="90">
        <v>86501</v>
      </c>
      <c r="AI47" s="24" t="s">
        <v>102</v>
      </c>
      <c r="AJ47" s="24" t="s">
        <v>267</v>
      </c>
      <c r="AK47" s="90" t="s">
        <v>85</v>
      </c>
      <c r="AL47" s="90">
        <v>71379</v>
      </c>
      <c r="AM47" s="90" t="s">
        <v>81</v>
      </c>
      <c r="AN47" s="90" t="s">
        <v>260</v>
      </c>
      <c r="AO47" s="125" t="s">
        <v>266</v>
      </c>
      <c r="AP47" s="24" t="s">
        <v>264</v>
      </c>
      <c r="AQ47" s="90" t="s">
        <v>263</v>
      </c>
      <c r="AR47" s="24" t="s">
        <v>264</v>
      </c>
      <c r="AS47" s="90" t="s">
        <v>119</v>
      </c>
      <c r="AT47" s="24" t="s">
        <v>102</v>
      </c>
      <c r="AU47" s="90" t="s">
        <v>119</v>
      </c>
      <c r="AV47" s="90" t="str">
        <f>IF(ISNUMBER(SEARCH("disagree",AE47)),"N","Y")</f>
        <v>Y</v>
      </c>
      <c r="AW47" s="90" t="s">
        <v>119</v>
      </c>
      <c r="AX47" s="24" t="s">
        <v>119</v>
      </c>
      <c r="AY47" s="90" t="str">
        <f>CONCATENATE(AZ47,BA47,BB47,BC47)</f>
        <v/>
      </c>
      <c r="AZ47" s="90" t="str">
        <f>IF(ISNUMBER(SEARCH("Y",AC47)),"R","")</f>
        <v/>
      </c>
      <c r="BA47" s="90" t="str">
        <f>IF(ISNUMBER(SEARCH("Y",Y47)),"M","")</f>
        <v/>
      </c>
      <c r="BB47" s="90" t="str">
        <f>IF(ISNUMBER(SEARCH("Y",AB47)),"QC","")</f>
        <v/>
      </c>
      <c r="BC47" s="90" t="str">
        <f>IF(ISNUMBER(SEARCH("Y",Z47)),"S","")</f>
        <v/>
      </c>
      <c r="BD47" s="90"/>
      <c r="BE47" s="24" t="s">
        <v>119</v>
      </c>
      <c r="BF47" s="125" t="str">
        <f>IF(AND(AW47&gt;=56543,AW47&lt;=76543,LEN(AW47)&gt;0),"3 Feb 2020",IF(AND(AW47&gt;=66544,AW47&lt;=99999,LEN(AW47)&gt;0),"12 Sep 2020",""))</f>
        <v/>
      </c>
      <c r="BG47" s="125" t="str">
        <f>IF((AND(BF47="3 Feb 2020",LEN(BF47)&gt;0)),"Completed",IF((AND(BF47="12 Sep 2020",LEN(BF47)&gt;0)),"Pending",""))</f>
        <v/>
      </c>
      <c r="BH47" s="90" t="str">
        <f>IF((AND(BF47="3 Feb 2020",LEN(BF47)&gt;0)),"3 Feb 2020","")</f>
        <v/>
      </c>
      <c r="BI47" s="90">
        <v>71379</v>
      </c>
      <c r="BJ47" s="90" t="str">
        <f>L47</f>
        <v>5H66CT89998-17</v>
      </c>
      <c r="BK47" s="127">
        <v>43508</v>
      </c>
      <c r="BL47" s="127">
        <v>44239</v>
      </c>
      <c r="BM47" s="128">
        <f>P47*1.1</f>
        <v>828591.50000000012</v>
      </c>
      <c r="BN47" s="129">
        <f>P47*0.9</f>
        <v>677938.5</v>
      </c>
      <c r="BO47" s="130">
        <f>P47*0.8</f>
        <v>602612</v>
      </c>
      <c r="BP47" s="90">
        <f>IF(Z47="Y",BM47*0.4,BM47*1.05)</f>
        <v>870021.07500000019</v>
      </c>
      <c r="BQ47" s="90">
        <f>BP47*0.8</f>
        <v>696016.86000000022</v>
      </c>
      <c r="BR47" s="90" t="str">
        <f>IF(ISNUMBER(SEARCH("subrecipient",AI43)),P47*0.6,"")</f>
        <v/>
      </c>
      <c r="BS47" s="90">
        <v>71379</v>
      </c>
      <c r="BT47" s="90" t="str">
        <f>BJ47</f>
        <v>5H66CT89998-17</v>
      </c>
      <c r="BU47" s="127">
        <f>BK47</f>
        <v>43508</v>
      </c>
      <c r="BV47" s="127">
        <f>BL47</f>
        <v>44239</v>
      </c>
      <c r="BW47" s="90" t="str">
        <f>H47</f>
        <v>ACF</v>
      </c>
      <c r="BX47" s="90" t="str">
        <f>IF(H47="NATIONAL HEMOPHILIA FOUNDATION","Non Federal","Federal")</f>
        <v>Federal</v>
      </c>
      <c r="BY47" s="128">
        <f>BM47</f>
        <v>828591.50000000012</v>
      </c>
      <c r="BZ47" s="90" t="str">
        <f>IF(LEN(BR47)&gt;0,1,"")</f>
        <v/>
      </c>
      <c r="CA47" s="90" t="str">
        <f>IF(LEN(BR47)&gt;0,"VIRAL HEPATITIS PROJECT","")</f>
        <v/>
      </c>
      <c r="CB47" s="129" t="str">
        <f>IF(LEN(BR47)&gt;0,BM47*0.7,"")</f>
        <v/>
      </c>
      <c r="CC47" s="90">
        <f>BP47</f>
        <v>870021.07500000019</v>
      </c>
      <c r="CD47" s="90" t="str">
        <f>IF(LEN(BR47)&gt;0,"70%","")</f>
        <v/>
      </c>
      <c r="CE47" s="90">
        <f>BS47</f>
        <v>71379</v>
      </c>
      <c r="CF47" s="90" t="str">
        <f>CA47</f>
        <v/>
      </c>
      <c r="CG47" s="90"/>
      <c r="CH47" s="90"/>
      <c r="CI47" s="90"/>
      <c r="CJ47" s="90"/>
      <c r="CK47" s="90"/>
      <c r="CL47" s="90"/>
      <c r="CM47" s="90"/>
      <c r="CN47" s="90"/>
      <c r="CO47" s="90"/>
      <c r="CP47" s="90"/>
      <c r="CQ47" s="90"/>
      <c r="CR47" s="90"/>
      <c r="CS47" s="90"/>
      <c r="CT47" s="137"/>
    </row>
    <row r="48" spans="1:98" ht="105">
      <c r="A48" s="89">
        <v>71379</v>
      </c>
      <c r="B48" s="90">
        <v>2020</v>
      </c>
      <c r="C48" s="90" t="s">
        <v>81</v>
      </c>
      <c r="D48" s="90" t="s">
        <v>260</v>
      </c>
      <c r="E48" s="125" t="s">
        <v>268</v>
      </c>
      <c r="F48" s="24" t="s">
        <v>262</v>
      </c>
      <c r="G48" s="90" t="s">
        <v>85</v>
      </c>
      <c r="H48" s="90" t="s">
        <v>150</v>
      </c>
      <c r="I48" s="90">
        <v>93</v>
      </c>
      <c r="J48" s="90">
        <v>157</v>
      </c>
      <c r="K48" s="90" t="s">
        <v>85</v>
      </c>
      <c r="L48" s="90" t="s">
        <v>263</v>
      </c>
      <c r="M48" s="90" t="s">
        <v>119</v>
      </c>
      <c r="N48" s="24" t="s">
        <v>264</v>
      </c>
      <c r="O48" s="24" t="str">
        <f>IF(ISNUMBER(SEARCH("Cancer",N48)),"Cancer",IF(ISNUMBER(SEARCH("health",N48)),"Public health",IF(ISNUMBER(SEARCH("disabilities",N48)),"Disabilities","Other")))</f>
        <v>Other</v>
      </c>
      <c r="P48" s="126">
        <v>753265</v>
      </c>
      <c r="Q48" s="90" t="s">
        <v>85</v>
      </c>
      <c r="R48" s="90" t="str">
        <f>IF(P48&gt;20000000,"B","A")</f>
        <v>A</v>
      </c>
      <c r="S48" s="90" t="s">
        <v>90</v>
      </c>
      <c r="T48" s="90" t="s">
        <v>119</v>
      </c>
      <c r="U48" s="90" t="s">
        <v>119</v>
      </c>
      <c r="V48" s="90" t="s">
        <v>119</v>
      </c>
      <c r="W48" s="90" t="s">
        <v>119</v>
      </c>
      <c r="X48" s="90" t="s">
        <v>119</v>
      </c>
      <c r="Y48" s="90" t="s">
        <v>119</v>
      </c>
      <c r="Z48" s="90" t="s">
        <v>119</v>
      </c>
      <c r="AA48" s="90" t="s">
        <v>119</v>
      </c>
      <c r="AB48" s="90" t="s">
        <v>119</v>
      </c>
      <c r="AC48" s="90" t="s">
        <v>119</v>
      </c>
      <c r="AD48" s="90" t="s">
        <v>119</v>
      </c>
      <c r="AE48" s="24">
        <v>0</v>
      </c>
      <c r="AF48" s="90">
        <v>0</v>
      </c>
      <c r="AG48" s="24">
        <v>0</v>
      </c>
      <c r="AH48" s="90">
        <v>86502</v>
      </c>
      <c r="AI48" s="24" t="s">
        <v>269</v>
      </c>
      <c r="AJ48" s="24" t="s">
        <v>270</v>
      </c>
      <c r="AK48" s="90" t="s">
        <v>85</v>
      </c>
      <c r="AL48" s="90">
        <v>71379</v>
      </c>
      <c r="AM48" s="90" t="s">
        <v>81</v>
      </c>
      <c r="AN48" s="90" t="s">
        <v>260</v>
      </c>
      <c r="AO48" s="125" t="s">
        <v>268</v>
      </c>
      <c r="AP48" s="24" t="s">
        <v>264</v>
      </c>
      <c r="AQ48" s="90" t="s">
        <v>263</v>
      </c>
      <c r="AR48" s="24" t="s">
        <v>264</v>
      </c>
      <c r="AS48" s="90" t="s">
        <v>119</v>
      </c>
      <c r="AT48" s="24" t="s">
        <v>269</v>
      </c>
      <c r="AU48" s="90" t="s">
        <v>119</v>
      </c>
      <c r="AV48" s="90" t="str">
        <f>IF(ISNUMBER(SEARCH("disagree",AE48)),"N","Y")</f>
        <v>Y</v>
      </c>
      <c r="AW48" s="90" t="s">
        <v>119</v>
      </c>
      <c r="AX48" s="24" t="s">
        <v>119</v>
      </c>
      <c r="AY48" s="90" t="str">
        <f>CONCATENATE(AZ48,BA48,BB48,BC48)</f>
        <v/>
      </c>
      <c r="AZ48" s="90" t="str">
        <f>IF(ISNUMBER(SEARCH("Y",AC48)),"R","")</f>
        <v/>
      </c>
      <c r="BA48" s="90" t="str">
        <f>IF(ISNUMBER(SEARCH("Y",Y48)),"M","")</f>
        <v/>
      </c>
      <c r="BB48" s="90" t="str">
        <f>IF(ISNUMBER(SEARCH("Y",AB48)),"QC","")</f>
        <v/>
      </c>
      <c r="BC48" s="90" t="str">
        <f>IF(ISNUMBER(SEARCH("Y",Z48)),"S","")</f>
        <v/>
      </c>
      <c r="BD48" s="90"/>
      <c r="BE48" s="24" t="s">
        <v>119</v>
      </c>
      <c r="BF48" s="125" t="str">
        <f>IF(AND(AW48&gt;=56543,AW48&lt;=76543,LEN(AW48)&gt;0),"3 Feb 2020",IF(AND(AW48&gt;=66544,AW48&lt;=99999,LEN(AW48)&gt;0),"12 Sep 2020",""))</f>
        <v/>
      </c>
      <c r="BG48" s="125" t="str">
        <f>IF((AND(BF48="3 Feb 2020",LEN(BF48)&gt;0)),"Completed",IF((AND(BF48="12 Sep 2020",LEN(BF48)&gt;0)),"Pending",""))</f>
        <v/>
      </c>
      <c r="BH48" s="90" t="str">
        <f>IF((AND(BF48="3 Feb 2020",LEN(BF48)&gt;0)),"3 Feb 2020","")</f>
        <v/>
      </c>
      <c r="BI48" s="90">
        <v>71379</v>
      </c>
      <c r="BJ48" s="90" t="str">
        <f>L48</f>
        <v>5H66CT89998-17</v>
      </c>
      <c r="BK48" s="127">
        <v>43508</v>
      </c>
      <c r="BL48" s="127">
        <v>44239</v>
      </c>
      <c r="BM48" s="128">
        <f>P48*1.1</f>
        <v>828591.50000000012</v>
      </c>
      <c r="BN48" s="129">
        <f>P48*0.9</f>
        <v>677938.5</v>
      </c>
      <c r="BO48" s="130">
        <f>P48*0.8</f>
        <v>602612</v>
      </c>
      <c r="BP48" s="90">
        <f>IF(Z48="Y",BM48*0.4,BM48*1.05)</f>
        <v>870021.07500000019</v>
      </c>
      <c r="BQ48" s="90">
        <f>BP48*0.8</f>
        <v>696016.86000000022</v>
      </c>
      <c r="BR48" s="90" t="str">
        <f>IF(ISNUMBER(SEARCH("subrecipient",AI44)),P48*0.6,"")</f>
        <v/>
      </c>
      <c r="BS48" s="90">
        <v>71379</v>
      </c>
      <c r="BT48" s="90" t="str">
        <f>BJ48</f>
        <v>5H66CT89998-17</v>
      </c>
      <c r="BU48" s="127">
        <f>BK48</f>
        <v>43508</v>
      </c>
      <c r="BV48" s="127">
        <f>BL48</f>
        <v>44239</v>
      </c>
      <c r="BW48" s="90" t="str">
        <f>H48</f>
        <v>ACF</v>
      </c>
      <c r="BX48" s="90" t="str">
        <f>IF(H48="NATIONAL HEMOPHILIA FOUNDATION","Non Federal","Federal")</f>
        <v>Federal</v>
      </c>
      <c r="BY48" s="128">
        <f>BM48</f>
        <v>828591.50000000012</v>
      </c>
      <c r="BZ48" s="90" t="str">
        <f>IF(LEN(BR48)&gt;0,1,"")</f>
        <v/>
      </c>
      <c r="CA48" s="90" t="str">
        <f>IF(LEN(BR48)&gt;0,"VIRAL HEPATITIS PROJECT","")</f>
        <v/>
      </c>
      <c r="CB48" s="129" t="str">
        <f>IF(LEN(BR48)&gt;0,BM48*0.7,"")</f>
        <v/>
      </c>
      <c r="CC48" s="90">
        <f>BP48</f>
        <v>870021.07500000019</v>
      </c>
      <c r="CD48" s="90" t="str">
        <f>IF(LEN(BR48)&gt;0,"70%","")</f>
        <v/>
      </c>
      <c r="CE48" s="90">
        <f>BS48</f>
        <v>71379</v>
      </c>
      <c r="CF48" s="90" t="str">
        <f>CA48</f>
        <v/>
      </c>
      <c r="CG48" s="90"/>
      <c r="CH48" s="90"/>
      <c r="CI48" s="90"/>
      <c r="CJ48" s="90"/>
      <c r="CK48" s="90"/>
      <c r="CL48" s="90"/>
      <c r="CM48" s="90"/>
      <c r="CN48" s="90"/>
      <c r="CO48" s="90"/>
      <c r="CP48" s="90"/>
      <c r="CQ48" s="90"/>
      <c r="CR48" s="90"/>
      <c r="CS48" s="90"/>
      <c r="CT48" s="137"/>
    </row>
    <row r="49" spans="1:98" ht="105">
      <c r="A49" s="89">
        <v>71379</v>
      </c>
      <c r="B49" s="90">
        <v>2020</v>
      </c>
      <c r="C49" s="90" t="s">
        <v>81</v>
      </c>
      <c r="D49" s="90" t="s">
        <v>260</v>
      </c>
      <c r="E49" s="125" t="s">
        <v>271</v>
      </c>
      <c r="F49" s="24" t="s">
        <v>262</v>
      </c>
      <c r="G49" s="90" t="s">
        <v>85</v>
      </c>
      <c r="H49" s="90" t="s">
        <v>150</v>
      </c>
      <c r="I49" s="90">
        <v>93</v>
      </c>
      <c r="J49" s="90">
        <v>157</v>
      </c>
      <c r="K49" s="90" t="s">
        <v>85</v>
      </c>
      <c r="L49" s="90" t="s">
        <v>263</v>
      </c>
      <c r="M49" s="90" t="s">
        <v>119</v>
      </c>
      <c r="N49" s="24" t="s">
        <v>264</v>
      </c>
      <c r="O49" s="24" t="str">
        <f>IF(ISNUMBER(SEARCH("Cancer",N49)),"Cancer",IF(ISNUMBER(SEARCH("health",N49)),"Public health",IF(ISNUMBER(SEARCH("disabilities",N49)),"Disabilities","Other")))</f>
        <v>Other</v>
      </c>
      <c r="P49" s="126">
        <v>753265</v>
      </c>
      <c r="Q49" s="90" t="s">
        <v>85</v>
      </c>
      <c r="R49" s="90" t="str">
        <f>IF(P49&gt;20000000,"B","A")</f>
        <v>A</v>
      </c>
      <c r="S49" s="90" t="s">
        <v>90</v>
      </c>
      <c r="T49" s="90" t="s">
        <v>119</v>
      </c>
      <c r="U49" s="90" t="s">
        <v>119</v>
      </c>
      <c r="V49" s="90" t="s">
        <v>119</v>
      </c>
      <c r="W49" s="90" t="s">
        <v>119</v>
      </c>
      <c r="X49" s="90" t="s">
        <v>119</v>
      </c>
      <c r="Y49" s="90" t="s">
        <v>119</v>
      </c>
      <c r="Z49" s="90" t="s">
        <v>119</v>
      </c>
      <c r="AA49" s="90" t="s">
        <v>119</v>
      </c>
      <c r="AB49" s="90" t="s">
        <v>119</v>
      </c>
      <c r="AC49" s="90" t="s">
        <v>119</v>
      </c>
      <c r="AD49" s="90" t="s">
        <v>119</v>
      </c>
      <c r="AE49" s="24">
        <v>0</v>
      </c>
      <c r="AF49" s="90">
        <v>0</v>
      </c>
      <c r="AG49" s="24">
        <v>0</v>
      </c>
      <c r="AH49" s="90">
        <v>86503</v>
      </c>
      <c r="AI49" s="24" t="s">
        <v>272</v>
      </c>
      <c r="AJ49" s="24" t="s">
        <v>273</v>
      </c>
      <c r="AK49" s="90" t="s">
        <v>85</v>
      </c>
      <c r="AL49" s="90">
        <v>71379</v>
      </c>
      <c r="AM49" s="90" t="s">
        <v>81</v>
      </c>
      <c r="AN49" s="90" t="s">
        <v>260</v>
      </c>
      <c r="AO49" s="125" t="s">
        <v>271</v>
      </c>
      <c r="AP49" s="24" t="s">
        <v>264</v>
      </c>
      <c r="AQ49" s="90" t="s">
        <v>263</v>
      </c>
      <c r="AR49" s="24" t="s">
        <v>264</v>
      </c>
      <c r="AS49" s="90" t="s">
        <v>119</v>
      </c>
      <c r="AT49" s="24" t="s">
        <v>272</v>
      </c>
      <c r="AU49" s="90" t="s">
        <v>119</v>
      </c>
      <c r="AV49" s="90" t="str">
        <f>IF(ISNUMBER(SEARCH("disagree",AE49)),"N","Y")</f>
        <v>Y</v>
      </c>
      <c r="AW49" s="90" t="s">
        <v>119</v>
      </c>
      <c r="AX49" s="24" t="s">
        <v>119</v>
      </c>
      <c r="AY49" s="90" t="str">
        <f>CONCATENATE(AZ49,BA49,BB49,BC49)</f>
        <v/>
      </c>
      <c r="AZ49" s="90" t="str">
        <f>IF(ISNUMBER(SEARCH("Y",AC49)),"R","")</f>
        <v/>
      </c>
      <c r="BA49" s="90" t="str">
        <f>IF(ISNUMBER(SEARCH("Y",Y49)),"M","")</f>
        <v/>
      </c>
      <c r="BB49" s="90" t="str">
        <f>IF(ISNUMBER(SEARCH("Y",AB49)),"QC","")</f>
        <v/>
      </c>
      <c r="BC49" s="90" t="str">
        <f>IF(ISNUMBER(SEARCH("Y",Z49)),"S","")</f>
        <v/>
      </c>
      <c r="BD49" s="90"/>
      <c r="BE49" s="24" t="s">
        <v>119</v>
      </c>
      <c r="BF49" s="125" t="str">
        <f>IF(AND(AW49&gt;=56543,AW49&lt;=76543,LEN(AW49)&gt;0),"3 Feb 2020",IF(AND(AW49&gt;=66544,AW49&lt;=99999,LEN(AW49)&gt;0),"12 Sep 2020",""))</f>
        <v/>
      </c>
      <c r="BG49" s="125" t="str">
        <f>IF((AND(BF49="3 Feb 2020",LEN(BF49)&gt;0)),"Completed",IF((AND(BF49="12 Sep 2020",LEN(BF49)&gt;0)),"Pending",""))</f>
        <v/>
      </c>
      <c r="BH49" s="90" t="str">
        <f>IF((AND(BF49="3 Feb 2020",LEN(BF49)&gt;0)),"3 Feb 2020","")</f>
        <v/>
      </c>
      <c r="BI49" s="90">
        <v>71379</v>
      </c>
      <c r="BJ49" s="90" t="str">
        <f>L49</f>
        <v>5H66CT89998-17</v>
      </c>
      <c r="BK49" s="127">
        <v>43508</v>
      </c>
      <c r="BL49" s="127">
        <v>44239</v>
      </c>
      <c r="BM49" s="128">
        <f>P49*1.1</f>
        <v>828591.50000000012</v>
      </c>
      <c r="BN49" s="129">
        <f>P49*0.9</f>
        <v>677938.5</v>
      </c>
      <c r="BO49" s="130">
        <f>P49*0.8</f>
        <v>602612</v>
      </c>
      <c r="BP49" s="90">
        <f>IF(Z49="Y",BM49*0.4,BM49*1.05)</f>
        <v>870021.07500000019</v>
      </c>
      <c r="BQ49" s="90">
        <f>BP49*0.8</f>
        <v>696016.86000000022</v>
      </c>
      <c r="BR49" s="90" t="str">
        <f>IF(ISNUMBER(SEARCH("subrecipient",AI45)),P49*0.6,"")</f>
        <v/>
      </c>
      <c r="BS49" s="90">
        <v>71379</v>
      </c>
      <c r="BT49" s="90" t="str">
        <f>BJ49</f>
        <v>5H66CT89998-17</v>
      </c>
      <c r="BU49" s="127">
        <f>BK49</f>
        <v>43508</v>
      </c>
      <c r="BV49" s="127">
        <f>BL49</f>
        <v>44239</v>
      </c>
      <c r="BW49" s="90" t="str">
        <f>H49</f>
        <v>ACF</v>
      </c>
      <c r="BX49" s="90" t="str">
        <f>IF(H49="NATIONAL HEMOPHILIA FOUNDATION","Non Federal","Federal")</f>
        <v>Federal</v>
      </c>
      <c r="BY49" s="128">
        <f>BM49</f>
        <v>828591.50000000012</v>
      </c>
      <c r="BZ49" s="90" t="str">
        <f>IF(LEN(BR49)&gt;0,1,"")</f>
        <v/>
      </c>
      <c r="CA49" s="90" t="str">
        <f>IF(LEN(BR49)&gt;0,"VIRAL HEPATITIS PROJECT","")</f>
        <v/>
      </c>
      <c r="CB49" s="129" t="str">
        <f>IF(LEN(BR49)&gt;0,BM49*0.7,"")</f>
        <v/>
      </c>
      <c r="CC49" s="90">
        <f>BP49</f>
        <v>870021.07500000019</v>
      </c>
      <c r="CD49" s="90" t="str">
        <f>IF(LEN(BR49)&gt;0,"70%","")</f>
        <v/>
      </c>
      <c r="CE49" s="90">
        <f>BS49</f>
        <v>71379</v>
      </c>
      <c r="CF49" s="90" t="str">
        <f>CA49</f>
        <v/>
      </c>
      <c r="CG49" s="90"/>
      <c r="CH49" s="90"/>
      <c r="CI49" s="90"/>
      <c r="CJ49" s="90"/>
      <c r="CK49" s="90"/>
      <c r="CL49" s="90"/>
      <c r="CM49" s="90"/>
      <c r="CN49" s="90"/>
      <c r="CO49" s="90"/>
      <c r="CP49" s="90"/>
      <c r="CQ49" s="90"/>
      <c r="CR49" s="90"/>
      <c r="CS49" s="90"/>
      <c r="CT49" s="137"/>
    </row>
    <row r="50" spans="1:98" ht="180">
      <c r="A50" s="89">
        <v>79155</v>
      </c>
      <c r="B50" s="90">
        <v>2020</v>
      </c>
      <c r="C50" s="90" t="s">
        <v>81</v>
      </c>
      <c r="D50" s="90" t="s">
        <v>274</v>
      </c>
      <c r="E50" s="125" t="s">
        <v>275</v>
      </c>
      <c r="F50" s="24" t="s">
        <v>276</v>
      </c>
      <c r="G50" s="90" t="s">
        <v>85</v>
      </c>
      <c r="H50" s="90" t="s">
        <v>180</v>
      </c>
      <c r="I50" s="90">
        <v>93</v>
      </c>
      <c r="J50" s="90">
        <v>157</v>
      </c>
      <c r="K50" s="90" t="s">
        <v>85</v>
      </c>
      <c r="L50" s="90" t="s">
        <v>277</v>
      </c>
      <c r="M50" s="90" t="s">
        <v>119</v>
      </c>
      <c r="N50" s="24" t="s">
        <v>278</v>
      </c>
      <c r="O50" s="24" t="str">
        <f>IF(ISNUMBER(SEARCH("Cancer",N50)),"Cancer",IF(ISNUMBER(SEARCH("health",N50)),"Public health",IF(ISNUMBER(SEARCH("disabilities",N50)),"Disabilities","Other")))</f>
        <v>Other</v>
      </c>
      <c r="P50" s="126">
        <v>973511</v>
      </c>
      <c r="Q50" s="90" t="s">
        <v>85</v>
      </c>
      <c r="R50" s="90" t="str">
        <f>IF(P50&gt;20000000,"B","A")</f>
        <v>A</v>
      </c>
      <c r="S50" s="90" t="s">
        <v>90</v>
      </c>
      <c r="T50" s="90" t="s">
        <v>119</v>
      </c>
      <c r="U50" s="90" t="s">
        <v>119</v>
      </c>
      <c r="V50" s="90" t="s">
        <v>119</v>
      </c>
      <c r="W50" s="90" t="s">
        <v>119</v>
      </c>
      <c r="X50" s="90" t="s">
        <v>119</v>
      </c>
      <c r="Y50" s="90" t="s">
        <v>119</v>
      </c>
      <c r="Z50" s="90" t="s">
        <v>119</v>
      </c>
      <c r="AA50" s="90" t="s">
        <v>119</v>
      </c>
      <c r="AB50" s="90" t="s">
        <v>119</v>
      </c>
      <c r="AC50" s="90" t="s">
        <v>119</v>
      </c>
      <c r="AD50" s="90" t="s">
        <v>119</v>
      </c>
      <c r="AE50" s="24">
        <v>0</v>
      </c>
      <c r="AF50" s="90">
        <v>0</v>
      </c>
      <c r="AG50" s="24">
        <v>0</v>
      </c>
      <c r="AH50" s="90">
        <v>76659</v>
      </c>
      <c r="AI50" s="24" t="s">
        <v>94</v>
      </c>
      <c r="AJ50" s="24" t="s">
        <v>279</v>
      </c>
      <c r="AK50" s="90" t="s">
        <v>85</v>
      </c>
      <c r="AL50" s="90">
        <v>79155</v>
      </c>
      <c r="AM50" s="90" t="s">
        <v>81</v>
      </c>
      <c r="AN50" s="90" t="s">
        <v>274</v>
      </c>
      <c r="AO50" s="125" t="s">
        <v>275</v>
      </c>
      <c r="AP50" s="24" t="s">
        <v>278</v>
      </c>
      <c r="AQ50" s="90" t="s">
        <v>277</v>
      </c>
      <c r="AR50" s="24" t="s">
        <v>278</v>
      </c>
      <c r="AS50" s="90" t="s">
        <v>119</v>
      </c>
      <c r="AT50" s="24" t="s">
        <v>94</v>
      </c>
      <c r="AU50" s="90" t="s">
        <v>119</v>
      </c>
      <c r="AV50" s="90" t="str">
        <f>IF(ISNUMBER(SEARCH("disagree",AE50)),"N","Y")</f>
        <v>Y</v>
      </c>
      <c r="AW50" s="90" t="s">
        <v>119</v>
      </c>
      <c r="AX50" s="24" t="s">
        <v>119</v>
      </c>
      <c r="AY50" s="90" t="str">
        <f>CONCATENATE(AZ50,BA50,BB50,BC50)</f>
        <v/>
      </c>
      <c r="AZ50" s="90" t="str">
        <f>IF(ISNUMBER(SEARCH("Y",AC50)),"R","")</f>
        <v/>
      </c>
      <c r="BA50" s="90" t="str">
        <f>IF(ISNUMBER(SEARCH("Y",Y50)),"M","")</f>
        <v/>
      </c>
      <c r="BB50" s="90" t="str">
        <f>IF(ISNUMBER(SEARCH("Y",AB50)),"QC","")</f>
        <v/>
      </c>
      <c r="BC50" s="90" t="str">
        <f>IF(ISNUMBER(SEARCH("Y",Z50)),"S","")</f>
        <v/>
      </c>
      <c r="BD50" s="90"/>
      <c r="BE50" s="24" t="s">
        <v>119</v>
      </c>
      <c r="BF50" s="125" t="str">
        <f>IF(AND(AW50&gt;=56543,AW50&lt;=76543,LEN(AW50)&gt;0),"3 Feb 2020",IF(AND(AW50&gt;=66544,AW50&lt;=99999,LEN(AW50)&gt;0),"12 Sep 2020",""))</f>
        <v/>
      </c>
      <c r="BG50" s="125" t="str">
        <f>IF((AND(BF50="3 Feb 2020",LEN(BF50)&gt;0)),"Completed",IF((AND(BF50="12 Sep 2020",LEN(BF50)&gt;0)),"Pending",""))</f>
        <v/>
      </c>
      <c r="BH50" s="90" t="str">
        <f>IF((AND(BF50="3 Feb 2020",LEN(BF50)&gt;0)),"3 Feb 2020","")</f>
        <v/>
      </c>
      <c r="BI50" s="90">
        <v>79155</v>
      </c>
      <c r="BJ50" s="90" t="str">
        <f>L50</f>
        <v>4S83DS89996-50</v>
      </c>
      <c r="BK50" s="127">
        <v>43508</v>
      </c>
      <c r="BL50" s="127">
        <v>44239</v>
      </c>
      <c r="BM50" s="128">
        <f>P50*1.1</f>
        <v>1070862.1000000001</v>
      </c>
      <c r="BN50" s="129">
        <f>P50*0.9</f>
        <v>876159.9</v>
      </c>
      <c r="BO50" s="130">
        <f>P50*0.8</f>
        <v>778808.8</v>
      </c>
      <c r="BP50" s="90">
        <f>IF(Z50="Y",BM50*0.4,BM50*1.05)</f>
        <v>1124405.2050000001</v>
      </c>
      <c r="BQ50" s="90">
        <f>BP50*0.8</f>
        <v>899524.16400000011</v>
      </c>
      <c r="BR50" s="90" t="str">
        <f>IF(ISNUMBER(SEARCH("subrecipient",AI46)),P50*0.6,"")</f>
        <v/>
      </c>
      <c r="BS50" s="90">
        <v>79155</v>
      </c>
      <c r="BT50" s="90" t="str">
        <f>BJ50</f>
        <v>4S83DS89996-50</v>
      </c>
      <c r="BU50" s="127">
        <f>BK50</f>
        <v>43508</v>
      </c>
      <c r="BV50" s="127">
        <f>BL50</f>
        <v>44239</v>
      </c>
      <c r="BW50" s="90" t="str">
        <f>H50</f>
        <v>NATIONAL HEMOPHILIA FOUNDATION</v>
      </c>
      <c r="BX50" s="90" t="str">
        <f>IF(H50="NATIONAL HEMOPHILIA FOUNDATION","Non Federal","Federal")</f>
        <v>Non Federal</v>
      </c>
      <c r="BY50" s="128">
        <f>BM50</f>
        <v>1070862.1000000001</v>
      </c>
      <c r="BZ50" s="90" t="str">
        <f>IF(LEN(BR50)&gt;0,1,"")</f>
        <v/>
      </c>
      <c r="CA50" s="90" t="str">
        <f>IF(LEN(BR50)&gt;0,"VIRAL HEPATITIS PROJECT","")</f>
        <v/>
      </c>
      <c r="CB50" s="129" t="str">
        <f>IF(LEN(BR50)&gt;0,BM50*0.7,"")</f>
        <v/>
      </c>
      <c r="CC50" s="90">
        <f>BP50</f>
        <v>1124405.2050000001</v>
      </c>
      <c r="CD50" s="90" t="str">
        <f>IF(LEN(BR50)&gt;0,"70%","")</f>
        <v/>
      </c>
      <c r="CE50" s="90">
        <f>BS50</f>
        <v>79155</v>
      </c>
      <c r="CF50" s="90" t="str">
        <f>CA50</f>
        <v/>
      </c>
      <c r="CG50" s="90"/>
      <c r="CH50" s="90"/>
      <c r="CI50" s="90"/>
      <c r="CJ50" s="90"/>
      <c r="CK50" s="90"/>
      <c r="CL50" s="90"/>
      <c r="CM50" s="90"/>
      <c r="CN50" s="90"/>
      <c r="CO50" s="90"/>
      <c r="CP50" s="90"/>
      <c r="CQ50" s="90"/>
      <c r="CR50" s="90"/>
      <c r="CS50" s="90"/>
      <c r="CT50" s="137"/>
    </row>
    <row r="51" spans="1:98" ht="180">
      <c r="A51" s="89">
        <v>79155</v>
      </c>
      <c r="B51" s="90">
        <v>2020</v>
      </c>
      <c r="C51" s="90" t="s">
        <v>81</v>
      </c>
      <c r="D51" s="90" t="s">
        <v>274</v>
      </c>
      <c r="E51" s="125" t="s">
        <v>280</v>
      </c>
      <c r="F51" s="24" t="s">
        <v>276</v>
      </c>
      <c r="G51" s="90" t="s">
        <v>85</v>
      </c>
      <c r="H51" s="90" t="s">
        <v>180</v>
      </c>
      <c r="I51" s="90">
        <v>93</v>
      </c>
      <c r="J51" s="90">
        <v>157</v>
      </c>
      <c r="K51" s="90" t="s">
        <v>85</v>
      </c>
      <c r="L51" s="90" t="s">
        <v>277</v>
      </c>
      <c r="M51" s="90" t="s">
        <v>119</v>
      </c>
      <c r="N51" s="24" t="s">
        <v>278</v>
      </c>
      <c r="O51" s="24" t="str">
        <f>IF(ISNUMBER(SEARCH("Cancer",N51)),"Cancer",IF(ISNUMBER(SEARCH("health",N51)),"Public health",IF(ISNUMBER(SEARCH("disabilities",N51)),"Disabilities","Other")))</f>
        <v>Other</v>
      </c>
      <c r="P51" s="126">
        <v>973511</v>
      </c>
      <c r="Q51" s="90" t="s">
        <v>85</v>
      </c>
      <c r="R51" s="90" t="str">
        <f>IF(P51&gt;20000000,"B","A")</f>
        <v>A</v>
      </c>
      <c r="S51" s="90" t="s">
        <v>90</v>
      </c>
      <c r="T51" s="90" t="s">
        <v>119</v>
      </c>
      <c r="U51" s="90" t="s">
        <v>119</v>
      </c>
      <c r="V51" s="90" t="s">
        <v>119</v>
      </c>
      <c r="W51" s="90" t="s">
        <v>119</v>
      </c>
      <c r="X51" s="90" t="s">
        <v>119</v>
      </c>
      <c r="Y51" s="90" t="s">
        <v>119</v>
      </c>
      <c r="Z51" s="90" t="s">
        <v>119</v>
      </c>
      <c r="AA51" s="90" t="s">
        <v>119</v>
      </c>
      <c r="AB51" s="90" t="s">
        <v>119</v>
      </c>
      <c r="AC51" s="90" t="s">
        <v>119</v>
      </c>
      <c r="AD51" s="90" t="s">
        <v>119</v>
      </c>
      <c r="AE51" s="24">
        <v>0</v>
      </c>
      <c r="AF51" s="90">
        <v>0</v>
      </c>
      <c r="AG51" s="24">
        <v>0</v>
      </c>
      <c r="AH51" s="90">
        <v>76658</v>
      </c>
      <c r="AI51" s="24" t="s">
        <v>102</v>
      </c>
      <c r="AJ51" s="24" t="s">
        <v>103</v>
      </c>
      <c r="AK51" s="90" t="s">
        <v>85</v>
      </c>
      <c r="AL51" s="90">
        <v>79155</v>
      </c>
      <c r="AM51" s="90" t="s">
        <v>81</v>
      </c>
      <c r="AN51" s="90" t="s">
        <v>274</v>
      </c>
      <c r="AO51" s="125" t="s">
        <v>280</v>
      </c>
      <c r="AP51" s="24" t="s">
        <v>278</v>
      </c>
      <c r="AQ51" s="90" t="s">
        <v>277</v>
      </c>
      <c r="AR51" s="24" t="s">
        <v>278</v>
      </c>
      <c r="AS51" s="90" t="s">
        <v>119</v>
      </c>
      <c r="AT51" s="24" t="s">
        <v>102</v>
      </c>
      <c r="AU51" s="90" t="s">
        <v>119</v>
      </c>
      <c r="AV51" s="90" t="str">
        <f>IF(ISNUMBER(SEARCH("disagree",AE51)),"N","Y")</f>
        <v>Y</v>
      </c>
      <c r="AW51" s="90" t="s">
        <v>119</v>
      </c>
      <c r="AX51" s="24" t="s">
        <v>119</v>
      </c>
      <c r="AY51" s="90" t="str">
        <f>CONCATENATE(AZ51,BA51,BB51,BC51)</f>
        <v/>
      </c>
      <c r="AZ51" s="90" t="str">
        <f>IF(ISNUMBER(SEARCH("Y",AC51)),"R","")</f>
        <v/>
      </c>
      <c r="BA51" s="90" t="str">
        <f>IF(ISNUMBER(SEARCH("Y",Y51)),"M","")</f>
        <v/>
      </c>
      <c r="BB51" s="90" t="str">
        <f>IF(ISNUMBER(SEARCH("Y",AB51)),"QC","")</f>
        <v/>
      </c>
      <c r="BC51" s="90" t="str">
        <f>IF(ISNUMBER(SEARCH("Y",Z51)),"S","")</f>
        <v/>
      </c>
      <c r="BD51" s="90"/>
      <c r="BE51" s="24" t="s">
        <v>119</v>
      </c>
      <c r="BF51" s="125" t="str">
        <f>IF(AND(AW51&gt;=56543,AW51&lt;=76543,LEN(AW51)&gt;0),"3 Feb 2020",IF(AND(AW51&gt;=66544,AW51&lt;=99999,LEN(AW51)&gt;0),"12 Sep 2020",""))</f>
        <v/>
      </c>
      <c r="BG51" s="125" t="str">
        <f>IF((AND(BF51="3 Feb 2020",LEN(BF51)&gt;0)),"Completed",IF((AND(BF51="12 Sep 2020",LEN(BF51)&gt;0)),"Pending",""))</f>
        <v/>
      </c>
      <c r="BH51" s="90" t="str">
        <f>IF((AND(BF51="3 Feb 2020",LEN(BF51)&gt;0)),"3 Feb 2020","")</f>
        <v/>
      </c>
      <c r="BI51" s="90">
        <v>79155</v>
      </c>
      <c r="BJ51" s="90" t="str">
        <f>L51</f>
        <v>4S83DS89996-50</v>
      </c>
      <c r="BK51" s="127">
        <v>43508</v>
      </c>
      <c r="BL51" s="127">
        <v>44239</v>
      </c>
      <c r="BM51" s="128">
        <f>P51*1.1</f>
        <v>1070862.1000000001</v>
      </c>
      <c r="BN51" s="129">
        <f>P51*0.9</f>
        <v>876159.9</v>
      </c>
      <c r="BO51" s="130">
        <f>P51*0.8</f>
        <v>778808.8</v>
      </c>
      <c r="BP51" s="90">
        <f>IF(Z51="Y",BM51*0.4,BM51*1.05)</f>
        <v>1124405.2050000001</v>
      </c>
      <c r="BQ51" s="90">
        <f>BP51*0.8</f>
        <v>899524.16400000011</v>
      </c>
      <c r="BR51" s="90" t="str">
        <f>IF(ISNUMBER(SEARCH("subrecipient",AI47)),P51*0.6,"")</f>
        <v/>
      </c>
      <c r="BS51" s="90">
        <v>79155</v>
      </c>
      <c r="BT51" s="90" t="str">
        <f>BJ51</f>
        <v>4S83DS89996-50</v>
      </c>
      <c r="BU51" s="127">
        <f>BK51</f>
        <v>43508</v>
      </c>
      <c r="BV51" s="127">
        <f>BL51</f>
        <v>44239</v>
      </c>
      <c r="BW51" s="90" t="str">
        <f>H51</f>
        <v>NATIONAL HEMOPHILIA FOUNDATION</v>
      </c>
      <c r="BX51" s="90" t="str">
        <f>IF(H51="NATIONAL HEMOPHILIA FOUNDATION","Non Federal","Federal")</f>
        <v>Non Federal</v>
      </c>
      <c r="BY51" s="128">
        <f>BM51</f>
        <v>1070862.1000000001</v>
      </c>
      <c r="BZ51" s="90" t="str">
        <f>IF(LEN(BR51)&gt;0,1,"")</f>
        <v/>
      </c>
      <c r="CA51" s="90" t="str">
        <f>IF(LEN(BR51)&gt;0,"VIRAL HEPATITIS PROJECT","")</f>
        <v/>
      </c>
      <c r="CB51" s="129" t="str">
        <f>IF(LEN(BR51)&gt;0,BM51*0.7,"")</f>
        <v/>
      </c>
      <c r="CC51" s="90">
        <f>BP51</f>
        <v>1124405.2050000001</v>
      </c>
      <c r="CD51" s="90" t="str">
        <f>IF(LEN(BR51)&gt;0,"70%","")</f>
        <v/>
      </c>
      <c r="CE51" s="90">
        <f>BS51</f>
        <v>79155</v>
      </c>
      <c r="CF51" s="90" t="str">
        <f>CA51</f>
        <v/>
      </c>
      <c r="CG51" s="90"/>
      <c r="CH51" s="90"/>
      <c r="CI51" s="90"/>
      <c r="CJ51" s="90"/>
      <c r="CK51" s="90"/>
      <c r="CL51" s="90"/>
      <c r="CM51" s="90"/>
      <c r="CN51" s="90"/>
      <c r="CO51" s="90"/>
      <c r="CP51" s="90"/>
      <c r="CQ51" s="90"/>
      <c r="CR51" s="90"/>
      <c r="CS51" s="90"/>
      <c r="CT51" s="137"/>
    </row>
    <row r="52" spans="1:98" ht="180">
      <c r="A52" s="89">
        <v>79155</v>
      </c>
      <c r="B52" s="90">
        <v>2020</v>
      </c>
      <c r="C52" s="90" t="s">
        <v>81</v>
      </c>
      <c r="D52" s="90" t="s">
        <v>274</v>
      </c>
      <c r="E52" s="125" t="s">
        <v>281</v>
      </c>
      <c r="F52" s="24" t="s">
        <v>276</v>
      </c>
      <c r="G52" s="90" t="s">
        <v>85</v>
      </c>
      <c r="H52" s="90" t="s">
        <v>180</v>
      </c>
      <c r="I52" s="90">
        <v>93</v>
      </c>
      <c r="J52" s="90">
        <v>157</v>
      </c>
      <c r="K52" s="90" t="s">
        <v>85</v>
      </c>
      <c r="L52" s="90" t="s">
        <v>277</v>
      </c>
      <c r="M52" s="90" t="s">
        <v>119</v>
      </c>
      <c r="N52" s="24" t="s">
        <v>278</v>
      </c>
      <c r="O52" s="24" t="str">
        <f>IF(ISNUMBER(SEARCH("Cancer",N52)),"Cancer",IF(ISNUMBER(SEARCH("health",N52)),"Public health",IF(ISNUMBER(SEARCH("disabilities",N52)),"Disabilities","Other")))</f>
        <v>Other</v>
      </c>
      <c r="P52" s="126">
        <v>973511</v>
      </c>
      <c r="Q52" s="90" t="s">
        <v>85</v>
      </c>
      <c r="R52" s="90" t="str">
        <f>IF(P52&gt;20000000,"B","A")</f>
        <v>A</v>
      </c>
      <c r="S52" s="90" t="s">
        <v>90</v>
      </c>
      <c r="T52" s="90" t="s">
        <v>119</v>
      </c>
      <c r="U52" s="90" t="s">
        <v>119</v>
      </c>
      <c r="V52" s="90" t="s">
        <v>119</v>
      </c>
      <c r="W52" s="90" t="s">
        <v>119</v>
      </c>
      <c r="X52" s="90" t="s">
        <v>119</v>
      </c>
      <c r="Y52" s="90" t="s">
        <v>119</v>
      </c>
      <c r="Z52" s="90" t="s">
        <v>119</v>
      </c>
      <c r="AA52" s="90" t="s">
        <v>119</v>
      </c>
      <c r="AB52" s="90" t="s">
        <v>119</v>
      </c>
      <c r="AC52" s="90" t="s">
        <v>119</v>
      </c>
      <c r="AD52" s="90" t="s">
        <v>119</v>
      </c>
      <c r="AE52" s="24">
        <v>0</v>
      </c>
      <c r="AF52" s="90">
        <v>0</v>
      </c>
      <c r="AG52" s="24">
        <v>0</v>
      </c>
      <c r="AH52" s="90">
        <v>76660</v>
      </c>
      <c r="AI52" s="24" t="s">
        <v>186</v>
      </c>
      <c r="AJ52" s="24" t="s">
        <v>282</v>
      </c>
      <c r="AK52" s="90" t="s">
        <v>85</v>
      </c>
      <c r="AL52" s="90">
        <v>79155</v>
      </c>
      <c r="AM52" s="90" t="s">
        <v>81</v>
      </c>
      <c r="AN52" s="90" t="s">
        <v>274</v>
      </c>
      <c r="AO52" s="125" t="s">
        <v>281</v>
      </c>
      <c r="AP52" s="24" t="s">
        <v>278</v>
      </c>
      <c r="AQ52" s="90" t="s">
        <v>277</v>
      </c>
      <c r="AR52" s="24" t="s">
        <v>278</v>
      </c>
      <c r="AS52" s="90" t="s">
        <v>119</v>
      </c>
      <c r="AT52" s="24" t="s">
        <v>186</v>
      </c>
      <c r="AU52" s="90" t="s">
        <v>119</v>
      </c>
      <c r="AV52" s="90" t="str">
        <f>IF(ISNUMBER(SEARCH("disagree",AE52)),"N","Y")</f>
        <v>Y</v>
      </c>
      <c r="AW52" s="90" t="s">
        <v>119</v>
      </c>
      <c r="AX52" s="24" t="s">
        <v>119</v>
      </c>
      <c r="AY52" s="90" t="str">
        <f>CONCATENATE(AZ52,BA52,BB52,BC52)</f>
        <v/>
      </c>
      <c r="AZ52" s="90" t="str">
        <f>IF(ISNUMBER(SEARCH("Y",AC52)),"R","")</f>
        <v/>
      </c>
      <c r="BA52" s="90" t="str">
        <f>IF(ISNUMBER(SEARCH("Y",Y52)),"M","")</f>
        <v/>
      </c>
      <c r="BB52" s="90" t="str">
        <f>IF(ISNUMBER(SEARCH("Y",AB52)),"QC","")</f>
        <v/>
      </c>
      <c r="BC52" s="90" t="str">
        <f>IF(ISNUMBER(SEARCH("Y",Z52)),"S","")</f>
        <v/>
      </c>
      <c r="BD52" s="90"/>
      <c r="BE52" s="24" t="s">
        <v>119</v>
      </c>
      <c r="BF52" s="125" t="str">
        <f>IF(AND(AW52&gt;=56543,AW52&lt;=76543,LEN(AW52)&gt;0),"3 Feb 2020",IF(AND(AW52&gt;=66544,AW52&lt;=99999,LEN(AW52)&gt;0),"12 Sep 2020",""))</f>
        <v/>
      </c>
      <c r="BG52" s="125" t="str">
        <f>IF((AND(BF52="3 Feb 2020",LEN(BF52)&gt;0)),"Completed",IF((AND(BF52="12 Sep 2020",LEN(BF52)&gt;0)),"Pending",""))</f>
        <v/>
      </c>
      <c r="BH52" s="90" t="str">
        <f>IF((AND(BF52="3 Feb 2020",LEN(BF52)&gt;0)),"3 Feb 2020","")</f>
        <v/>
      </c>
      <c r="BI52" s="90">
        <v>79155</v>
      </c>
      <c r="BJ52" s="90" t="str">
        <f>L52</f>
        <v>4S83DS89996-50</v>
      </c>
      <c r="BK52" s="127">
        <v>43508</v>
      </c>
      <c r="BL52" s="127">
        <v>44239</v>
      </c>
      <c r="BM52" s="128">
        <f>P52*1.1</f>
        <v>1070862.1000000001</v>
      </c>
      <c r="BN52" s="129">
        <f>P52*0.9</f>
        <v>876159.9</v>
      </c>
      <c r="BO52" s="130">
        <f>P52*0.8</f>
        <v>778808.8</v>
      </c>
      <c r="BP52" s="90">
        <f>IF(Z52="Y",BM52*0.4,BM52*1.05)</f>
        <v>1124405.2050000001</v>
      </c>
      <c r="BQ52" s="90">
        <f>BP52*0.8</f>
        <v>899524.16400000011</v>
      </c>
      <c r="BR52" s="90" t="str">
        <f>IF(ISNUMBER(SEARCH("subrecipient",AI48)),P52*0.6,"")</f>
        <v/>
      </c>
      <c r="BS52" s="90">
        <v>79155</v>
      </c>
      <c r="BT52" s="90" t="str">
        <f>BJ52</f>
        <v>4S83DS89996-50</v>
      </c>
      <c r="BU52" s="127">
        <f>BK52</f>
        <v>43508</v>
      </c>
      <c r="BV52" s="127">
        <f>BL52</f>
        <v>44239</v>
      </c>
      <c r="BW52" s="90" t="str">
        <f>H52</f>
        <v>NATIONAL HEMOPHILIA FOUNDATION</v>
      </c>
      <c r="BX52" s="90" t="str">
        <f>IF(H52="NATIONAL HEMOPHILIA FOUNDATION","Non Federal","Federal")</f>
        <v>Non Federal</v>
      </c>
      <c r="BY52" s="128">
        <f>BM52</f>
        <v>1070862.1000000001</v>
      </c>
      <c r="BZ52" s="90" t="str">
        <f>IF(LEN(BR52)&gt;0,1,"")</f>
        <v/>
      </c>
      <c r="CA52" s="90" t="str">
        <f>IF(LEN(BR52)&gt;0,"VIRAL HEPATITIS PROJECT","")</f>
        <v/>
      </c>
      <c r="CB52" s="129" t="str">
        <f>IF(LEN(BR52)&gt;0,BM52*0.7,"")</f>
        <v/>
      </c>
      <c r="CC52" s="90">
        <f>BP52</f>
        <v>1124405.2050000001</v>
      </c>
      <c r="CD52" s="90" t="str">
        <f>IF(LEN(BR52)&gt;0,"70%","")</f>
        <v/>
      </c>
      <c r="CE52" s="90">
        <f>BS52</f>
        <v>79155</v>
      </c>
      <c r="CF52" s="90" t="str">
        <f>CA52</f>
        <v/>
      </c>
      <c r="CG52" s="90"/>
      <c r="CH52" s="90"/>
      <c r="CI52" s="90"/>
      <c r="CJ52" s="90"/>
      <c r="CK52" s="90"/>
      <c r="CL52" s="90"/>
      <c r="CM52" s="90"/>
      <c r="CN52" s="90"/>
      <c r="CO52" s="90"/>
      <c r="CP52" s="90"/>
      <c r="CQ52" s="90"/>
      <c r="CR52" s="90"/>
      <c r="CS52" s="90"/>
      <c r="CT52" s="137"/>
    </row>
    <row r="53" spans="1:98" ht="120">
      <c r="A53" s="89">
        <v>79267</v>
      </c>
      <c r="B53" s="90">
        <v>2020</v>
      </c>
      <c r="C53" s="90" t="s">
        <v>283</v>
      </c>
      <c r="D53" s="90" t="s">
        <v>284</v>
      </c>
      <c r="E53" s="125" t="s">
        <v>285</v>
      </c>
      <c r="F53" s="24" t="s">
        <v>286</v>
      </c>
      <c r="G53" s="90" t="s">
        <v>85</v>
      </c>
      <c r="H53" s="90" t="s">
        <v>117</v>
      </c>
      <c r="I53" s="90">
        <v>93</v>
      </c>
      <c r="J53" s="90">
        <v>157</v>
      </c>
      <c r="K53" s="90" t="s">
        <v>85</v>
      </c>
      <c r="L53" s="90" t="s">
        <v>287</v>
      </c>
      <c r="M53" s="90" t="s">
        <v>85</v>
      </c>
      <c r="N53" s="24" t="s">
        <v>288</v>
      </c>
      <c r="O53" s="24" t="str">
        <f>IF(ISNUMBER(SEARCH("Cancer",N53)),"Cancer",IF(ISNUMBER(SEARCH("health",N53)),"Public health",IF(ISNUMBER(SEARCH("disabilities",N53)),"Disabilities","Other")))</f>
        <v>Cancer</v>
      </c>
      <c r="P53" s="126">
        <v>962859</v>
      </c>
      <c r="Q53" s="90" t="s">
        <v>85</v>
      </c>
      <c r="R53" s="90" t="str">
        <f>IF(P53&gt;20000000,"B","A")</f>
        <v>A</v>
      </c>
      <c r="S53" s="90" t="s">
        <v>90</v>
      </c>
      <c r="T53" s="90">
        <v>2450812</v>
      </c>
      <c r="U53" s="90" t="s">
        <v>91</v>
      </c>
      <c r="V53" s="90" t="s">
        <v>85</v>
      </c>
      <c r="W53" s="90" t="s">
        <v>85</v>
      </c>
      <c r="X53" s="90" t="s">
        <v>87</v>
      </c>
      <c r="Y53" s="90" t="s">
        <v>85</v>
      </c>
      <c r="Z53" s="90" t="s">
        <v>85</v>
      </c>
      <c r="AA53" s="90" t="s">
        <v>85</v>
      </c>
      <c r="AB53" s="90" t="s">
        <v>85</v>
      </c>
      <c r="AC53" s="90" t="s">
        <v>85</v>
      </c>
      <c r="AD53" s="90">
        <v>0</v>
      </c>
      <c r="AE53" s="24" t="s">
        <v>289</v>
      </c>
      <c r="AF53" s="90" t="s">
        <v>91</v>
      </c>
      <c r="AG53" s="24" t="s">
        <v>290</v>
      </c>
      <c r="AH53" s="90">
        <v>77762</v>
      </c>
      <c r="AI53" s="24" t="s">
        <v>94</v>
      </c>
      <c r="AJ53" s="24" t="s">
        <v>291</v>
      </c>
      <c r="AK53" s="90" t="s">
        <v>87</v>
      </c>
      <c r="AL53" s="90">
        <v>79267</v>
      </c>
      <c r="AM53" s="90" t="s">
        <v>283</v>
      </c>
      <c r="AN53" s="90" t="s">
        <v>284</v>
      </c>
      <c r="AO53" s="125" t="s">
        <v>285</v>
      </c>
      <c r="AP53" s="24" t="s">
        <v>288</v>
      </c>
      <c r="AQ53" s="90" t="s">
        <v>287</v>
      </c>
      <c r="AR53" s="24" t="s">
        <v>288</v>
      </c>
      <c r="AS53" s="90">
        <v>2450812</v>
      </c>
      <c r="AT53" s="24" t="s">
        <v>94</v>
      </c>
      <c r="AU53" s="90" t="s">
        <v>85</v>
      </c>
      <c r="AV53" s="90" t="str">
        <f>IF(ISNUMBER(SEARCH("disagree",AE53)),"N","Y")</f>
        <v>Y</v>
      </c>
      <c r="AW53" s="90" t="s">
        <v>119</v>
      </c>
      <c r="AX53" s="24" t="s">
        <v>119</v>
      </c>
      <c r="AY53" s="90" t="str">
        <f>CONCATENATE(AZ53,BA53,BB53,BC53)</f>
        <v/>
      </c>
      <c r="AZ53" s="90" t="str">
        <f>IF(ISNUMBER(SEARCH("Y",AC53)),"R","")</f>
        <v/>
      </c>
      <c r="BA53" s="90" t="str">
        <f>IF(ISNUMBER(SEARCH("Y",Y53)),"M","")</f>
        <v/>
      </c>
      <c r="BB53" s="90" t="str">
        <f>IF(ISNUMBER(SEARCH("Y",AB53)),"QC","")</f>
        <v/>
      </c>
      <c r="BC53" s="90" t="str">
        <f>IF(ISNUMBER(SEARCH("Y",Z53)),"S","")</f>
        <v/>
      </c>
      <c r="BD53" s="90"/>
      <c r="BE53" s="24" t="s">
        <v>119</v>
      </c>
      <c r="BF53" s="125" t="str">
        <f>IF(AND(AW53&gt;=56543,AW53&lt;=76543,LEN(AW53)&gt;0),"3 Feb 2020",IF(AND(AW53&gt;=66544,AW53&lt;=99999,LEN(AW53)&gt;0),"12 Sep 2020",""))</f>
        <v/>
      </c>
      <c r="BG53" s="125" t="str">
        <f>IF((AND(BF53="3 Feb 2020",LEN(BF53)&gt;0)),"Completed",IF((AND(BF53="12 Sep 2020",LEN(BF53)&gt;0)),"Pending",""))</f>
        <v/>
      </c>
      <c r="BH53" s="90" t="str">
        <f>IF((AND(BF53="3 Feb 2020",LEN(BF53)&gt;0)),"3 Feb 2020","")</f>
        <v/>
      </c>
      <c r="BI53" s="90">
        <v>79267</v>
      </c>
      <c r="BJ53" s="90" t="str">
        <f>L53</f>
        <v>5S53DS84197-58</v>
      </c>
      <c r="BK53" s="127">
        <v>43508</v>
      </c>
      <c r="BL53" s="127">
        <v>44239</v>
      </c>
      <c r="BM53" s="128">
        <f>P53*1.1</f>
        <v>1059144.9000000001</v>
      </c>
      <c r="BN53" s="129">
        <f>P53*0.9</f>
        <v>866573.1</v>
      </c>
      <c r="BO53" s="130">
        <f>P53*0.8</f>
        <v>770287.20000000007</v>
      </c>
      <c r="BP53" s="90">
        <f>IF(Z53="Y",BM53*0.4,BM53*1.05)</f>
        <v>1112102.1450000003</v>
      </c>
      <c r="BQ53" s="90">
        <f>BP53*0.8</f>
        <v>889681.71600000025</v>
      </c>
      <c r="BR53" s="90" t="str">
        <f>IF(ISNUMBER(SEARCH("subrecipient",AI49)),P53*0.6,"")</f>
        <v/>
      </c>
      <c r="BS53" s="90">
        <v>79267</v>
      </c>
      <c r="BT53" s="90" t="str">
        <f>BJ53</f>
        <v>5S53DS84197-58</v>
      </c>
      <c r="BU53" s="127">
        <f>BK53</f>
        <v>43508</v>
      </c>
      <c r="BV53" s="127">
        <f>BL53</f>
        <v>44239</v>
      </c>
      <c r="BW53" s="90" t="str">
        <f>H53</f>
        <v>NIH</v>
      </c>
      <c r="BX53" s="90" t="str">
        <f>IF(H53="NATIONAL HEMOPHILIA FOUNDATION","Non Federal","Federal")</f>
        <v>Federal</v>
      </c>
      <c r="BY53" s="128">
        <f>BM53</f>
        <v>1059144.9000000001</v>
      </c>
      <c r="BZ53" s="90" t="str">
        <f>IF(LEN(BR53)&gt;0,1,"")</f>
        <v/>
      </c>
      <c r="CA53" s="90" t="str">
        <f>IF(LEN(BR53)&gt;0,"VIRAL HEPATITIS PROJECT","")</f>
        <v/>
      </c>
      <c r="CB53" s="129" t="str">
        <f>IF(LEN(BR53)&gt;0,BM53*0.7,"")</f>
        <v/>
      </c>
      <c r="CC53" s="90">
        <f>BP53</f>
        <v>1112102.1450000003</v>
      </c>
      <c r="CD53" s="90" t="str">
        <f>IF(LEN(BR53)&gt;0,"70%","")</f>
        <v/>
      </c>
      <c r="CE53" s="90">
        <f>BS53</f>
        <v>79267</v>
      </c>
      <c r="CF53" s="90" t="str">
        <f>CA53</f>
        <v/>
      </c>
      <c r="CG53" s="90"/>
      <c r="CH53" s="90"/>
      <c r="CI53" s="90"/>
      <c r="CJ53" s="90"/>
      <c r="CK53" s="90"/>
      <c r="CL53" s="90"/>
      <c r="CM53" s="90"/>
      <c r="CN53" s="90"/>
      <c r="CO53" s="90"/>
      <c r="CP53" s="90"/>
      <c r="CQ53" s="90"/>
      <c r="CR53" s="90"/>
      <c r="CS53" s="90"/>
      <c r="CT53" s="137"/>
    </row>
    <row r="54" spans="1:98" ht="120">
      <c r="A54" s="89">
        <v>79267</v>
      </c>
      <c r="B54" s="90">
        <v>2020</v>
      </c>
      <c r="C54" s="90" t="s">
        <v>283</v>
      </c>
      <c r="D54" s="90" t="s">
        <v>284</v>
      </c>
      <c r="E54" s="125" t="s">
        <v>292</v>
      </c>
      <c r="F54" s="24" t="s">
        <v>286</v>
      </c>
      <c r="G54" s="90" t="s">
        <v>85</v>
      </c>
      <c r="H54" s="90" t="s">
        <v>117</v>
      </c>
      <c r="I54" s="90">
        <v>93</v>
      </c>
      <c r="J54" s="90">
        <v>157</v>
      </c>
      <c r="K54" s="90" t="s">
        <v>85</v>
      </c>
      <c r="L54" s="90" t="s">
        <v>287</v>
      </c>
      <c r="M54" s="90" t="s">
        <v>85</v>
      </c>
      <c r="N54" s="24" t="s">
        <v>288</v>
      </c>
      <c r="O54" s="24" t="str">
        <f>IF(ISNUMBER(SEARCH("Cancer",N54)),"Cancer",IF(ISNUMBER(SEARCH("health",N54)),"Public health",IF(ISNUMBER(SEARCH("disabilities",N54)),"Disabilities","Other")))</f>
        <v>Cancer</v>
      </c>
      <c r="P54" s="126">
        <v>962859</v>
      </c>
      <c r="Q54" s="90" t="s">
        <v>85</v>
      </c>
      <c r="R54" s="90" t="str">
        <f>IF(P54&gt;20000000,"B","A")</f>
        <v>A</v>
      </c>
      <c r="S54" s="90" t="s">
        <v>90</v>
      </c>
      <c r="T54" s="90">
        <v>2450812</v>
      </c>
      <c r="U54" s="90" t="s">
        <v>91</v>
      </c>
      <c r="V54" s="90" t="s">
        <v>85</v>
      </c>
      <c r="W54" s="90" t="s">
        <v>85</v>
      </c>
      <c r="X54" s="90" t="s">
        <v>87</v>
      </c>
      <c r="Y54" s="90" t="s">
        <v>85</v>
      </c>
      <c r="Z54" s="90" t="s">
        <v>85</v>
      </c>
      <c r="AA54" s="90" t="s">
        <v>85</v>
      </c>
      <c r="AB54" s="90" t="s">
        <v>85</v>
      </c>
      <c r="AC54" s="90" t="s">
        <v>85</v>
      </c>
      <c r="AD54" s="90">
        <v>0</v>
      </c>
      <c r="AE54" s="24">
        <v>0</v>
      </c>
      <c r="AF54" s="90">
        <v>0</v>
      </c>
      <c r="AG54" s="24">
        <v>0</v>
      </c>
      <c r="AH54" s="90">
        <v>77759</v>
      </c>
      <c r="AI54" s="24" t="s">
        <v>102</v>
      </c>
      <c r="AJ54" s="24" t="s">
        <v>293</v>
      </c>
      <c r="AK54" s="90" t="s">
        <v>85</v>
      </c>
      <c r="AL54" s="90">
        <v>79267</v>
      </c>
      <c r="AM54" s="90" t="s">
        <v>283</v>
      </c>
      <c r="AN54" s="90" t="s">
        <v>284</v>
      </c>
      <c r="AO54" s="125" t="s">
        <v>292</v>
      </c>
      <c r="AP54" s="24" t="s">
        <v>288</v>
      </c>
      <c r="AQ54" s="90" t="s">
        <v>287</v>
      </c>
      <c r="AR54" s="24" t="s">
        <v>288</v>
      </c>
      <c r="AS54" s="90">
        <v>2450812</v>
      </c>
      <c r="AT54" s="24" t="s">
        <v>102</v>
      </c>
      <c r="AU54" s="90" t="s">
        <v>85</v>
      </c>
      <c r="AV54" s="90" t="str">
        <f>IF(ISNUMBER(SEARCH("disagree",AE54)),"N","Y")</f>
        <v>Y</v>
      </c>
      <c r="AW54" s="90" t="s">
        <v>119</v>
      </c>
      <c r="AX54" s="24" t="s">
        <v>119</v>
      </c>
      <c r="AY54" s="90" t="str">
        <f>CONCATENATE(AZ54,BA54,BB54,BC54)</f>
        <v/>
      </c>
      <c r="AZ54" s="90" t="str">
        <f>IF(ISNUMBER(SEARCH("Y",AC54)),"R","")</f>
        <v/>
      </c>
      <c r="BA54" s="90" t="str">
        <f>IF(ISNUMBER(SEARCH("Y",Y54)),"M","")</f>
        <v/>
      </c>
      <c r="BB54" s="90" t="str">
        <f>IF(ISNUMBER(SEARCH("Y",AB54)),"QC","")</f>
        <v/>
      </c>
      <c r="BC54" s="90" t="str">
        <f>IF(ISNUMBER(SEARCH("Y",Z54)),"S","")</f>
        <v/>
      </c>
      <c r="BD54" s="90"/>
      <c r="BE54" s="24" t="s">
        <v>119</v>
      </c>
      <c r="BF54" s="125" t="str">
        <f>IF(AND(AW54&gt;=56543,AW54&lt;=76543,LEN(AW54)&gt;0),"3 Feb 2020",IF(AND(AW54&gt;=66544,AW54&lt;=99999,LEN(AW54)&gt;0),"12 Sep 2020",""))</f>
        <v/>
      </c>
      <c r="BG54" s="125" t="str">
        <f>IF((AND(BF54="3 Feb 2020",LEN(BF54)&gt;0)),"Completed",IF((AND(BF54="12 Sep 2020",LEN(BF54)&gt;0)),"Pending",""))</f>
        <v/>
      </c>
      <c r="BH54" s="90" t="str">
        <f>IF((AND(BF54="3 Feb 2020",LEN(BF54)&gt;0)),"3 Feb 2020","")</f>
        <v/>
      </c>
      <c r="BI54" s="90">
        <v>79267</v>
      </c>
      <c r="BJ54" s="90" t="str">
        <f>L54</f>
        <v>5S53DS84197-58</v>
      </c>
      <c r="BK54" s="127">
        <v>43508</v>
      </c>
      <c r="BL54" s="127">
        <v>44239</v>
      </c>
      <c r="BM54" s="128">
        <f>P54*1.1</f>
        <v>1059144.9000000001</v>
      </c>
      <c r="BN54" s="129">
        <f>P54*0.9</f>
        <v>866573.1</v>
      </c>
      <c r="BO54" s="130">
        <f>P54*0.8</f>
        <v>770287.20000000007</v>
      </c>
      <c r="BP54" s="90">
        <f>IF(Z54="Y",BM54*0.4,BM54*1.05)</f>
        <v>1112102.1450000003</v>
      </c>
      <c r="BQ54" s="90">
        <f>BP54*0.8</f>
        <v>889681.71600000025</v>
      </c>
      <c r="BR54" s="90" t="str">
        <f>IF(ISNUMBER(SEARCH("subrecipient",AI50)),P54*0.6,"")</f>
        <v/>
      </c>
      <c r="BS54" s="90">
        <v>79267</v>
      </c>
      <c r="BT54" s="90" t="str">
        <f>BJ54</f>
        <v>5S53DS84197-58</v>
      </c>
      <c r="BU54" s="127">
        <f>BK54</f>
        <v>43508</v>
      </c>
      <c r="BV54" s="127">
        <f>BL54</f>
        <v>44239</v>
      </c>
      <c r="BW54" s="90" t="str">
        <f>H54</f>
        <v>NIH</v>
      </c>
      <c r="BX54" s="90" t="str">
        <f>IF(H54="NATIONAL HEMOPHILIA FOUNDATION","Non Federal","Federal")</f>
        <v>Federal</v>
      </c>
      <c r="BY54" s="128">
        <f>BM54</f>
        <v>1059144.9000000001</v>
      </c>
      <c r="BZ54" s="90" t="str">
        <f>IF(LEN(BR54)&gt;0,1,"")</f>
        <v/>
      </c>
      <c r="CA54" s="90" t="str">
        <f>IF(LEN(BR54)&gt;0,"VIRAL HEPATITIS PROJECT","")</f>
        <v/>
      </c>
      <c r="CB54" s="129" t="str">
        <f>IF(LEN(BR54)&gt;0,BM54*0.7,"")</f>
        <v/>
      </c>
      <c r="CC54" s="90">
        <f>BP54</f>
        <v>1112102.1450000003</v>
      </c>
      <c r="CD54" s="90" t="str">
        <f>IF(LEN(BR54)&gt;0,"70%","")</f>
        <v/>
      </c>
      <c r="CE54" s="90">
        <f>BS54</f>
        <v>79267</v>
      </c>
      <c r="CF54" s="90" t="str">
        <f>CA54</f>
        <v/>
      </c>
      <c r="CG54" s="90"/>
      <c r="CH54" s="90"/>
      <c r="CI54" s="90"/>
      <c r="CJ54" s="90"/>
      <c r="CK54" s="90"/>
      <c r="CL54" s="90"/>
      <c r="CM54" s="90"/>
      <c r="CN54" s="90"/>
      <c r="CO54" s="90"/>
      <c r="CP54" s="90"/>
      <c r="CQ54" s="90"/>
      <c r="CR54" s="90"/>
      <c r="CS54" s="90"/>
      <c r="CT54" s="137"/>
    </row>
    <row r="55" spans="1:98" ht="120">
      <c r="A55" s="89">
        <v>79267</v>
      </c>
      <c r="B55" s="90">
        <v>2020</v>
      </c>
      <c r="C55" s="90" t="s">
        <v>283</v>
      </c>
      <c r="D55" s="90" t="s">
        <v>284</v>
      </c>
      <c r="E55" s="125" t="s">
        <v>294</v>
      </c>
      <c r="F55" s="24" t="s">
        <v>286</v>
      </c>
      <c r="G55" s="90" t="s">
        <v>85</v>
      </c>
      <c r="H55" s="90" t="s">
        <v>117</v>
      </c>
      <c r="I55" s="90">
        <v>93</v>
      </c>
      <c r="J55" s="90">
        <v>157</v>
      </c>
      <c r="K55" s="90" t="s">
        <v>85</v>
      </c>
      <c r="L55" s="90" t="s">
        <v>287</v>
      </c>
      <c r="M55" s="90" t="s">
        <v>85</v>
      </c>
      <c r="N55" s="24" t="s">
        <v>288</v>
      </c>
      <c r="O55" s="24" t="str">
        <f>IF(ISNUMBER(SEARCH("Cancer",N55)),"Cancer",IF(ISNUMBER(SEARCH("health",N55)),"Public health",IF(ISNUMBER(SEARCH("disabilities",N55)),"Disabilities","Other")))</f>
        <v>Cancer</v>
      </c>
      <c r="P55" s="126">
        <v>962859</v>
      </c>
      <c r="Q55" s="90" t="s">
        <v>85</v>
      </c>
      <c r="R55" s="90" t="str">
        <f>IF(P55&gt;20000000,"B","A")</f>
        <v>A</v>
      </c>
      <c r="S55" s="90" t="s">
        <v>90</v>
      </c>
      <c r="T55" s="90">
        <v>2450812</v>
      </c>
      <c r="U55" s="90" t="s">
        <v>91</v>
      </c>
      <c r="V55" s="90" t="s">
        <v>85</v>
      </c>
      <c r="W55" s="90" t="s">
        <v>85</v>
      </c>
      <c r="X55" s="90" t="s">
        <v>87</v>
      </c>
      <c r="Y55" s="90" t="s">
        <v>85</v>
      </c>
      <c r="Z55" s="90" t="s">
        <v>85</v>
      </c>
      <c r="AA55" s="90" t="s">
        <v>85</v>
      </c>
      <c r="AB55" s="90" t="s">
        <v>85</v>
      </c>
      <c r="AC55" s="90" t="s">
        <v>85</v>
      </c>
      <c r="AD55" s="90">
        <v>0</v>
      </c>
      <c r="AE55" s="24">
        <v>0</v>
      </c>
      <c r="AF55" s="90">
        <v>0</v>
      </c>
      <c r="AG55" s="24">
        <v>0</v>
      </c>
      <c r="AH55" s="90">
        <v>77760</v>
      </c>
      <c r="AI55" s="24" t="s">
        <v>110</v>
      </c>
      <c r="AJ55" s="24" t="s">
        <v>295</v>
      </c>
      <c r="AK55" s="90" t="s">
        <v>85</v>
      </c>
      <c r="AL55" s="90">
        <v>79267</v>
      </c>
      <c r="AM55" s="90" t="s">
        <v>283</v>
      </c>
      <c r="AN55" s="90" t="s">
        <v>284</v>
      </c>
      <c r="AO55" s="125" t="s">
        <v>294</v>
      </c>
      <c r="AP55" s="24" t="s">
        <v>288</v>
      </c>
      <c r="AQ55" s="90" t="s">
        <v>287</v>
      </c>
      <c r="AR55" s="24" t="s">
        <v>288</v>
      </c>
      <c r="AS55" s="90">
        <v>2450812</v>
      </c>
      <c r="AT55" s="24" t="s">
        <v>110</v>
      </c>
      <c r="AU55" s="90" t="s">
        <v>85</v>
      </c>
      <c r="AV55" s="90" t="str">
        <f>IF(ISNUMBER(SEARCH("disagree",AE55)),"N","Y")</f>
        <v>Y</v>
      </c>
      <c r="AW55" s="90" t="s">
        <v>119</v>
      </c>
      <c r="AX55" s="24" t="s">
        <v>119</v>
      </c>
      <c r="AY55" s="90" t="str">
        <f>CONCATENATE(AZ55,BA55,BB55,BC55)</f>
        <v/>
      </c>
      <c r="AZ55" s="90" t="str">
        <f>IF(ISNUMBER(SEARCH("Y",AC55)),"R","")</f>
        <v/>
      </c>
      <c r="BA55" s="90" t="str">
        <f>IF(ISNUMBER(SEARCH("Y",Y55)),"M","")</f>
        <v/>
      </c>
      <c r="BB55" s="90" t="str">
        <f>IF(ISNUMBER(SEARCH("Y",AB55)),"QC","")</f>
        <v/>
      </c>
      <c r="BC55" s="90" t="str">
        <f>IF(ISNUMBER(SEARCH("Y",Z55)),"S","")</f>
        <v/>
      </c>
      <c r="BD55" s="90"/>
      <c r="BE55" s="24" t="s">
        <v>119</v>
      </c>
      <c r="BF55" s="125" t="str">
        <f>IF(AND(AW55&gt;=56543,AW55&lt;=76543,LEN(AW55)&gt;0),"3 Feb 2020",IF(AND(AW55&gt;=66544,AW55&lt;=99999,LEN(AW55)&gt;0),"12 Sep 2020",""))</f>
        <v/>
      </c>
      <c r="BG55" s="125" t="str">
        <f>IF((AND(BF55="3 Feb 2020",LEN(BF55)&gt;0)),"Completed",IF((AND(BF55="12 Sep 2020",LEN(BF55)&gt;0)),"Pending",""))</f>
        <v/>
      </c>
      <c r="BH55" s="90" t="str">
        <f>IF((AND(BF55="3 Feb 2020",LEN(BF55)&gt;0)),"3 Feb 2020","")</f>
        <v/>
      </c>
      <c r="BI55" s="90">
        <v>79267</v>
      </c>
      <c r="BJ55" s="90" t="str">
        <f>L55</f>
        <v>5S53DS84197-58</v>
      </c>
      <c r="BK55" s="127">
        <v>43508</v>
      </c>
      <c r="BL55" s="127">
        <v>44239</v>
      </c>
      <c r="BM55" s="128">
        <f>P55*1.1</f>
        <v>1059144.9000000001</v>
      </c>
      <c r="BN55" s="129">
        <f>P55*0.9</f>
        <v>866573.1</v>
      </c>
      <c r="BO55" s="130">
        <f>P55*0.8</f>
        <v>770287.20000000007</v>
      </c>
      <c r="BP55" s="90">
        <f>IF(Z55="Y",BM55*0.4,BM55*1.05)</f>
        <v>1112102.1450000003</v>
      </c>
      <c r="BQ55" s="90">
        <f>BP55*0.8</f>
        <v>889681.71600000025</v>
      </c>
      <c r="BR55" s="90" t="str">
        <f>IF(ISNUMBER(SEARCH("subrecipient",AI51)),P55*0.6,"")</f>
        <v/>
      </c>
      <c r="BS55" s="90">
        <v>79267</v>
      </c>
      <c r="BT55" s="90" t="str">
        <f>BJ55</f>
        <v>5S53DS84197-58</v>
      </c>
      <c r="BU55" s="127">
        <f>BK55</f>
        <v>43508</v>
      </c>
      <c r="BV55" s="127">
        <f>BL55</f>
        <v>44239</v>
      </c>
      <c r="BW55" s="90" t="str">
        <f>H55</f>
        <v>NIH</v>
      </c>
      <c r="BX55" s="90" t="str">
        <f>IF(H55="NATIONAL HEMOPHILIA FOUNDATION","Non Federal","Federal")</f>
        <v>Federal</v>
      </c>
      <c r="BY55" s="128">
        <f>BM55</f>
        <v>1059144.9000000001</v>
      </c>
      <c r="BZ55" s="90" t="str">
        <f>IF(LEN(BR55)&gt;0,1,"")</f>
        <v/>
      </c>
      <c r="CA55" s="90" t="str">
        <f>IF(LEN(BR55)&gt;0,"VIRAL HEPATITIS PROJECT","")</f>
        <v/>
      </c>
      <c r="CB55" s="129" t="str">
        <f>IF(LEN(BR55)&gt;0,BM55*0.7,"")</f>
        <v/>
      </c>
      <c r="CC55" s="90">
        <f>BP55</f>
        <v>1112102.1450000003</v>
      </c>
      <c r="CD55" s="90" t="str">
        <f>IF(LEN(BR55)&gt;0,"70%","")</f>
        <v/>
      </c>
      <c r="CE55" s="90">
        <f>BS55</f>
        <v>79267</v>
      </c>
      <c r="CF55" s="90" t="str">
        <f>CA55</f>
        <v/>
      </c>
      <c r="CG55" s="90"/>
      <c r="CH55" s="90"/>
      <c r="CI55" s="90"/>
      <c r="CJ55" s="90"/>
      <c r="CK55" s="90"/>
      <c r="CL55" s="90"/>
      <c r="CM55" s="90"/>
      <c r="CN55" s="90"/>
      <c r="CO55" s="90"/>
      <c r="CP55" s="90"/>
      <c r="CQ55" s="90"/>
      <c r="CR55" s="90"/>
      <c r="CS55" s="90"/>
      <c r="CT55" s="137"/>
    </row>
    <row r="56" spans="1:98" ht="120">
      <c r="A56" s="89">
        <v>79267</v>
      </c>
      <c r="B56" s="90">
        <v>2020</v>
      </c>
      <c r="C56" s="90" t="s">
        <v>283</v>
      </c>
      <c r="D56" s="90" t="s">
        <v>284</v>
      </c>
      <c r="E56" s="125" t="s">
        <v>296</v>
      </c>
      <c r="F56" s="24" t="s">
        <v>286</v>
      </c>
      <c r="G56" s="90" t="s">
        <v>85</v>
      </c>
      <c r="H56" s="90" t="s">
        <v>117</v>
      </c>
      <c r="I56" s="90">
        <v>93</v>
      </c>
      <c r="J56" s="90">
        <v>157</v>
      </c>
      <c r="K56" s="90" t="s">
        <v>85</v>
      </c>
      <c r="L56" s="90" t="s">
        <v>287</v>
      </c>
      <c r="M56" s="90" t="s">
        <v>85</v>
      </c>
      <c r="N56" s="24" t="s">
        <v>288</v>
      </c>
      <c r="O56" s="24" t="str">
        <f>IF(ISNUMBER(SEARCH("Cancer",N56)),"Cancer",IF(ISNUMBER(SEARCH("health",N56)),"Public health",IF(ISNUMBER(SEARCH("disabilities",N56)),"Disabilities","Other")))</f>
        <v>Cancer</v>
      </c>
      <c r="P56" s="126">
        <v>962859</v>
      </c>
      <c r="Q56" s="90" t="s">
        <v>85</v>
      </c>
      <c r="R56" s="90" t="str">
        <f>IF(P56&gt;20000000,"B","A")</f>
        <v>A</v>
      </c>
      <c r="S56" s="90" t="s">
        <v>90</v>
      </c>
      <c r="T56" s="90">
        <v>2450812</v>
      </c>
      <c r="U56" s="90" t="s">
        <v>91</v>
      </c>
      <c r="V56" s="90" t="s">
        <v>85</v>
      </c>
      <c r="W56" s="90" t="s">
        <v>85</v>
      </c>
      <c r="X56" s="90" t="s">
        <v>87</v>
      </c>
      <c r="Y56" s="90" t="s">
        <v>85</v>
      </c>
      <c r="Z56" s="90" t="s">
        <v>85</v>
      </c>
      <c r="AA56" s="90" t="s">
        <v>85</v>
      </c>
      <c r="AB56" s="90" t="s">
        <v>85</v>
      </c>
      <c r="AC56" s="90" t="s">
        <v>85</v>
      </c>
      <c r="AD56" s="90">
        <v>0</v>
      </c>
      <c r="AE56" s="24">
        <v>0</v>
      </c>
      <c r="AF56" s="90">
        <v>0</v>
      </c>
      <c r="AG56" s="24">
        <v>0</v>
      </c>
      <c r="AH56" s="90">
        <v>77761</v>
      </c>
      <c r="AI56" s="24" t="s">
        <v>297</v>
      </c>
      <c r="AJ56" s="24" t="s">
        <v>298</v>
      </c>
      <c r="AK56" s="90" t="s">
        <v>85</v>
      </c>
      <c r="AL56" s="90">
        <v>79267</v>
      </c>
      <c r="AM56" s="90" t="s">
        <v>283</v>
      </c>
      <c r="AN56" s="90" t="s">
        <v>284</v>
      </c>
      <c r="AO56" s="125" t="s">
        <v>296</v>
      </c>
      <c r="AP56" s="24" t="s">
        <v>288</v>
      </c>
      <c r="AQ56" s="90" t="s">
        <v>287</v>
      </c>
      <c r="AR56" s="24" t="s">
        <v>288</v>
      </c>
      <c r="AS56" s="90">
        <v>2450812</v>
      </c>
      <c r="AT56" s="24" t="s">
        <v>297</v>
      </c>
      <c r="AU56" s="90" t="s">
        <v>85</v>
      </c>
      <c r="AV56" s="90" t="str">
        <f>IF(ISNUMBER(SEARCH("disagree",AE56)),"N","Y")</f>
        <v>Y</v>
      </c>
      <c r="AW56" s="90" t="s">
        <v>119</v>
      </c>
      <c r="AX56" s="24" t="s">
        <v>119</v>
      </c>
      <c r="AY56" s="90" t="str">
        <f>CONCATENATE(AZ56,BA56,BB56,BC56)</f>
        <v/>
      </c>
      <c r="AZ56" s="90" t="str">
        <f>IF(ISNUMBER(SEARCH("Y",AC56)),"R","")</f>
        <v/>
      </c>
      <c r="BA56" s="90" t="str">
        <f>IF(ISNUMBER(SEARCH("Y",Y56)),"M","")</f>
        <v/>
      </c>
      <c r="BB56" s="90" t="str">
        <f>IF(ISNUMBER(SEARCH("Y",AB56)),"QC","")</f>
        <v/>
      </c>
      <c r="BC56" s="90" t="str">
        <f>IF(ISNUMBER(SEARCH("Y",Z56)),"S","")</f>
        <v/>
      </c>
      <c r="BD56" s="90"/>
      <c r="BE56" s="24" t="s">
        <v>119</v>
      </c>
      <c r="BF56" s="125" t="str">
        <f>IF(AND(AW56&gt;=56543,AW56&lt;=76543,LEN(AW56)&gt;0),"3 Feb 2020",IF(AND(AW56&gt;=66544,AW56&lt;=99999,LEN(AW56)&gt;0),"12 Sep 2020",""))</f>
        <v/>
      </c>
      <c r="BG56" s="125" t="str">
        <f>IF((AND(BF56="3 Feb 2020",LEN(BF56)&gt;0)),"Completed",IF((AND(BF56="12 Sep 2020",LEN(BF56)&gt;0)),"Pending",""))</f>
        <v/>
      </c>
      <c r="BH56" s="90" t="str">
        <f>IF((AND(BF56="3 Feb 2020",LEN(BF56)&gt;0)),"3 Feb 2020","")</f>
        <v/>
      </c>
      <c r="BI56" s="90">
        <v>79267</v>
      </c>
      <c r="BJ56" s="90" t="str">
        <f>L56</f>
        <v>5S53DS84197-58</v>
      </c>
      <c r="BK56" s="127">
        <v>43508</v>
      </c>
      <c r="BL56" s="127">
        <v>44239</v>
      </c>
      <c r="BM56" s="128">
        <f>P56*1.1</f>
        <v>1059144.9000000001</v>
      </c>
      <c r="BN56" s="129">
        <f>P56*0.9</f>
        <v>866573.1</v>
      </c>
      <c r="BO56" s="130">
        <f>P56*0.8</f>
        <v>770287.20000000007</v>
      </c>
      <c r="BP56" s="90">
        <f>IF(Z56="Y",BM56*0.4,BM56*1.05)</f>
        <v>1112102.1450000003</v>
      </c>
      <c r="BQ56" s="90">
        <f>BP56*0.8</f>
        <v>889681.71600000025</v>
      </c>
      <c r="BR56" s="90" t="str">
        <f>IF(ISNUMBER(SEARCH("subrecipient",AI52)),P56*0.6,"")</f>
        <v/>
      </c>
      <c r="BS56" s="90">
        <v>79267</v>
      </c>
      <c r="BT56" s="90" t="str">
        <f>BJ56</f>
        <v>5S53DS84197-58</v>
      </c>
      <c r="BU56" s="127">
        <f>BK56</f>
        <v>43508</v>
      </c>
      <c r="BV56" s="127">
        <f>BL56</f>
        <v>44239</v>
      </c>
      <c r="BW56" s="90" t="str">
        <f>H56</f>
        <v>NIH</v>
      </c>
      <c r="BX56" s="90" t="str">
        <f>IF(H56="NATIONAL HEMOPHILIA FOUNDATION","Non Federal","Federal")</f>
        <v>Federal</v>
      </c>
      <c r="BY56" s="128">
        <f>BM56</f>
        <v>1059144.9000000001</v>
      </c>
      <c r="BZ56" s="90" t="str">
        <f>IF(LEN(BR56)&gt;0,1,"")</f>
        <v/>
      </c>
      <c r="CA56" s="90" t="str">
        <f>IF(LEN(BR56)&gt;0,"VIRAL HEPATITIS PROJECT","")</f>
        <v/>
      </c>
      <c r="CB56" s="129" t="str">
        <f>IF(LEN(BR56)&gt;0,BM56*0.7,"")</f>
        <v/>
      </c>
      <c r="CC56" s="90">
        <f>BP56</f>
        <v>1112102.1450000003</v>
      </c>
      <c r="CD56" s="90" t="str">
        <f>IF(LEN(BR56)&gt;0,"70%","")</f>
        <v/>
      </c>
      <c r="CE56" s="90">
        <f>BS56</f>
        <v>79267</v>
      </c>
      <c r="CF56" s="90" t="str">
        <f>CA56</f>
        <v/>
      </c>
      <c r="CG56" s="90"/>
      <c r="CH56" s="90"/>
      <c r="CI56" s="90"/>
      <c r="CJ56" s="90"/>
      <c r="CK56" s="90"/>
      <c r="CL56" s="90"/>
      <c r="CM56" s="90"/>
      <c r="CN56" s="90"/>
      <c r="CO56" s="90"/>
      <c r="CP56" s="90"/>
      <c r="CQ56" s="90"/>
      <c r="CR56" s="90"/>
      <c r="CS56" s="90"/>
      <c r="CT56" s="137"/>
    </row>
    <row r="57" spans="1:98" ht="210">
      <c r="A57" s="89">
        <v>79338</v>
      </c>
      <c r="B57" s="90">
        <v>2020</v>
      </c>
      <c r="C57" s="90" t="s">
        <v>81</v>
      </c>
      <c r="D57" s="90" t="s">
        <v>299</v>
      </c>
      <c r="E57" s="125" t="s">
        <v>300</v>
      </c>
      <c r="F57" s="24" t="s">
        <v>301</v>
      </c>
      <c r="G57" s="90" t="s">
        <v>85</v>
      </c>
      <c r="H57" s="90" t="s">
        <v>132</v>
      </c>
      <c r="I57" s="90">
        <v>93</v>
      </c>
      <c r="J57" s="90">
        <v>157</v>
      </c>
      <c r="K57" s="90" t="s">
        <v>85</v>
      </c>
      <c r="L57" s="90" t="s">
        <v>302</v>
      </c>
      <c r="M57" s="90" t="s">
        <v>85</v>
      </c>
      <c r="N57" s="24" t="s">
        <v>303</v>
      </c>
      <c r="O57" s="24" t="str">
        <f>IF(ISNUMBER(SEARCH("Cancer",N57)),"Cancer",IF(ISNUMBER(SEARCH("health",N57)),"Public health",IF(ISNUMBER(SEARCH("disabilities",N57)),"Disabilities","Other")))</f>
        <v>Cancer</v>
      </c>
      <c r="P57" s="126">
        <v>879940</v>
      </c>
      <c r="Q57" s="90" t="s">
        <v>85</v>
      </c>
      <c r="R57" s="90" t="str">
        <f>IF(P57&gt;20000000,"B","A")</f>
        <v>A</v>
      </c>
      <c r="S57" s="90" t="s">
        <v>90</v>
      </c>
      <c r="T57" s="90">
        <v>2576645</v>
      </c>
      <c r="U57" s="90" t="s">
        <v>91</v>
      </c>
      <c r="V57" s="90" t="s">
        <v>304</v>
      </c>
      <c r="W57" s="90" t="s">
        <v>85</v>
      </c>
      <c r="X57" s="90" t="s">
        <v>85</v>
      </c>
      <c r="Y57" s="90" t="s">
        <v>85</v>
      </c>
      <c r="Z57" s="90" t="s">
        <v>85</v>
      </c>
      <c r="AA57" s="90" t="s">
        <v>87</v>
      </c>
      <c r="AB57" s="90" t="s">
        <v>85</v>
      </c>
      <c r="AC57" s="90" t="s">
        <v>85</v>
      </c>
      <c r="AD57" s="90">
        <v>0</v>
      </c>
      <c r="AE57" s="24" t="s">
        <v>305</v>
      </c>
      <c r="AF57" s="90" t="s">
        <v>91</v>
      </c>
      <c r="AG57" s="24" t="s">
        <v>306</v>
      </c>
      <c r="AH57" s="90">
        <v>83942</v>
      </c>
      <c r="AI57" s="24" t="s">
        <v>94</v>
      </c>
      <c r="AJ57" s="24" t="s">
        <v>307</v>
      </c>
      <c r="AK57" s="90" t="s">
        <v>85</v>
      </c>
      <c r="AL57" s="90">
        <v>79338</v>
      </c>
      <c r="AM57" s="90" t="s">
        <v>81</v>
      </c>
      <c r="AN57" s="90" t="s">
        <v>299</v>
      </c>
      <c r="AO57" s="125" t="s">
        <v>300</v>
      </c>
      <c r="AP57" s="24" t="s">
        <v>303</v>
      </c>
      <c r="AQ57" s="90" t="s">
        <v>302</v>
      </c>
      <c r="AR57" s="24" t="s">
        <v>303</v>
      </c>
      <c r="AS57" s="90">
        <v>2576645</v>
      </c>
      <c r="AT57" s="24" t="s">
        <v>94</v>
      </c>
      <c r="AU57" s="90" t="s">
        <v>304</v>
      </c>
      <c r="AV57" s="90" t="str">
        <f>IF(ISNUMBER(SEARCH("disagree",AE57)),"N","Y")</f>
        <v>Y</v>
      </c>
      <c r="AW57" s="90" t="s">
        <v>119</v>
      </c>
      <c r="AX57" s="24" t="s">
        <v>119</v>
      </c>
      <c r="AY57" s="90" t="str">
        <f>CONCATENATE(AZ57,BA57,BB57,BC57)</f>
        <v/>
      </c>
      <c r="AZ57" s="90" t="str">
        <f>IF(ISNUMBER(SEARCH("Y",AC57)),"R","")</f>
        <v/>
      </c>
      <c r="BA57" s="90" t="str">
        <f>IF(ISNUMBER(SEARCH("Y",Y57)),"M","")</f>
        <v/>
      </c>
      <c r="BB57" s="90" t="str">
        <f>IF(ISNUMBER(SEARCH("Y",AB57)),"QC","")</f>
        <v/>
      </c>
      <c r="BC57" s="90" t="str">
        <f>IF(ISNUMBER(SEARCH("Y",Z57)),"S","")</f>
        <v/>
      </c>
      <c r="BD57" s="90"/>
      <c r="BE57" s="24" t="s">
        <v>119</v>
      </c>
      <c r="BF57" s="125" t="str">
        <f>IF(AND(AW57&gt;=56543,AW57&lt;=76543,LEN(AW57)&gt;0),"3 Feb 2020",IF(AND(AW57&gt;=66544,AW57&lt;=99999,LEN(AW57)&gt;0),"12 Sep 2020",""))</f>
        <v/>
      </c>
      <c r="BG57" s="125" t="str">
        <f>IF((AND(BF57="3 Feb 2020",LEN(BF57)&gt;0)),"Completed",IF((AND(BF57="12 Sep 2020",LEN(BF57)&gt;0)),"Pending",""))</f>
        <v/>
      </c>
      <c r="BH57" s="90" t="str">
        <f>IF((AND(BF57="3 Feb 2020",LEN(BF57)&gt;0)),"3 Feb 2020","")</f>
        <v/>
      </c>
      <c r="BI57" s="90">
        <v>79338</v>
      </c>
      <c r="BJ57" s="90" t="str">
        <f>L57</f>
        <v>9S37GS89674-92</v>
      </c>
      <c r="BK57" s="127">
        <v>43508</v>
      </c>
      <c r="BL57" s="127">
        <v>44239</v>
      </c>
      <c r="BM57" s="128">
        <f>P57*1.1</f>
        <v>967934.00000000012</v>
      </c>
      <c r="BN57" s="129">
        <f>P57*0.9</f>
        <v>791946</v>
      </c>
      <c r="BO57" s="130">
        <f>P57*0.8</f>
        <v>703952</v>
      </c>
      <c r="BP57" s="90">
        <f>IF(Z57="Y",BM57*0.4,BM57*1.05)</f>
        <v>1016330.7000000002</v>
      </c>
      <c r="BQ57" s="90">
        <f>BP57*0.8</f>
        <v>813064.56000000017</v>
      </c>
      <c r="BR57" s="90" t="str">
        <f>IF(ISNUMBER(SEARCH("subrecipient",AI53)),P57*0.6,"")</f>
        <v/>
      </c>
      <c r="BS57" s="90">
        <v>79338</v>
      </c>
      <c r="BT57" s="90" t="str">
        <f>BJ57</f>
        <v>9S37GS89674-92</v>
      </c>
      <c r="BU57" s="127">
        <f>BK57</f>
        <v>43508</v>
      </c>
      <c r="BV57" s="127">
        <f>BL57</f>
        <v>44239</v>
      </c>
      <c r="BW57" s="90" t="str">
        <f>H57</f>
        <v>FDA</v>
      </c>
      <c r="BX57" s="90" t="str">
        <f>IF(H57="NATIONAL HEMOPHILIA FOUNDATION","Non Federal","Federal")</f>
        <v>Federal</v>
      </c>
      <c r="BY57" s="128">
        <f>BM57</f>
        <v>967934.00000000012</v>
      </c>
      <c r="BZ57" s="90" t="str">
        <f>IF(LEN(BR57)&gt;0,1,"")</f>
        <v/>
      </c>
      <c r="CA57" s="90" t="str">
        <f>IF(LEN(BR57)&gt;0,"VIRAL HEPATITIS PROJECT","")</f>
        <v/>
      </c>
      <c r="CB57" s="129" t="str">
        <f>IF(LEN(BR57)&gt;0,BM57*0.7,"")</f>
        <v/>
      </c>
      <c r="CC57" s="90">
        <f>BP57</f>
        <v>1016330.7000000002</v>
      </c>
      <c r="CD57" s="90" t="str">
        <f>IF(LEN(BR57)&gt;0,"70%","")</f>
        <v/>
      </c>
      <c r="CE57" s="90">
        <f>BS57</f>
        <v>79338</v>
      </c>
      <c r="CF57" s="90" t="str">
        <f>CA57</f>
        <v/>
      </c>
      <c r="CG57" s="90"/>
      <c r="CH57" s="90"/>
      <c r="CI57" s="90"/>
      <c r="CJ57" s="90"/>
      <c r="CK57" s="90"/>
      <c r="CL57" s="90"/>
      <c r="CM57" s="90"/>
      <c r="CN57" s="90"/>
      <c r="CO57" s="90"/>
      <c r="CP57" s="90"/>
      <c r="CQ57" s="90"/>
      <c r="CR57" s="90"/>
      <c r="CS57" s="90"/>
      <c r="CT57" s="137"/>
    </row>
    <row r="58" spans="1:98" ht="45">
      <c r="A58" s="89">
        <v>79338</v>
      </c>
      <c r="B58" s="90">
        <v>2020</v>
      </c>
      <c r="C58" s="90" t="s">
        <v>81</v>
      </c>
      <c r="D58" s="90" t="s">
        <v>299</v>
      </c>
      <c r="E58" s="125" t="s">
        <v>308</v>
      </c>
      <c r="F58" s="24" t="s">
        <v>301</v>
      </c>
      <c r="G58" s="90" t="s">
        <v>85</v>
      </c>
      <c r="H58" s="90" t="s">
        <v>132</v>
      </c>
      <c r="I58" s="90">
        <v>93</v>
      </c>
      <c r="J58" s="90">
        <v>157</v>
      </c>
      <c r="K58" s="90" t="s">
        <v>85</v>
      </c>
      <c r="L58" s="90" t="s">
        <v>302</v>
      </c>
      <c r="M58" s="90" t="s">
        <v>85</v>
      </c>
      <c r="N58" s="24" t="s">
        <v>303</v>
      </c>
      <c r="O58" s="24" t="str">
        <f>IF(ISNUMBER(SEARCH("Cancer",N58)),"Cancer",IF(ISNUMBER(SEARCH("health",N58)),"Public health",IF(ISNUMBER(SEARCH("disabilities",N58)),"Disabilities","Other")))</f>
        <v>Cancer</v>
      </c>
      <c r="P58" s="126">
        <v>879940</v>
      </c>
      <c r="Q58" s="90" t="s">
        <v>85</v>
      </c>
      <c r="R58" s="90" t="str">
        <f>IF(P58&gt;20000000,"B","A")</f>
        <v>A</v>
      </c>
      <c r="S58" s="90" t="s">
        <v>90</v>
      </c>
      <c r="T58" s="90">
        <v>2576645</v>
      </c>
      <c r="U58" s="90" t="s">
        <v>91</v>
      </c>
      <c r="V58" s="90" t="s">
        <v>304</v>
      </c>
      <c r="W58" s="90" t="s">
        <v>85</v>
      </c>
      <c r="X58" s="90" t="s">
        <v>85</v>
      </c>
      <c r="Y58" s="90" t="s">
        <v>85</v>
      </c>
      <c r="Z58" s="90" t="s">
        <v>85</v>
      </c>
      <c r="AA58" s="90" t="s">
        <v>87</v>
      </c>
      <c r="AB58" s="90" t="s">
        <v>85</v>
      </c>
      <c r="AC58" s="90" t="s">
        <v>85</v>
      </c>
      <c r="AD58" s="90">
        <v>0</v>
      </c>
      <c r="AE58" s="24">
        <v>0</v>
      </c>
      <c r="AF58" s="90">
        <v>0</v>
      </c>
      <c r="AG58" s="24">
        <v>0</v>
      </c>
      <c r="AH58" s="90">
        <v>83941</v>
      </c>
      <c r="AI58" s="24" t="s">
        <v>102</v>
      </c>
      <c r="AJ58" s="24" t="s">
        <v>103</v>
      </c>
      <c r="AK58" s="90" t="s">
        <v>85</v>
      </c>
      <c r="AL58" s="90">
        <v>79338</v>
      </c>
      <c r="AM58" s="90" t="s">
        <v>81</v>
      </c>
      <c r="AN58" s="90" t="s">
        <v>299</v>
      </c>
      <c r="AO58" s="125" t="s">
        <v>308</v>
      </c>
      <c r="AP58" s="24" t="s">
        <v>303</v>
      </c>
      <c r="AQ58" s="90" t="s">
        <v>302</v>
      </c>
      <c r="AR58" s="24" t="s">
        <v>303</v>
      </c>
      <c r="AS58" s="90">
        <v>2576645</v>
      </c>
      <c r="AT58" s="24" t="s">
        <v>102</v>
      </c>
      <c r="AU58" s="90" t="s">
        <v>304</v>
      </c>
      <c r="AV58" s="90" t="str">
        <f>IF(ISNUMBER(SEARCH("disagree",AE58)),"N","Y")</f>
        <v>Y</v>
      </c>
      <c r="AW58" s="90" t="s">
        <v>119</v>
      </c>
      <c r="AX58" s="24" t="s">
        <v>119</v>
      </c>
      <c r="AY58" s="90" t="str">
        <f>CONCATENATE(AZ58,BA58,BB58,BC58)</f>
        <v/>
      </c>
      <c r="AZ58" s="90" t="str">
        <f>IF(ISNUMBER(SEARCH("Y",AC58)),"R","")</f>
        <v/>
      </c>
      <c r="BA58" s="90" t="str">
        <f>IF(ISNUMBER(SEARCH("Y",Y58)),"M","")</f>
        <v/>
      </c>
      <c r="BB58" s="90" t="str">
        <f>IF(ISNUMBER(SEARCH("Y",AB58)),"QC","")</f>
        <v/>
      </c>
      <c r="BC58" s="90" t="str">
        <f>IF(ISNUMBER(SEARCH("Y",Z58)),"S","")</f>
        <v/>
      </c>
      <c r="BD58" s="90"/>
      <c r="BE58" s="24" t="s">
        <v>119</v>
      </c>
      <c r="BF58" s="125" t="str">
        <f>IF(AND(AW58&gt;=56543,AW58&lt;=76543,LEN(AW58)&gt;0),"3 Feb 2020",IF(AND(AW58&gt;=66544,AW58&lt;=99999,LEN(AW58)&gt;0),"12 Sep 2020",""))</f>
        <v/>
      </c>
      <c r="BG58" s="125" t="str">
        <f>IF((AND(BF58="3 Feb 2020",LEN(BF58)&gt;0)),"Completed",IF((AND(BF58="12 Sep 2020",LEN(BF58)&gt;0)),"Pending",""))</f>
        <v/>
      </c>
      <c r="BH58" s="90" t="str">
        <f>IF((AND(BF58="3 Feb 2020",LEN(BF58)&gt;0)),"3 Feb 2020","")</f>
        <v/>
      </c>
      <c r="BI58" s="90">
        <v>79338</v>
      </c>
      <c r="BJ58" s="90" t="str">
        <f>L58</f>
        <v>9S37GS89674-92</v>
      </c>
      <c r="BK58" s="127">
        <v>43508</v>
      </c>
      <c r="BL58" s="127">
        <v>44239</v>
      </c>
      <c r="BM58" s="128">
        <f>P58*1.1</f>
        <v>967934.00000000012</v>
      </c>
      <c r="BN58" s="129">
        <f>P58*0.9</f>
        <v>791946</v>
      </c>
      <c r="BO58" s="130">
        <f>P58*0.8</f>
        <v>703952</v>
      </c>
      <c r="BP58" s="90">
        <f>IF(Z58="Y",BM58*0.4,BM58*1.05)</f>
        <v>1016330.7000000002</v>
      </c>
      <c r="BQ58" s="90">
        <f>BP58*0.8</f>
        <v>813064.56000000017</v>
      </c>
      <c r="BR58" s="90" t="str">
        <f>IF(ISNUMBER(SEARCH("subrecipient",AI54)),P58*0.6,"")</f>
        <v/>
      </c>
      <c r="BS58" s="90">
        <v>79338</v>
      </c>
      <c r="BT58" s="90" t="str">
        <f>BJ58</f>
        <v>9S37GS89674-92</v>
      </c>
      <c r="BU58" s="127">
        <f>BK58</f>
        <v>43508</v>
      </c>
      <c r="BV58" s="127">
        <f>BL58</f>
        <v>44239</v>
      </c>
      <c r="BW58" s="90" t="str">
        <f>H58</f>
        <v>FDA</v>
      </c>
      <c r="BX58" s="90" t="str">
        <f>IF(H58="NATIONAL HEMOPHILIA FOUNDATION","Non Federal","Federal")</f>
        <v>Federal</v>
      </c>
      <c r="BY58" s="128">
        <f>BM58</f>
        <v>967934.00000000012</v>
      </c>
      <c r="BZ58" s="90" t="str">
        <f>IF(LEN(BR58)&gt;0,1,"")</f>
        <v/>
      </c>
      <c r="CA58" s="90" t="str">
        <f>IF(LEN(BR58)&gt;0,"VIRAL HEPATITIS PROJECT","")</f>
        <v/>
      </c>
      <c r="CB58" s="129" t="str">
        <f>IF(LEN(BR58)&gt;0,BM58*0.7,"")</f>
        <v/>
      </c>
      <c r="CC58" s="90">
        <f>BP58</f>
        <v>1016330.7000000002</v>
      </c>
      <c r="CD58" s="90" t="str">
        <f>IF(LEN(BR58)&gt;0,"70%","")</f>
        <v/>
      </c>
      <c r="CE58" s="90">
        <f>BS58</f>
        <v>79338</v>
      </c>
      <c r="CF58" s="90" t="str">
        <f>CA58</f>
        <v/>
      </c>
      <c r="CG58" s="90"/>
      <c r="CH58" s="90"/>
      <c r="CI58" s="90"/>
      <c r="CJ58" s="90"/>
      <c r="CK58" s="90"/>
      <c r="CL58" s="90"/>
      <c r="CM58" s="90"/>
      <c r="CN58" s="90"/>
      <c r="CO58" s="90"/>
      <c r="CP58" s="90"/>
      <c r="CQ58" s="90"/>
      <c r="CR58" s="90"/>
      <c r="CS58" s="90"/>
      <c r="CT58" s="137"/>
    </row>
    <row r="59" spans="1:98" ht="240">
      <c r="A59" s="89">
        <v>80870</v>
      </c>
      <c r="B59" s="90">
        <v>2020</v>
      </c>
      <c r="C59" s="90" t="s">
        <v>81</v>
      </c>
      <c r="D59" s="90" t="s">
        <v>309</v>
      </c>
      <c r="E59" s="125" t="s">
        <v>310</v>
      </c>
      <c r="F59" s="24" t="s">
        <v>311</v>
      </c>
      <c r="G59" s="90" t="s">
        <v>85</v>
      </c>
      <c r="H59" s="90" t="s">
        <v>150</v>
      </c>
      <c r="I59" s="90">
        <v>93</v>
      </c>
      <c r="J59" s="90">
        <v>157</v>
      </c>
      <c r="K59" s="90" t="s">
        <v>85</v>
      </c>
      <c r="L59" s="90" t="s">
        <v>312</v>
      </c>
      <c r="M59" s="90" t="s">
        <v>119</v>
      </c>
      <c r="N59" s="24" t="s">
        <v>313</v>
      </c>
      <c r="O59" s="24" t="str">
        <f>IF(ISNUMBER(SEARCH("Cancer",N59)),"Cancer",IF(ISNUMBER(SEARCH("health",N59)),"Public health",IF(ISNUMBER(SEARCH("disabilities",N59)),"Disabilities","Other")))</f>
        <v>Cancer</v>
      </c>
      <c r="P59" s="126">
        <v>764547</v>
      </c>
      <c r="Q59" s="90" t="s">
        <v>85</v>
      </c>
      <c r="R59" s="90" t="str">
        <f>IF(P59&gt;20000000,"B","A")</f>
        <v>A</v>
      </c>
      <c r="S59" s="90" t="s">
        <v>90</v>
      </c>
      <c r="T59" s="90" t="s">
        <v>119</v>
      </c>
      <c r="U59" s="90" t="s">
        <v>119</v>
      </c>
      <c r="V59" s="90" t="s">
        <v>119</v>
      </c>
      <c r="W59" s="90" t="s">
        <v>119</v>
      </c>
      <c r="X59" s="90" t="s">
        <v>119</v>
      </c>
      <c r="Y59" s="90" t="s">
        <v>119</v>
      </c>
      <c r="Z59" s="90" t="s">
        <v>119</v>
      </c>
      <c r="AA59" s="90" t="s">
        <v>119</v>
      </c>
      <c r="AB59" s="90" t="s">
        <v>119</v>
      </c>
      <c r="AC59" s="90" t="s">
        <v>119</v>
      </c>
      <c r="AD59" s="90" t="s">
        <v>119</v>
      </c>
      <c r="AE59" s="24">
        <v>0</v>
      </c>
      <c r="AF59" s="90">
        <v>0</v>
      </c>
      <c r="AG59" s="24">
        <v>0</v>
      </c>
      <c r="AH59" s="90">
        <v>86288</v>
      </c>
      <c r="AI59" s="24" t="s">
        <v>94</v>
      </c>
      <c r="AJ59" s="24" t="s">
        <v>314</v>
      </c>
      <c r="AK59" s="90" t="s">
        <v>85</v>
      </c>
      <c r="AL59" s="90">
        <v>80870</v>
      </c>
      <c r="AM59" s="90" t="s">
        <v>81</v>
      </c>
      <c r="AN59" s="90" t="s">
        <v>309</v>
      </c>
      <c r="AO59" s="125" t="s">
        <v>310</v>
      </c>
      <c r="AP59" s="24" t="s">
        <v>313</v>
      </c>
      <c r="AQ59" s="90" t="s">
        <v>312</v>
      </c>
      <c r="AR59" s="24" t="s">
        <v>313</v>
      </c>
      <c r="AS59" s="90" t="s">
        <v>119</v>
      </c>
      <c r="AT59" s="24" t="s">
        <v>94</v>
      </c>
      <c r="AU59" s="90" t="s">
        <v>119</v>
      </c>
      <c r="AV59" s="90" t="str">
        <f>IF(ISNUMBER(SEARCH("disagree",AE59)),"N","Y")</f>
        <v>Y</v>
      </c>
      <c r="AW59" s="90" t="s">
        <v>119</v>
      </c>
      <c r="AX59" s="24" t="s">
        <v>119</v>
      </c>
      <c r="AY59" s="90" t="str">
        <f>CONCATENATE(AZ59,BA59,BB59,BC59)</f>
        <v/>
      </c>
      <c r="AZ59" s="90" t="str">
        <f>IF(ISNUMBER(SEARCH("Y",AC59)),"R","")</f>
        <v/>
      </c>
      <c r="BA59" s="90" t="str">
        <f>IF(ISNUMBER(SEARCH("Y",Y59)),"M","")</f>
        <v/>
      </c>
      <c r="BB59" s="90" t="str">
        <f>IF(ISNUMBER(SEARCH("Y",AB59)),"QC","")</f>
        <v/>
      </c>
      <c r="BC59" s="90" t="str">
        <f>IF(ISNUMBER(SEARCH("Y",Z59)),"S","")</f>
        <v/>
      </c>
      <c r="BD59" s="90"/>
      <c r="BE59" s="24" t="s">
        <v>119</v>
      </c>
      <c r="BF59" s="125" t="str">
        <f>IF(AND(AW59&gt;=56543,AW59&lt;=76543,LEN(AW59)&gt;0),"3 Feb 2020",IF(AND(AW59&gt;=66544,AW59&lt;=99999,LEN(AW59)&gt;0),"12 Sep 2020",""))</f>
        <v/>
      </c>
      <c r="BG59" s="125" t="str">
        <f>IF((AND(BF59="3 Feb 2020",LEN(BF59)&gt;0)),"Completed",IF((AND(BF59="12 Sep 2020",LEN(BF59)&gt;0)),"Pending",""))</f>
        <v/>
      </c>
      <c r="BH59" s="90" t="str">
        <f>IF((AND(BF59="3 Feb 2020",LEN(BF59)&gt;0)),"3 Feb 2020","")</f>
        <v/>
      </c>
      <c r="BI59" s="90">
        <v>80870</v>
      </c>
      <c r="BJ59" s="90" t="str">
        <f>L59</f>
        <v>1S52CS86501-25</v>
      </c>
      <c r="BK59" s="127">
        <v>43508</v>
      </c>
      <c r="BL59" s="127">
        <v>44239</v>
      </c>
      <c r="BM59" s="128">
        <f>P59*1.1</f>
        <v>841001.70000000007</v>
      </c>
      <c r="BN59" s="129">
        <f>P59*0.9</f>
        <v>688092.3</v>
      </c>
      <c r="BO59" s="130">
        <f>P59*0.8</f>
        <v>611637.6</v>
      </c>
      <c r="BP59" s="90">
        <f>IF(Z59="Y",BM59*0.4,BM59*1.05)</f>
        <v>883051.78500000015</v>
      </c>
      <c r="BQ59" s="90">
        <f>BP59*0.8</f>
        <v>706441.42800000019</v>
      </c>
      <c r="BR59" s="90" t="str">
        <f>IF(ISNUMBER(SEARCH("subrecipient",AI55)),P59*0.6,"")</f>
        <v/>
      </c>
      <c r="BS59" s="90">
        <v>80870</v>
      </c>
      <c r="BT59" s="90" t="str">
        <f>BJ59</f>
        <v>1S52CS86501-25</v>
      </c>
      <c r="BU59" s="127">
        <f>BK59</f>
        <v>43508</v>
      </c>
      <c r="BV59" s="127">
        <f>BL59</f>
        <v>44239</v>
      </c>
      <c r="BW59" s="90" t="str">
        <f>H59</f>
        <v>ACF</v>
      </c>
      <c r="BX59" s="90" t="str">
        <f>IF(H59="NATIONAL HEMOPHILIA FOUNDATION","Non Federal","Federal")</f>
        <v>Federal</v>
      </c>
      <c r="BY59" s="128">
        <f>BM59</f>
        <v>841001.70000000007</v>
      </c>
      <c r="BZ59" s="90" t="str">
        <f>IF(LEN(BR59)&gt;0,1,"")</f>
        <v/>
      </c>
      <c r="CA59" s="90" t="str">
        <f>IF(LEN(BR59)&gt;0,"VIRAL HEPATITIS PROJECT","")</f>
        <v/>
      </c>
      <c r="CB59" s="129" t="str">
        <f>IF(LEN(BR59)&gt;0,BM59*0.7,"")</f>
        <v/>
      </c>
      <c r="CC59" s="90">
        <f>BP59</f>
        <v>883051.78500000015</v>
      </c>
      <c r="CD59" s="90" t="str">
        <f>IF(LEN(BR59)&gt;0,"70%","")</f>
        <v/>
      </c>
      <c r="CE59" s="90">
        <f>BS59</f>
        <v>80870</v>
      </c>
      <c r="CF59" s="90" t="str">
        <f>CA59</f>
        <v/>
      </c>
      <c r="CG59" s="90"/>
      <c r="CH59" s="90"/>
      <c r="CI59" s="90"/>
      <c r="CJ59" s="90"/>
      <c r="CK59" s="90"/>
      <c r="CL59" s="90"/>
      <c r="CM59" s="90"/>
      <c r="CN59" s="90"/>
      <c r="CO59" s="90"/>
      <c r="CP59" s="90"/>
      <c r="CQ59" s="90"/>
      <c r="CR59" s="90"/>
      <c r="CS59" s="90"/>
      <c r="CT59" s="137"/>
    </row>
    <row r="60" spans="1:98" ht="240">
      <c r="A60" s="89">
        <v>80870</v>
      </c>
      <c r="B60" s="90">
        <v>2020</v>
      </c>
      <c r="C60" s="90" t="s">
        <v>81</v>
      </c>
      <c r="D60" s="90" t="s">
        <v>309</v>
      </c>
      <c r="E60" s="125" t="s">
        <v>315</v>
      </c>
      <c r="F60" s="24" t="s">
        <v>311</v>
      </c>
      <c r="G60" s="90" t="s">
        <v>85</v>
      </c>
      <c r="H60" s="90" t="s">
        <v>150</v>
      </c>
      <c r="I60" s="90">
        <v>93</v>
      </c>
      <c r="J60" s="90">
        <v>157</v>
      </c>
      <c r="K60" s="90" t="s">
        <v>85</v>
      </c>
      <c r="L60" s="90" t="s">
        <v>312</v>
      </c>
      <c r="M60" s="90" t="s">
        <v>119</v>
      </c>
      <c r="N60" s="24" t="s">
        <v>313</v>
      </c>
      <c r="O60" s="24" t="str">
        <f>IF(ISNUMBER(SEARCH("Cancer",N60)),"Cancer",IF(ISNUMBER(SEARCH("health",N60)),"Public health",IF(ISNUMBER(SEARCH("disabilities",N60)),"Disabilities","Other")))</f>
        <v>Cancer</v>
      </c>
      <c r="P60" s="126">
        <v>764547</v>
      </c>
      <c r="Q60" s="90" t="s">
        <v>85</v>
      </c>
      <c r="R60" s="90" t="str">
        <f>IF(P60&gt;20000000,"B","A")</f>
        <v>A</v>
      </c>
      <c r="S60" s="90" t="s">
        <v>90</v>
      </c>
      <c r="T60" s="90" t="s">
        <v>119</v>
      </c>
      <c r="U60" s="90" t="s">
        <v>119</v>
      </c>
      <c r="V60" s="90" t="s">
        <v>119</v>
      </c>
      <c r="W60" s="90" t="s">
        <v>119</v>
      </c>
      <c r="X60" s="90" t="s">
        <v>119</v>
      </c>
      <c r="Y60" s="90" t="s">
        <v>119</v>
      </c>
      <c r="Z60" s="90" t="s">
        <v>119</v>
      </c>
      <c r="AA60" s="90" t="s">
        <v>119</v>
      </c>
      <c r="AB60" s="90" t="s">
        <v>119</v>
      </c>
      <c r="AC60" s="90" t="s">
        <v>119</v>
      </c>
      <c r="AD60" s="90" t="s">
        <v>119</v>
      </c>
      <c r="AE60" s="24">
        <v>0</v>
      </c>
      <c r="AF60" s="90">
        <v>0</v>
      </c>
      <c r="AG60" s="24">
        <v>0</v>
      </c>
      <c r="AH60" s="90">
        <v>86287</v>
      </c>
      <c r="AI60" s="24" t="s">
        <v>102</v>
      </c>
      <c r="AJ60" s="24" t="s">
        <v>316</v>
      </c>
      <c r="AK60" s="90" t="s">
        <v>85</v>
      </c>
      <c r="AL60" s="90">
        <v>80870</v>
      </c>
      <c r="AM60" s="90" t="s">
        <v>81</v>
      </c>
      <c r="AN60" s="90" t="s">
        <v>309</v>
      </c>
      <c r="AO60" s="125" t="s">
        <v>315</v>
      </c>
      <c r="AP60" s="24" t="s">
        <v>313</v>
      </c>
      <c r="AQ60" s="90" t="s">
        <v>312</v>
      </c>
      <c r="AR60" s="24" t="s">
        <v>313</v>
      </c>
      <c r="AS60" s="90" t="s">
        <v>119</v>
      </c>
      <c r="AT60" s="24" t="s">
        <v>102</v>
      </c>
      <c r="AU60" s="90" t="s">
        <v>119</v>
      </c>
      <c r="AV60" s="90" t="str">
        <f>IF(ISNUMBER(SEARCH("disagree",AE60)),"N","Y")</f>
        <v>Y</v>
      </c>
      <c r="AW60" s="90" t="s">
        <v>119</v>
      </c>
      <c r="AX60" s="24" t="s">
        <v>119</v>
      </c>
      <c r="AY60" s="90" t="str">
        <f>CONCATENATE(AZ60,BA60,BB60,BC60)</f>
        <v/>
      </c>
      <c r="AZ60" s="90" t="str">
        <f>IF(ISNUMBER(SEARCH("Y",AC60)),"R","")</f>
        <v/>
      </c>
      <c r="BA60" s="90" t="str">
        <f>IF(ISNUMBER(SEARCH("Y",Y60)),"M","")</f>
        <v/>
      </c>
      <c r="BB60" s="90" t="str">
        <f>IF(ISNUMBER(SEARCH("Y",AB60)),"QC","")</f>
        <v/>
      </c>
      <c r="BC60" s="90" t="str">
        <f>IF(ISNUMBER(SEARCH("Y",Z60)),"S","")</f>
        <v/>
      </c>
      <c r="BD60" s="90"/>
      <c r="BE60" s="24" t="s">
        <v>119</v>
      </c>
      <c r="BF60" s="125" t="str">
        <f>IF(AND(AW60&gt;=56543,AW60&lt;=76543,LEN(AW60)&gt;0),"3 Feb 2020",IF(AND(AW60&gt;=66544,AW60&lt;=99999,LEN(AW60)&gt;0),"12 Sep 2020",""))</f>
        <v/>
      </c>
      <c r="BG60" s="125" t="str">
        <f>IF((AND(BF60="3 Feb 2020",LEN(BF60)&gt;0)),"Completed",IF((AND(BF60="12 Sep 2020",LEN(BF60)&gt;0)),"Pending",""))</f>
        <v/>
      </c>
      <c r="BH60" s="90" t="str">
        <f>IF((AND(BF60="3 Feb 2020",LEN(BF60)&gt;0)),"3 Feb 2020","")</f>
        <v/>
      </c>
      <c r="BI60" s="90">
        <v>80870</v>
      </c>
      <c r="BJ60" s="90" t="str">
        <f>L60</f>
        <v>1S52CS86501-25</v>
      </c>
      <c r="BK60" s="127">
        <v>43508</v>
      </c>
      <c r="BL60" s="127">
        <v>44239</v>
      </c>
      <c r="BM60" s="128">
        <f>P60*1.1</f>
        <v>841001.70000000007</v>
      </c>
      <c r="BN60" s="129">
        <f>P60*0.9</f>
        <v>688092.3</v>
      </c>
      <c r="BO60" s="130">
        <f>P60*0.8</f>
        <v>611637.6</v>
      </c>
      <c r="BP60" s="90">
        <f>IF(Z60="Y",BM60*0.4,BM60*1.05)</f>
        <v>883051.78500000015</v>
      </c>
      <c r="BQ60" s="90">
        <f>BP60*0.8</f>
        <v>706441.42800000019</v>
      </c>
      <c r="BR60" s="90" t="str">
        <f>IF(ISNUMBER(SEARCH("subrecipient",AI56)),P60*0.6,"")</f>
        <v/>
      </c>
      <c r="BS60" s="90">
        <v>80870</v>
      </c>
      <c r="BT60" s="90" t="str">
        <f>BJ60</f>
        <v>1S52CS86501-25</v>
      </c>
      <c r="BU60" s="127">
        <f>BK60</f>
        <v>43508</v>
      </c>
      <c r="BV60" s="127">
        <f>BL60</f>
        <v>44239</v>
      </c>
      <c r="BW60" s="90" t="str">
        <f>H60</f>
        <v>ACF</v>
      </c>
      <c r="BX60" s="90" t="str">
        <f>IF(H60="NATIONAL HEMOPHILIA FOUNDATION","Non Federal","Federal")</f>
        <v>Federal</v>
      </c>
      <c r="BY60" s="128">
        <f>BM60</f>
        <v>841001.70000000007</v>
      </c>
      <c r="BZ60" s="90" t="str">
        <f>IF(LEN(BR60)&gt;0,1,"")</f>
        <v/>
      </c>
      <c r="CA60" s="90" t="str">
        <f>IF(LEN(BR60)&gt;0,"VIRAL HEPATITIS PROJECT","")</f>
        <v/>
      </c>
      <c r="CB60" s="129" t="str">
        <f>IF(LEN(BR60)&gt;0,BM60*0.7,"")</f>
        <v/>
      </c>
      <c r="CC60" s="90">
        <f>BP60</f>
        <v>883051.78500000015</v>
      </c>
      <c r="CD60" s="90" t="str">
        <f>IF(LEN(BR60)&gt;0,"70%","")</f>
        <v/>
      </c>
      <c r="CE60" s="90">
        <f>BS60</f>
        <v>80870</v>
      </c>
      <c r="CF60" s="90" t="str">
        <f>CA60</f>
        <v/>
      </c>
      <c r="CG60" s="90"/>
      <c r="CH60" s="90"/>
      <c r="CI60" s="90"/>
      <c r="CJ60" s="90"/>
      <c r="CK60" s="90"/>
      <c r="CL60" s="90"/>
      <c r="CM60" s="90"/>
      <c r="CN60" s="90"/>
      <c r="CO60" s="90"/>
      <c r="CP60" s="90"/>
      <c r="CQ60" s="90"/>
      <c r="CR60" s="90"/>
      <c r="CS60" s="90"/>
      <c r="CT60" s="137"/>
    </row>
    <row r="61" spans="1:98" ht="195">
      <c r="A61" s="89">
        <v>84136</v>
      </c>
      <c r="B61" s="90">
        <v>2020</v>
      </c>
      <c r="C61" s="90" t="s">
        <v>81</v>
      </c>
      <c r="D61" s="90" t="s">
        <v>317</v>
      </c>
      <c r="E61" s="125" t="s">
        <v>318</v>
      </c>
      <c r="F61" s="24" t="s">
        <v>319</v>
      </c>
      <c r="G61" s="90" t="s">
        <v>85</v>
      </c>
      <c r="H61" s="90" t="s">
        <v>86</v>
      </c>
      <c r="I61" s="90">
        <v>93</v>
      </c>
      <c r="J61" s="90">
        <v>157</v>
      </c>
      <c r="K61" s="90" t="s">
        <v>87</v>
      </c>
      <c r="L61" s="90" t="s">
        <v>320</v>
      </c>
      <c r="M61" s="90" t="s">
        <v>87</v>
      </c>
      <c r="N61" s="24" t="s">
        <v>321</v>
      </c>
      <c r="O61" s="24" t="str">
        <f>IF(ISNUMBER(SEARCH("Cancer",N61)),"Cancer",IF(ISNUMBER(SEARCH("health",N61)),"Public health",IF(ISNUMBER(SEARCH("disabilities",N61)),"Disabilities","Other")))</f>
        <v>Cancer</v>
      </c>
      <c r="P61" s="126">
        <v>802614</v>
      </c>
      <c r="Q61" s="90" t="s">
        <v>87</v>
      </c>
      <c r="R61" s="90" t="str">
        <f>IF(P61&gt;20000000,"B","A")</f>
        <v>A</v>
      </c>
      <c r="S61" s="90" t="s">
        <v>90</v>
      </c>
      <c r="T61" s="90">
        <v>2569038</v>
      </c>
      <c r="U61" s="90" t="s">
        <v>100</v>
      </c>
      <c r="V61" s="90" t="s">
        <v>322</v>
      </c>
      <c r="W61" s="90" t="s">
        <v>87</v>
      </c>
      <c r="X61" s="90" t="s">
        <v>85</v>
      </c>
      <c r="Y61" s="90" t="s">
        <v>87</v>
      </c>
      <c r="Z61" s="90" t="s">
        <v>85</v>
      </c>
      <c r="AA61" s="90" t="s">
        <v>85</v>
      </c>
      <c r="AB61" s="90" t="s">
        <v>85</v>
      </c>
      <c r="AC61" s="90" t="s">
        <v>85</v>
      </c>
      <c r="AD61" s="90">
        <v>0</v>
      </c>
      <c r="AE61" s="24" t="s">
        <v>323</v>
      </c>
      <c r="AF61" s="90" t="s">
        <v>100</v>
      </c>
      <c r="AG61" s="24" t="s">
        <v>324</v>
      </c>
      <c r="AH61" s="90">
        <v>83249</v>
      </c>
      <c r="AI61" s="24" t="s">
        <v>94</v>
      </c>
      <c r="AJ61" s="24" t="s">
        <v>325</v>
      </c>
      <c r="AK61" s="90" t="s">
        <v>87</v>
      </c>
      <c r="AL61" s="90">
        <v>84136</v>
      </c>
      <c r="AM61" s="90" t="s">
        <v>81</v>
      </c>
      <c r="AN61" s="90" t="s">
        <v>317</v>
      </c>
      <c r="AO61" s="125" t="s">
        <v>318</v>
      </c>
      <c r="AP61" s="24" t="s">
        <v>321</v>
      </c>
      <c r="AQ61" s="90" t="s">
        <v>320</v>
      </c>
      <c r="AR61" s="24" t="s">
        <v>321</v>
      </c>
      <c r="AS61" s="90">
        <v>2569038</v>
      </c>
      <c r="AT61" s="24" t="s">
        <v>94</v>
      </c>
      <c r="AU61" s="90" t="s">
        <v>322</v>
      </c>
      <c r="AV61" s="90" t="str">
        <f>IF(ISNUMBER(SEARCH("disagree",AE61)),"N","Y")</f>
        <v>Y</v>
      </c>
      <c r="AW61" s="90">
        <v>85888</v>
      </c>
      <c r="AX61" s="24" t="s">
        <v>96</v>
      </c>
      <c r="AY61" s="90" t="str">
        <f>CONCATENATE(AZ61,BA61,BB61,BC61)</f>
        <v>M</v>
      </c>
      <c r="AZ61" s="90" t="str">
        <f>IF(ISNUMBER(SEARCH("Y",AC61)),"R","")</f>
        <v/>
      </c>
      <c r="BA61" s="90" t="str">
        <f>IF(ISNUMBER(SEARCH("Y",Y61)),"M","")</f>
        <v>M</v>
      </c>
      <c r="BB61" s="90" t="str">
        <f>IF(ISNUMBER(SEARCH("Y",AB61)),"QC","")</f>
        <v/>
      </c>
      <c r="BC61" s="90" t="str">
        <f>IF(ISNUMBER(SEARCH("Y",Z61)),"S","")</f>
        <v/>
      </c>
      <c r="BD61" s="90"/>
      <c r="BE61" s="24" t="s">
        <v>97</v>
      </c>
      <c r="BF61" s="125" t="str">
        <f>IF(AND(AW61&gt;=56543,AW61&lt;=76543,LEN(AW61)&gt;0),"3 Feb 2020",IF(AND(AW61&gt;=66544,AW61&lt;=99999,LEN(AW61)&gt;0),"12 Sep 2020",""))</f>
        <v>12 Sep 2020</v>
      </c>
      <c r="BG61" s="125" t="str">
        <f>IF((AND(BF61="3 Feb 2020",LEN(BF61)&gt;0)),"Completed",IF((AND(BF61="12 Sep 2020",LEN(BF61)&gt;0)),"Pending",""))</f>
        <v>Pending</v>
      </c>
      <c r="BH61" s="90" t="str">
        <f>IF((AND(BF61="3 Feb 2020",LEN(BF61)&gt;0)),"3 Feb 2020","")</f>
        <v/>
      </c>
      <c r="BI61" s="90">
        <v>84136</v>
      </c>
      <c r="BJ61" s="90" t="str">
        <f>L61</f>
        <v>6H59IT76658-58</v>
      </c>
      <c r="BK61" s="127">
        <v>43508</v>
      </c>
      <c r="BL61" s="127">
        <v>44239</v>
      </c>
      <c r="BM61" s="128">
        <f>P61*1.1</f>
        <v>882875.4</v>
      </c>
      <c r="BN61" s="129">
        <f>P61*0.9</f>
        <v>722352.6</v>
      </c>
      <c r="BO61" s="130">
        <f>P61*0.8</f>
        <v>642091.20000000007</v>
      </c>
      <c r="BP61" s="90">
        <f>IF(Z61="Y",BM61*0.4,BM61*1.05)</f>
        <v>927019.17</v>
      </c>
      <c r="BQ61" s="90">
        <f>BP61*0.8</f>
        <v>741615.33600000013</v>
      </c>
      <c r="BR61" s="90" t="str">
        <f>IF(ISNUMBER(SEARCH("subrecipient",AI57)),P61*0.6,"")</f>
        <v/>
      </c>
      <c r="BS61" s="90">
        <v>84136</v>
      </c>
      <c r="BT61" s="90" t="str">
        <f>BJ61</f>
        <v>6H59IT76658-58</v>
      </c>
      <c r="BU61" s="127">
        <f>BK61</f>
        <v>43508</v>
      </c>
      <c r="BV61" s="127">
        <f>BL61</f>
        <v>44239</v>
      </c>
      <c r="BW61" s="90" t="str">
        <f>H61</f>
        <v>CDC</v>
      </c>
      <c r="BX61" s="90" t="str">
        <f>IF(H61="NATIONAL HEMOPHILIA FOUNDATION","Non Federal","Federal")</f>
        <v>Federal</v>
      </c>
      <c r="BY61" s="128">
        <f>BM61</f>
        <v>882875.4</v>
      </c>
      <c r="BZ61" s="90" t="str">
        <f>IF(LEN(BR61)&gt;0,1,"")</f>
        <v/>
      </c>
      <c r="CA61" s="90" t="str">
        <f>IF(LEN(BR61)&gt;0,"VIRAL HEPATITIS PROJECT","")</f>
        <v/>
      </c>
      <c r="CB61" s="129" t="str">
        <f>IF(LEN(BR61)&gt;0,BM61*0.7,"")</f>
        <v/>
      </c>
      <c r="CC61" s="90">
        <f>BP61</f>
        <v>927019.17</v>
      </c>
      <c r="CD61" s="90" t="str">
        <f>IF(LEN(BR61)&gt;0,"70%","")</f>
        <v/>
      </c>
      <c r="CE61" s="90">
        <f>BS61</f>
        <v>84136</v>
      </c>
      <c r="CF61" s="90" t="str">
        <f>CA61</f>
        <v/>
      </c>
      <c r="CG61" s="90"/>
      <c r="CH61" s="90"/>
      <c r="CI61" s="90"/>
      <c r="CJ61" s="90"/>
      <c r="CK61" s="90"/>
      <c r="CL61" s="90"/>
      <c r="CM61" s="90"/>
      <c r="CN61" s="90"/>
      <c r="CO61" s="90"/>
      <c r="CP61" s="90"/>
      <c r="CQ61" s="90"/>
      <c r="CR61" s="90"/>
      <c r="CS61" s="90"/>
      <c r="CT61" s="137"/>
    </row>
    <row r="62" spans="1:98" ht="60">
      <c r="A62" s="89">
        <v>84136</v>
      </c>
      <c r="B62" s="90">
        <v>2020</v>
      </c>
      <c r="C62" s="90" t="s">
        <v>81</v>
      </c>
      <c r="D62" s="90" t="s">
        <v>317</v>
      </c>
      <c r="E62" s="125" t="s">
        <v>326</v>
      </c>
      <c r="F62" s="24" t="s">
        <v>319</v>
      </c>
      <c r="G62" s="90" t="s">
        <v>85</v>
      </c>
      <c r="H62" s="90" t="s">
        <v>86</v>
      </c>
      <c r="I62" s="90">
        <v>93</v>
      </c>
      <c r="J62" s="90">
        <v>157</v>
      </c>
      <c r="K62" s="90" t="s">
        <v>85</v>
      </c>
      <c r="L62" s="90" t="s">
        <v>320</v>
      </c>
      <c r="M62" s="90" t="s">
        <v>87</v>
      </c>
      <c r="N62" s="24" t="s">
        <v>321</v>
      </c>
      <c r="O62" s="24" t="str">
        <f>IF(ISNUMBER(SEARCH("Cancer",N62)),"Cancer",IF(ISNUMBER(SEARCH("health",N62)),"Public health",IF(ISNUMBER(SEARCH("disabilities",N62)),"Disabilities","Other")))</f>
        <v>Cancer</v>
      </c>
      <c r="P62" s="126">
        <v>802614</v>
      </c>
      <c r="Q62" s="90" t="s">
        <v>85</v>
      </c>
      <c r="R62" s="90" t="str">
        <f>IF(P62&gt;20000000,"B","A")</f>
        <v>A</v>
      </c>
      <c r="S62" s="90" t="s">
        <v>90</v>
      </c>
      <c r="T62" s="90">
        <v>2569038</v>
      </c>
      <c r="U62" s="90" t="s">
        <v>100</v>
      </c>
      <c r="V62" s="90" t="s">
        <v>322</v>
      </c>
      <c r="W62" s="90" t="s">
        <v>87</v>
      </c>
      <c r="X62" s="90" t="s">
        <v>85</v>
      </c>
      <c r="Y62" s="90" t="s">
        <v>87</v>
      </c>
      <c r="Z62" s="90" t="s">
        <v>85</v>
      </c>
      <c r="AA62" s="90" t="s">
        <v>85</v>
      </c>
      <c r="AB62" s="90" t="s">
        <v>85</v>
      </c>
      <c r="AC62" s="90" t="s">
        <v>85</v>
      </c>
      <c r="AD62" s="90">
        <v>0</v>
      </c>
      <c r="AE62" s="24">
        <v>0</v>
      </c>
      <c r="AF62" s="90">
        <v>0</v>
      </c>
      <c r="AG62" s="24">
        <v>0</v>
      </c>
      <c r="AH62" s="90">
        <v>83250</v>
      </c>
      <c r="AI62" s="24" t="s">
        <v>102</v>
      </c>
      <c r="AJ62" s="24" t="s">
        <v>103</v>
      </c>
      <c r="AK62" s="90" t="s">
        <v>85</v>
      </c>
      <c r="AL62" s="90">
        <v>84136</v>
      </c>
      <c r="AM62" s="90" t="s">
        <v>81</v>
      </c>
      <c r="AN62" s="90" t="s">
        <v>317</v>
      </c>
      <c r="AO62" s="125" t="s">
        <v>326</v>
      </c>
      <c r="AP62" s="24" t="s">
        <v>321</v>
      </c>
      <c r="AQ62" s="90" t="s">
        <v>320</v>
      </c>
      <c r="AR62" s="24" t="s">
        <v>321</v>
      </c>
      <c r="AS62" s="90">
        <v>2569038</v>
      </c>
      <c r="AT62" s="24" t="s">
        <v>102</v>
      </c>
      <c r="AU62" s="90" t="s">
        <v>322</v>
      </c>
      <c r="AV62" s="90" t="str">
        <f>IF(ISNUMBER(SEARCH("disagree",AE62)),"N","Y")</f>
        <v>Y</v>
      </c>
      <c r="AW62" s="90">
        <v>73781</v>
      </c>
      <c r="AX62" s="24" t="s">
        <v>104</v>
      </c>
      <c r="AY62" s="90" t="str">
        <f>CONCATENATE(AZ62,BA62,BB62,BC62)</f>
        <v>M</v>
      </c>
      <c r="AZ62" s="90" t="str">
        <f>IF(ISNUMBER(SEARCH("Y",AC62)),"R","")</f>
        <v/>
      </c>
      <c r="BA62" s="90" t="str">
        <f>IF(ISNUMBER(SEARCH("Y",Y62)),"M","")</f>
        <v>M</v>
      </c>
      <c r="BB62" s="90" t="str">
        <f>IF(ISNUMBER(SEARCH("Y",AB62)),"QC","")</f>
        <v/>
      </c>
      <c r="BC62" s="90" t="str">
        <f>IF(ISNUMBER(SEARCH("Y",Z62)),"S","")</f>
        <v/>
      </c>
      <c r="BD62" s="90"/>
      <c r="BE62" s="24" t="s">
        <v>327</v>
      </c>
      <c r="BF62" s="125" t="str">
        <f>IF(AND(AW62&gt;=56543,AW62&lt;=76543,LEN(AW62)&gt;0),"3 Feb 2020",IF(AND(AW62&gt;=66544,AW62&lt;=99999,LEN(AW62)&gt;0),"12 Sep 2020",""))</f>
        <v>3 Feb 2020</v>
      </c>
      <c r="BG62" s="125" t="s">
        <v>328</v>
      </c>
      <c r="BH62" s="90"/>
      <c r="BI62" s="90">
        <v>84136</v>
      </c>
      <c r="BJ62" s="90" t="str">
        <f>L62</f>
        <v>6H59IT76658-58</v>
      </c>
      <c r="BK62" s="127">
        <v>43508</v>
      </c>
      <c r="BL62" s="127">
        <v>44239</v>
      </c>
      <c r="BM62" s="128">
        <f>P62*1.1</f>
        <v>882875.4</v>
      </c>
      <c r="BN62" s="129">
        <f>P62*0.9</f>
        <v>722352.6</v>
      </c>
      <c r="BO62" s="130">
        <f>P62*0.8</f>
        <v>642091.20000000007</v>
      </c>
      <c r="BP62" s="90">
        <f>IF(Z62="Y",BM62*0.4,BM62*1.05)</f>
        <v>927019.17</v>
      </c>
      <c r="BQ62" s="90">
        <f>BP62*0.8</f>
        <v>741615.33600000013</v>
      </c>
      <c r="BR62" s="90" t="str">
        <f>IF(ISNUMBER(SEARCH("subrecipient",AI58)),P62*0.6,"")</f>
        <v/>
      </c>
      <c r="BS62" s="90">
        <v>84136</v>
      </c>
      <c r="BT62" s="90" t="str">
        <f>BJ62</f>
        <v>6H59IT76658-58</v>
      </c>
      <c r="BU62" s="127">
        <f>BK62</f>
        <v>43508</v>
      </c>
      <c r="BV62" s="127">
        <f>BL62</f>
        <v>44239</v>
      </c>
      <c r="BW62" s="90" t="str">
        <f>H62</f>
        <v>CDC</v>
      </c>
      <c r="BX62" s="90" t="str">
        <f>IF(H62="NATIONAL HEMOPHILIA FOUNDATION","Non Federal","Federal")</f>
        <v>Federal</v>
      </c>
      <c r="BY62" s="128">
        <f>BM62</f>
        <v>882875.4</v>
      </c>
      <c r="BZ62" s="90" t="str">
        <f>IF(LEN(BR62)&gt;0,1,"")</f>
        <v/>
      </c>
      <c r="CA62" s="90" t="str">
        <f>IF(LEN(BR62)&gt;0,"VIRAL HEPATITIS PROJECT","")</f>
        <v/>
      </c>
      <c r="CB62" s="129" t="str">
        <f>IF(LEN(BR62)&gt;0,BM62*0.7,"")</f>
        <v/>
      </c>
      <c r="CC62" s="90">
        <f>BP62</f>
        <v>927019.17</v>
      </c>
      <c r="CD62" s="90" t="str">
        <f>IF(LEN(BR62)&gt;0,"70%","")</f>
        <v/>
      </c>
      <c r="CE62" s="90">
        <f>BS62</f>
        <v>84136</v>
      </c>
      <c r="CF62" s="90" t="str">
        <f>CA62</f>
        <v/>
      </c>
      <c r="CG62" s="90"/>
      <c r="CH62" s="90"/>
      <c r="CI62" s="90"/>
      <c r="CJ62" s="90"/>
      <c r="CK62" s="90"/>
      <c r="CL62" s="90"/>
      <c r="CM62" s="90"/>
      <c r="CN62" s="90"/>
      <c r="CO62" s="90"/>
      <c r="CP62" s="90"/>
      <c r="CQ62" s="90"/>
      <c r="CR62" s="90"/>
      <c r="CS62" s="90"/>
      <c r="CT62" s="137"/>
    </row>
    <row r="63" spans="1:98" ht="195">
      <c r="A63" s="89">
        <v>85330</v>
      </c>
      <c r="B63" s="90">
        <v>2020</v>
      </c>
      <c r="C63" s="90" t="s">
        <v>283</v>
      </c>
      <c r="D63" s="90" t="s">
        <v>329</v>
      </c>
      <c r="E63" s="125" t="s">
        <v>330</v>
      </c>
      <c r="F63" s="24" t="s">
        <v>331</v>
      </c>
      <c r="G63" s="90" t="s">
        <v>85</v>
      </c>
      <c r="H63" s="90" t="s">
        <v>117</v>
      </c>
      <c r="I63" s="90">
        <v>93</v>
      </c>
      <c r="J63" s="90">
        <v>157</v>
      </c>
      <c r="K63" s="90" t="s">
        <v>85</v>
      </c>
      <c r="L63" s="90" t="s">
        <v>332</v>
      </c>
      <c r="M63" s="90" t="s">
        <v>119</v>
      </c>
      <c r="N63" s="24" t="s">
        <v>333</v>
      </c>
      <c r="O63" s="24" t="str">
        <f>IF(ISNUMBER(SEARCH("Cancer",N63)),"Cancer",IF(ISNUMBER(SEARCH("health",N63)),"Public health",IF(ISNUMBER(SEARCH("disabilities",N63)),"Disabilities","Other")))</f>
        <v>Public health</v>
      </c>
      <c r="P63" s="126">
        <v>786926</v>
      </c>
      <c r="Q63" s="90" t="s">
        <v>85</v>
      </c>
      <c r="R63" s="90" t="str">
        <f>IF(P63&gt;20000000,"B","A")</f>
        <v>A</v>
      </c>
      <c r="S63" s="90" t="s">
        <v>90</v>
      </c>
      <c r="T63" s="90" t="s">
        <v>119</v>
      </c>
      <c r="U63" s="90" t="s">
        <v>119</v>
      </c>
      <c r="V63" s="90" t="s">
        <v>119</v>
      </c>
      <c r="W63" s="90" t="s">
        <v>119</v>
      </c>
      <c r="X63" s="90" t="s">
        <v>119</v>
      </c>
      <c r="Y63" s="90" t="s">
        <v>119</v>
      </c>
      <c r="Z63" s="90" t="s">
        <v>119</v>
      </c>
      <c r="AA63" s="90" t="s">
        <v>119</v>
      </c>
      <c r="AB63" s="90" t="s">
        <v>119</v>
      </c>
      <c r="AC63" s="90" t="s">
        <v>119</v>
      </c>
      <c r="AD63" s="90" t="s">
        <v>119</v>
      </c>
      <c r="AE63" s="24">
        <v>0</v>
      </c>
      <c r="AF63" s="90">
        <v>0</v>
      </c>
      <c r="AG63" s="24">
        <v>0</v>
      </c>
      <c r="AH63" s="90">
        <v>82253</v>
      </c>
      <c r="AI63" s="24" t="s">
        <v>94</v>
      </c>
      <c r="AJ63" s="24" t="s">
        <v>334</v>
      </c>
      <c r="AK63" s="90" t="s">
        <v>85</v>
      </c>
      <c r="AL63" s="90">
        <v>85330</v>
      </c>
      <c r="AM63" s="90" t="s">
        <v>283</v>
      </c>
      <c r="AN63" s="90" t="s">
        <v>329</v>
      </c>
      <c r="AO63" s="125" t="s">
        <v>330</v>
      </c>
      <c r="AP63" s="24" t="s">
        <v>333</v>
      </c>
      <c r="AQ63" s="90" t="s">
        <v>332</v>
      </c>
      <c r="AR63" s="24" t="s">
        <v>333</v>
      </c>
      <c r="AS63" s="90" t="s">
        <v>119</v>
      </c>
      <c r="AT63" s="24" t="s">
        <v>94</v>
      </c>
      <c r="AU63" s="90" t="s">
        <v>119</v>
      </c>
      <c r="AV63" s="90" t="str">
        <f>IF(ISNUMBER(SEARCH("disagree",AE63)),"N","Y")</f>
        <v>Y</v>
      </c>
      <c r="AW63" s="90" t="s">
        <v>119</v>
      </c>
      <c r="AX63" s="24" t="s">
        <v>119</v>
      </c>
      <c r="AY63" s="90" t="str">
        <f>CONCATENATE(AZ63,BA63,BB63,BC63)</f>
        <v/>
      </c>
      <c r="AZ63" s="90" t="str">
        <f>IF(ISNUMBER(SEARCH("Y",AC63)),"R","")</f>
        <v/>
      </c>
      <c r="BA63" s="90" t="str">
        <f>IF(ISNUMBER(SEARCH("Y",Y63)),"M","")</f>
        <v/>
      </c>
      <c r="BB63" s="90" t="str">
        <f>IF(ISNUMBER(SEARCH("Y",AB63)),"QC","")</f>
        <v/>
      </c>
      <c r="BC63" s="90" t="str">
        <f>IF(ISNUMBER(SEARCH("Y",Z63)),"S","")</f>
        <v/>
      </c>
      <c r="BD63" s="90"/>
      <c r="BE63" s="24" t="s">
        <v>119</v>
      </c>
      <c r="BF63" s="125" t="str">
        <f>IF(AND(AW63&gt;=56543,AW63&lt;=76543,LEN(AW63)&gt;0),"3 Feb 2020",IF(AND(AW63&gt;=66544,AW63&lt;=99999,LEN(AW63)&gt;0),"12 Sep 2020",""))</f>
        <v/>
      </c>
      <c r="BG63" s="125" t="str">
        <f>IF((AND(BF63="3 Feb 2020",LEN(BF63)&gt;0)),"Completed",IF((AND(BF63="12 Sep 2020",LEN(BF63)&gt;0)),"Pending",""))</f>
        <v/>
      </c>
      <c r="BH63" s="90" t="str">
        <f>IF((AND(BF63="3 Feb 2020",LEN(BF63)&gt;0)),"3 Feb 2020","")</f>
        <v/>
      </c>
      <c r="BI63" s="90">
        <v>85330</v>
      </c>
      <c r="BJ63" s="90" t="str">
        <f>L63</f>
        <v>4S28GS77761-51</v>
      </c>
      <c r="BK63" s="127">
        <v>43508</v>
      </c>
      <c r="BL63" s="127">
        <v>44239</v>
      </c>
      <c r="BM63" s="128">
        <f>P63*1.1</f>
        <v>865618.60000000009</v>
      </c>
      <c r="BN63" s="129">
        <f>P63*0.9</f>
        <v>708233.4</v>
      </c>
      <c r="BO63" s="130">
        <f>P63*0.8</f>
        <v>629540.80000000005</v>
      </c>
      <c r="BP63" s="90">
        <f>IF(Z63="Y",BM63*0.4,BM63*1.05)</f>
        <v>908899.53000000014</v>
      </c>
      <c r="BQ63" s="90">
        <f>BP63*0.8</f>
        <v>727119.62400000019</v>
      </c>
      <c r="BR63" s="90" t="str">
        <f>IF(ISNUMBER(SEARCH("subrecipient",AI59)),P63*0.6,"")</f>
        <v/>
      </c>
      <c r="BS63" s="90">
        <v>85330</v>
      </c>
      <c r="BT63" s="90" t="str">
        <f>BJ63</f>
        <v>4S28GS77761-51</v>
      </c>
      <c r="BU63" s="127">
        <f>BK63</f>
        <v>43508</v>
      </c>
      <c r="BV63" s="127">
        <f>BL63</f>
        <v>44239</v>
      </c>
      <c r="BW63" s="90" t="str">
        <f>H63</f>
        <v>NIH</v>
      </c>
      <c r="BX63" s="90" t="str">
        <f>IF(H63="NATIONAL HEMOPHILIA FOUNDATION","Non Federal","Federal")</f>
        <v>Federal</v>
      </c>
      <c r="BY63" s="128">
        <f>BM63</f>
        <v>865618.60000000009</v>
      </c>
      <c r="BZ63" s="90" t="str">
        <f>IF(LEN(BR63)&gt;0,1,"")</f>
        <v/>
      </c>
      <c r="CA63" s="90" t="str">
        <f>IF(LEN(BR63)&gt;0,"VIRAL HEPATITIS PROJECT","")</f>
        <v/>
      </c>
      <c r="CB63" s="129" t="str">
        <f>IF(LEN(BR63)&gt;0,BM63*0.7,"")</f>
        <v/>
      </c>
      <c r="CC63" s="90">
        <f>BP63</f>
        <v>908899.53000000014</v>
      </c>
      <c r="CD63" s="90" t="str">
        <f>IF(LEN(BR63)&gt;0,"70%","")</f>
        <v/>
      </c>
      <c r="CE63" s="90">
        <f>BS63</f>
        <v>85330</v>
      </c>
      <c r="CF63" s="90" t="str">
        <f>CA63</f>
        <v/>
      </c>
      <c r="CG63" s="90"/>
      <c r="CH63" s="90"/>
      <c r="CI63" s="90"/>
      <c r="CJ63" s="90"/>
      <c r="CK63" s="90"/>
      <c r="CL63" s="90"/>
      <c r="CM63" s="90"/>
      <c r="CN63" s="90"/>
      <c r="CO63" s="90"/>
      <c r="CP63" s="90"/>
      <c r="CQ63" s="90"/>
      <c r="CR63" s="90"/>
      <c r="CS63" s="90"/>
      <c r="CT63" s="137"/>
    </row>
    <row r="64" spans="1:98" ht="45">
      <c r="A64" s="89">
        <v>85330</v>
      </c>
      <c r="B64" s="90">
        <v>2020</v>
      </c>
      <c r="C64" s="90" t="s">
        <v>283</v>
      </c>
      <c r="D64" s="90" t="s">
        <v>329</v>
      </c>
      <c r="E64" s="125" t="s">
        <v>335</v>
      </c>
      <c r="F64" s="24" t="s">
        <v>331</v>
      </c>
      <c r="G64" s="90" t="s">
        <v>85</v>
      </c>
      <c r="H64" s="90" t="s">
        <v>117</v>
      </c>
      <c r="I64" s="90">
        <v>93</v>
      </c>
      <c r="J64" s="90">
        <v>157</v>
      </c>
      <c r="K64" s="90" t="s">
        <v>85</v>
      </c>
      <c r="L64" s="90" t="s">
        <v>332</v>
      </c>
      <c r="M64" s="90" t="s">
        <v>119</v>
      </c>
      <c r="N64" s="24" t="s">
        <v>333</v>
      </c>
      <c r="O64" s="24" t="str">
        <f>IF(ISNUMBER(SEARCH("Cancer",N64)),"Cancer",IF(ISNUMBER(SEARCH("health",N64)),"Public health",IF(ISNUMBER(SEARCH("disabilities",N64)),"Disabilities","Other")))</f>
        <v>Public health</v>
      </c>
      <c r="P64" s="126">
        <v>786926</v>
      </c>
      <c r="Q64" s="90" t="s">
        <v>85</v>
      </c>
      <c r="R64" s="90" t="str">
        <f>IF(P64&gt;20000000,"B","A")</f>
        <v>A</v>
      </c>
      <c r="S64" s="90" t="s">
        <v>90</v>
      </c>
      <c r="T64" s="90" t="s">
        <v>119</v>
      </c>
      <c r="U64" s="90" t="s">
        <v>119</v>
      </c>
      <c r="V64" s="90" t="s">
        <v>119</v>
      </c>
      <c r="W64" s="90" t="s">
        <v>119</v>
      </c>
      <c r="X64" s="90" t="s">
        <v>119</v>
      </c>
      <c r="Y64" s="90" t="s">
        <v>119</v>
      </c>
      <c r="Z64" s="90" t="s">
        <v>119</v>
      </c>
      <c r="AA64" s="90" t="s">
        <v>119</v>
      </c>
      <c r="AB64" s="90" t="s">
        <v>119</v>
      </c>
      <c r="AC64" s="90" t="s">
        <v>119</v>
      </c>
      <c r="AD64" s="90" t="s">
        <v>119</v>
      </c>
      <c r="AE64" s="24">
        <v>0</v>
      </c>
      <c r="AF64" s="90">
        <v>0</v>
      </c>
      <c r="AG64" s="24">
        <v>0</v>
      </c>
      <c r="AH64" s="90">
        <v>82254</v>
      </c>
      <c r="AI64" s="24" t="s">
        <v>102</v>
      </c>
      <c r="AJ64" s="24" t="s">
        <v>103</v>
      </c>
      <c r="AK64" s="90" t="s">
        <v>85</v>
      </c>
      <c r="AL64" s="90">
        <v>85330</v>
      </c>
      <c r="AM64" s="90" t="s">
        <v>283</v>
      </c>
      <c r="AN64" s="90" t="s">
        <v>329</v>
      </c>
      <c r="AO64" s="125" t="s">
        <v>335</v>
      </c>
      <c r="AP64" s="24" t="s">
        <v>333</v>
      </c>
      <c r="AQ64" s="90" t="s">
        <v>332</v>
      </c>
      <c r="AR64" s="24" t="s">
        <v>333</v>
      </c>
      <c r="AS64" s="90" t="s">
        <v>119</v>
      </c>
      <c r="AT64" s="24" t="s">
        <v>102</v>
      </c>
      <c r="AU64" s="90" t="s">
        <v>119</v>
      </c>
      <c r="AV64" s="90" t="str">
        <f>IF(ISNUMBER(SEARCH("disagree",AE64)),"N","Y")</f>
        <v>Y</v>
      </c>
      <c r="AW64" s="90" t="s">
        <v>119</v>
      </c>
      <c r="AX64" s="24" t="s">
        <v>119</v>
      </c>
      <c r="AY64" s="90" t="str">
        <f>CONCATENATE(AZ64,BA64,BB64,BC64)</f>
        <v/>
      </c>
      <c r="AZ64" s="90" t="str">
        <f>IF(ISNUMBER(SEARCH("Y",AC64)),"R","")</f>
        <v/>
      </c>
      <c r="BA64" s="90" t="str">
        <f>IF(ISNUMBER(SEARCH("Y",Y64)),"M","")</f>
        <v/>
      </c>
      <c r="BB64" s="90" t="str">
        <f>IF(ISNUMBER(SEARCH("Y",AB64)),"QC","")</f>
        <v/>
      </c>
      <c r="BC64" s="90" t="str">
        <f>IF(ISNUMBER(SEARCH("Y",Z64)),"S","")</f>
        <v/>
      </c>
      <c r="BD64" s="90"/>
      <c r="BE64" s="24" t="s">
        <v>119</v>
      </c>
      <c r="BF64" s="125" t="str">
        <f>IF(AND(AW64&gt;=56543,AW64&lt;=76543,LEN(AW64)&gt;0),"3 Feb 2020",IF(AND(AW64&gt;=66544,AW64&lt;=99999,LEN(AW64)&gt;0),"12 Sep 2020",""))</f>
        <v/>
      </c>
      <c r="BG64" s="125" t="str">
        <f>IF((AND(BF64="3 Feb 2020",LEN(BF64)&gt;0)),"Completed",IF((AND(BF64="12 Sep 2020",LEN(BF64)&gt;0)),"Pending",""))</f>
        <v/>
      </c>
      <c r="BH64" s="90" t="str">
        <f>IF((AND(BF64="3 Feb 2020",LEN(BF64)&gt;0)),"3 Feb 2020","")</f>
        <v/>
      </c>
      <c r="BI64" s="90">
        <v>85330</v>
      </c>
      <c r="BJ64" s="90" t="str">
        <f>L64</f>
        <v>4S28GS77761-51</v>
      </c>
      <c r="BK64" s="127">
        <v>43508</v>
      </c>
      <c r="BL64" s="127">
        <v>44239</v>
      </c>
      <c r="BM64" s="128">
        <f>P64*1.1</f>
        <v>865618.60000000009</v>
      </c>
      <c r="BN64" s="129">
        <f>P64*0.9</f>
        <v>708233.4</v>
      </c>
      <c r="BO64" s="130">
        <f>P64*0.8</f>
        <v>629540.80000000005</v>
      </c>
      <c r="BP64" s="90">
        <f>IF(Z64="Y",BM64*0.4,BM64*1.05)</f>
        <v>908899.53000000014</v>
      </c>
      <c r="BQ64" s="90">
        <f>BP64*0.8</f>
        <v>727119.62400000019</v>
      </c>
      <c r="BR64" s="90" t="str">
        <f>IF(ISNUMBER(SEARCH("subrecipient",AI60)),P64*0.6,"")</f>
        <v/>
      </c>
      <c r="BS64" s="90">
        <v>85330</v>
      </c>
      <c r="BT64" s="90" t="str">
        <f>BJ64</f>
        <v>4S28GS77761-51</v>
      </c>
      <c r="BU64" s="127">
        <f>BK64</f>
        <v>43508</v>
      </c>
      <c r="BV64" s="127">
        <f>BL64</f>
        <v>44239</v>
      </c>
      <c r="BW64" s="90" t="str">
        <f>H64</f>
        <v>NIH</v>
      </c>
      <c r="BX64" s="90" t="str">
        <f>IF(H64="NATIONAL HEMOPHILIA FOUNDATION","Non Federal","Federal")</f>
        <v>Federal</v>
      </c>
      <c r="BY64" s="128">
        <f>BM64</f>
        <v>865618.60000000009</v>
      </c>
      <c r="BZ64" s="90" t="str">
        <f>IF(LEN(BR64)&gt;0,1,"")</f>
        <v/>
      </c>
      <c r="CA64" s="90" t="str">
        <f>IF(LEN(BR64)&gt;0,"VIRAL HEPATITIS PROJECT","")</f>
        <v/>
      </c>
      <c r="CB64" s="129" t="str">
        <f>IF(LEN(BR64)&gt;0,BM64*0.7,"")</f>
        <v/>
      </c>
      <c r="CC64" s="90">
        <f>BP64</f>
        <v>908899.53000000014</v>
      </c>
      <c r="CD64" s="90" t="str">
        <f>IF(LEN(BR64)&gt;0,"70%","")</f>
        <v/>
      </c>
      <c r="CE64" s="90">
        <f>BS64</f>
        <v>85330</v>
      </c>
      <c r="CF64" s="90" t="str">
        <f>CA64</f>
        <v/>
      </c>
      <c r="CG64" s="90"/>
      <c r="CH64" s="90"/>
      <c r="CI64" s="90"/>
      <c r="CJ64" s="90"/>
      <c r="CK64" s="90"/>
      <c r="CL64" s="90"/>
      <c r="CM64" s="90"/>
      <c r="CN64" s="90"/>
      <c r="CO64" s="90"/>
      <c r="CP64" s="90"/>
      <c r="CQ64" s="90"/>
      <c r="CR64" s="90"/>
      <c r="CS64" s="90"/>
      <c r="CT64" s="137"/>
    </row>
    <row r="65" spans="1:98" ht="105">
      <c r="A65" s="89">
        <v>85490</v>
      </c>
      <c r="B65" s="90">
        <v>2020</v>
      </c>
      <c r="C65" s="90" t="s">
        <v>81</v>
      </c>
      <c r="D65" s="90" t="s">
        <v>336</v>
      </c>
      <c r="E65" s="125" t="s">
        <v>337</v>
      </c>
      <c r="F65" s="24" t="s">
        <v>338</v>
      </c>
      <c r="G65" s="90" t="s">
        <v>85</v>
      </c>
      <c r="H65" s="90" t="s">
        <v>132</v>
      </c>
      <c r="I65" s="90">
        <v>93</v>
      </c>
      <c r="J65" s="90">
        <v>157</v>
      </c>
      <c r="K65" s="90" t="s">
        <v>85</v>
      </c>
      <c r="L65" s="90" t="s">
        <v>339</v>
      </c>
      <c r="M65" s="90" t="s">
        <v>119</v>
      </c>
      <c r="N65" s="24" t="s">
        <v>340</v>
      </c>
      <c r="O65" s="24" t="str">
        <f>IF(ISNUMBER(SEARCH("Cancer",N65)),"Cancer",IF(ISNUMBER(SEARCH("health",N65)),"Public health",IF(ISNUMBER(SEARCH("disabilities",N65)),"Disabilities","Other")))</f>
        <v>Other</v>
      </c>
      <c r="P65" s="126">
        <v>898965</v>
      </c>
      <c r="Q65" s="90" t="s">
        <v>85</v>
      </c>
      <c r="R65" s="90" t="str">
        <f>IF(P65&gt;20000000,"B","A")</f>
        <v>A</v>
      </c>
      <c r="S65" s="90" t="s">
        <v>90</v>
      </c>
      <c r="T65" s="90" t="s">
        <v>119</v>
      </c>
      <c r="U65" s="90" t="s">
        <v>119</v>
      </c>
      <c r="V65" s="90" t="s">
        <v>119</v>
      </c>
      <c r="W65" s="90" t="s">
        <v>119</v>
      </c>
      <c r="X65" s="90" t="s">
        <v>119</v>
      </c>
      <c r="Y65" s="90" t="s">
        <v>119</v>
      </c>
      <c r="Z65" s="90" t="s">
        <v>119</v>
      </c>
      <c r="AA65" s="90" t="s">
        <v>119</v>
      </c>
      <c r="AB65" s="90" t="s">
        <v>119</v>
      </c>
      <c r="AC65" s="90" t="s">
        <v>119</v>
      </c>
      <c r="AD65" s="90" t="s">
        <v>119</v>
      </c>
      <c r="AE65" s="24">
        <v>0</v>
      </c>
      <c r="AF65" s="90">
        <v>0</v>
      </c>
      <c r="AG65" s="24">
        <v>0</v>
      </c>
      <c r="AH65" s="90">
        <v>86001</v>
      </c>
      <c r="AI65" s="24" t="s">
        <v>94</v>
      </c>
      <c r="AJ65" s="24" t="s">
        <v>341</v>
      </c>
      <c r="AK65" s="90" t="s">
        <v>85</v>
      </c>
      <c r="AL65" s="90">
        <v>85490</v>
      </c>
      <c r="AM65" s="90" t="s">
        <v>81</v>
      </c>
      <c r="AN65" s="90" t="s">
        <v>336</v>
      </c>
      <c r="AO65" s="125" t="s">
        <v>337</v>
      </c>
      <c r="AP65" s="24" t="s">
        <v>340</v>
      </c>
      <c r="AQ65" s="90" t="s">
        <v>339</v>
      </c>
      <c r="AR65" s="24" t="s">
        <v>340</v>
      </c>
      <c r="AS65" s="90" t="s">
        <v>119</v>
      </c>
      <c r="AT65" s="24" t="s">
        <v>94</v>
      </c>
      <c r="AU65" s="90" t="s">
        <v>119</v>
      </c>
      <c r="AV65" s="90" t="str">
        <f>IF(ISNUMBER(SEARCH("disagree",AE65)),"N","Y")</f>
        <v>Y</v>
      </c>
      <c r="AW65" s="90" t="s">
        <v>119</v>
      </c>
      <c r="AX65" s="24" t="s">
        <v>119</v>
      </c>
      <c r="AY65" s="90" t="str">
        <f>CONCATENATE(AZ65,BA65,BB65,BC65)</f>
        <v/>
      </c>
      <c r="AZ65" s="90" t="str">
        <f>IF(ISNUMBER(SEARCH("Y",AC65)),"R","")</f>
        <v/>
      </c>
      <c r="BA65" s="90" t="str">
        <f>IF(ISNUMBER(SEARCH("Y",Y65)),"M","")</f>
        <v/>
      </c>
      <c r="BB65" s="90" t="str">
        <f>IF(ISNUMBER(SEARCH("Y",AB65)),"QC","")</f>
        <v/>
      </c>
      <c r="BC65" s="90" t="str">
        <f>IF(ISNUMBER(SEARCH("Y",Z65)),"S","")</f>
        <v/>
      </c>
      <c r="BD65" s="90"/>
      <c r="BE65" s="24" t="s">
        <v>119</v>
      </c>
      <c r="BF65" s="125" t="str">
        <f>IF(AND(AW65&gt;=56543,AW65&lt;=76543,LEN(AW65)&gt;0),"3 Feb 2020",IF(AND(AW65&gt;=66544,AW65&lt;=99999,LEN(AW65)&gt;0),"12 Sep 2020",""))</f>
        <v/>
      </c>
      <c r="BG65" s="125" t="str">
        <f>IF((AND(BF65="3 Feb 2020",LEN(BF65)&gt;0)),"Completed",IF((AND(BF65="12 Sep 2020",LEN(BF65)&gt;0)),"Pending",""))</f>
        <v/>
      </c>
      <c r="BH65" s="90" t="str">
        <f>IF((AND(BF65="3 Feb 2020",LEN(BF65)&gt;0)),"3 Feb 2020","")</f>
        <v/>
      </c>
      <c r="BI65" s="90">
        <v>85490</v>
      </c>
      <c r="BJ65" s="90" t="str">
        <f>L65</f>
        <v>4S28GS77761-63</v>
      </c>
      <c r="BK65" s="127">
        <v>43508</v>
      </c>
      <c r="BL65" s="127">
        <v>44239</v>
      </c>
      <c r="BM65" s="128">
        <f>P65*1.1</f>
        <v>988861.50000000012</v>
      </c>
      <c r="BN65" s="129">
        <f>P65*0.9</f>
        <v>809068.5</v>
      </c>
      <c r="BO65" s="130">
        <f>P65*0.8</f>
        <v>719172</v>
      </c>
      <c r="BP65" s="90">
        <f>IF(Z65="Y",BM65*0.4,BM65*1.05)</f>
        <v>1038304.5750000002</v>
      </c>
      <c r="BQ65" s="90">
        <f>BP65*0.8</f>
        <v>830643.66000000015</v>
      </c>
      <c r="BR65" s="90" t="str">
        <f>IF(ISNUMBER(SEARCH("subrecipient",AI61)),P65*0.6,"")</f>
        <v/>
      </c>
      <c r="BS65" s="90">
        <v>85490</v>
      </c>
      <c r="BT65" s="90" t="str">
        <f>BJ65</f>
        <v>4S28GS77761-63</v>
      </c>
      <c r="BU65" s="127">
        <f>BK65</f>
        <v>43508</v>
      </c>
      <c r="BV65" s="127">
        <f>BL65</f>
        <v>44239</v>
      </c>
      <c r="BW65" s="90" t="str">
        <f>H65</f>
        <v>FDA</v>
      </c>
      <c r="BX65" s="90" t="str">
        <f>IF(H65="NATIONAL HEMOPHILIA FOUNDATION","Non Federal","Federal")</f>
        <v>Federal</v>
      </c>
      <c r="BY65" s="128">
        <f>BM65</f>
        <v>988861.50000000012</v>
      </c>
      <c r="BZ65" s="90" t="str">
        <f>IF(LEN(BR65)&gt;0,1,"")</f>
        <v/>
      </c>
      <c r="CA65" s="90" t="str">
        <f>IF(LEN(BR65)&gt;0,"VIRAL HEPATITIS PROJECT","")</f>
        <v/>
      </c>
      <c r="CB65" s="129" t="str">
        <f>IF(LEN(BR65)&gt;0,BM65*0.7,"")</f>
        <v/>
      </c>
      <c r="CC65" s="90">
        <f>BP65</f>
        <v>1038304.5750000002</v>
      </c>
      <c r="CD65" s="90" t="str">
        <f>IF(LEN(BR65)&gt;0,"70%","")</f>
        <v/>
      </c>
      <c r="CE65" s="90">
        <f>BS65</f>
        <v>85490</v>
      </c>
      <c r="CF65" s="90" t="str">
        <f>CA65</f>
        <v/>
      </c>
      <c r="CG65" s="90"/>
      <c r="CH65" s="90"/>
      <c r="CI65" s="90"/>
      <c r="CJ65" s="90"/>
      <c r="CK65" s="90"/>
      <c r="CL65" s="90"/>
      <c r="CM65" s="90"/>
      <c r="CN65" s="90"/>
      <c r="CO65" s="90"/>
      <c r="CP65" s="90"/>
      <c r="CQ65" s="90"/>
      <c r="CR65" s="90"/>
      <c r="CS65" s="90"/>
      <c r="CT65" s="137"/>
    </row>
    <row r="66" spans="1:98" ht="105">
      <c r="A66" s="89">
        <v>85490</v>
      </c>
      <c r="B66" s="90">
        <v>2020</v>
      </c>
      <c r="C66" s="90" t="s">
        <v>81</v>
      </c>
      <c r="D66" s="90" t="s">
        <v>336</v>
      </c>
      <c r="E66" s="125" t="s">
        <v>342</v>
      </c>
      <c r="F66" s="24" t="s">
        <v>338</v>
      </c>
      <c r="G66" s="90" t="s">
        <v>85</v>
      </c>
      <c r="H66" s="90" t="s">
        <v>132</v>
      </c>
      <c r="I66" s="90">
        <v>93</v>
      </c>
      <c r="J66" s="90">
        <v>157</v>
      </c>
      <c r="K66" s="90" t="s">
        <v>85</v>
      </c>
      <c r="L66" s="90" t="s">
        <v>339</v>
      </c>
      <c r="M66" s="90" t="s">
        <v>119</v>
      </c>
      <c r="N66" s="24" t="s">
        <v>340</v>
      </c>
      <c r="O66" s="24" t="str">
        <f>IF(ISNUMBER(SEARCH("Cancer",N66)),"Cancer",IF(ISNUMBER(SEARCH("health",N66)),"Public health",IF(ISNUMBER(SEARCH("disabilities",N66)),"Disabilities","Other")))</f>
        <v>Other</v>
      </c>
      <c r="P66" s="126">
        <v>898965</v>
      </c>
      <c r="Q66" s="90" t="s">
        <v>85</v>
      </c>
      <c r="R66" s="90" t="str">
        <f>IF(P66&gt;20000000,"B","A")</f>
        <v>A</v>
      </c>
      <c r="S66" s="90" t="s">
        <v>90</v>
      </c>
      <c r="T66" s="90" t="s">
        <v>119</v>
      </c>
      <c r="U66" s="90" t="s">
        <v>119</v>
      </c>
      <c r="V66" s="90" t="s">
        <v>119</v>
      </c>
      <c r="W66" s="90" t="s">
        <v>119</v>
      </c>
      <c r="X66" s="90" t="s">
        <v>119</v>
      </c>
      <c r="Y66" s="90" t="s">
        <v>119</v>
      </c>
      <c r="Z66" s="90" t="s">
        <v>119</v>
      </c>
      <c r="AA66" s="90" t="s">
        <v>119</v>
      </c>
      <c r="AB66" s="90" t="s">
        <v>119</v>
      </c>
      <c r="AC66" s="90" t="s">
        <v>119</v>
      </c>
      <c r="AD66" s="90" t="s">
        <v>119</v>
      </c>
      <c r="AE66" s="24">
        <v>0</v>
      </c>
      <c r="AF66" s="90">
        <v>0</v>
      </c>
      <c r="AG66" s="24">
        <v>0</v>
      </c>
      <c r="AH66" s="90">
        <v>86002</v>
      </c>
      <c r="AI66" s="24" t="s">
        <v>102</v>
      </c>
      <c r="AJ66" s="24" t="s">
        <v>343</v>
      </c>
      <c r="AK66" s="90" t="s">
        <v>85</v>
      </c>
      <c r="AL66" s="90">
        <v>85490</v>
      </c>
      <c r="AM66" s="90" t="s">
        <v>81</v>
      </c>
      <c r="AN66" s="90" t="s">
        <v>336</v>
      </c>
      <c r="AO66" s="125" t="s">
        <v>342</v>
      </c>
      <c r="AP66" s="24" t="s">
        <v>340</v>
      </c>
      <c r="AQ66" s="90" t="s">
        <v>339</v>
      </c>
      <c r="AR66" s="24" t="s">
        <v>340</v>
      </c>
      <c r="AS66" s="90" t="s">
        <v>119</v>
      </c>
      <c r="AT66" s="24" t="s">
        <v>102</v>
      </c>
      <c r="AU66" s="90" t="s">
        <v>119</v>
      </c>
      <c r="AV66" s="90" t="str">
        <f>IF(ISNUMBER(SEARCH("disagree",AE66)),"N","Y")</f>
        <v>Y</v>
      </c>
      <c r="AW66" s="90" t="s">
        <v>119</v>
      </c>
      <c r="AX66" s="24" t="s">
        <v>119</v>
      </c>
      <c r="AY66" s="90" t="str">
        <f>CONCATENATE(AZ66,BA66,BB66,BC66)</f>
        <v/>
      </c>
      <c r="AZ66" s="90" t="str">
        <f>IF(ISNUMBER(SEARCH("Y",AC66)),"R","")</f>
        <v/>
      </c>
      <c r="BA66" s="90" t="str">
        <f>IF(ISNUMBER(SEARCH("Y",Y66)),"M","")</f>
        <v/>
      </c>
      <c r="BB66" s="90" t="str">
        <f>IF(ISNUMBER(SEARCH("Y",AB66)),"QC","")</f>
        <v/>
      </c>
      <c r="BC66" s="90" t="str">
        <f>IF(ISNUMBER(SEARCH("Y",Z66)),"S","")</f>
        <v/>
      </c>
      <c r="BD66" s="90"/>
      <c r="BE66" s="24" t="s">
        <v>119</v>
      </c>
      <c r="BF66" s="125" t="str">
        <f>IF(AND(AW66&gt;=56543,AW66&lt;=76543,LEN(AW66)&gt;0),"3 Feb 2020",IF(AND(AW66&gt;=66544,AW66&lt;=99999,LEN(AW66)&gt;0),"12 Sep 2020",""))</f>
        <v/>
      </c>
      <c r="BG66" s="125" t="str">
        <f>IF((AND(BF66="3 Feb 2020",LEN(BF66)&gt;0)),"Completed",IF((AND(BF66="12 Sep 2020",LEN(BF66)&gt;0)),"Pending",""))</f>
        <v/>
      </c>
      <c r="BH66" s="90" t="str">
        <f>IF((AND(BF66="3 Feb 2020",LEN(BF66)&gt;0)),"3 Feb 2020","")</f>
        <v/>
      </c>
      <c r="BI66" s="90">
        <v>85490</v>
      </c>
      <c r="BJ66" s="90" t="str">
        <f>L66</f>
        <v>4S28GS77761-63</v>
      </c>
      <c r="BK66" s="127">
        <v>43508</v>
      </c>
      <c r="BL66" s="127">
        <v>44239</v>
      </c>
      <c r="BM66" s="128">
        <f>P66*1.1</f>
        <v>988861.50000000012</v>
      </c>
      <c r="BN66" s="129">
        <f>P66*0.9</f>
        <v>809068.5</v>
      </c>
      <c r="BO66" s="130">
        <f>P66*0.8</f>
        <v>719172</v>
      </c>
      <c r="BP66" s="90">
        <f>IF(Z66="Y",BM66*0.4,BM66*1.05)</f>
        <v>1038304.5750000002</v>
      </c>
      <c r="BQ66" s="90">
        <f>BP66*0.8</f>
        <v>830643.66000000015</v>
      </c>
      <c r="BR66" s="90" t="str">
        <f>IF(ISNUMBER(SEARCH("subrecipient",AI62)),P66*0.6,"")</f>
        <v/>
      </c>
      <c r="BS66" s="90">
        <v>85490</v>
      </c>
      <c r="BT66" s="90" t="str">
        <f>BJ66</f>
        <v>4S28GS77761-63</v>
      </c>
      <c r="BU66" s="127">
        <f>BK66</f>
        <v>43508</v>
      </c>
      <c r="BV66" s="127">
        <f>BL66</f>
        <v>44239</v>
      </c>
      <c r="BW66" s="90" t="str">
        <f>H66</f>
        <v>FDA</v>
      </c>
      <c r="BX66" s="90" t="str">
        <f>IF(H66="NATIONAL HEMOPHILIA FOUNDATION","Non Federal","Federal")</f>
        <v>Federal</v>
      </c>
      <c r="BY66" s="128">
        <f>BM66</f>
        <v>988861.50000000012</v>
      </c>
      <c r="BZ66" s="90" t="str">
        <f>IF(LEN(BR66)&gt;0,1,"")</f>
        <v/>
      </c>
      <c r="CA66" s="90" t="str">
        <f>IF(LEN(BR66)&gt;0,"VIRAL HEPATITIS PROJECT","")</f>
        <v/>
      </c>
      <c r="CB66" s="129" t="str">
        <f>IF(LEN(BR66)&gt;0,BM66*0.7,"")</f>
        <v/>
      </c>
      <c r="CC66" s="90">
        <f>BP66</f>
        <v>1038304.5750000002</v>
      </c>
      <c r="CD66" s="90" t="str">
        <f>IF(LEN(BR66)&gt;0,"70%","")</f>
        <v/>
      </c>
      <c r="CE66" s="90">
        <f>BS66</f>
        <v>85490</v>
      </c>
      <c r="CF66" s="90" t="str">
        <f>CA66</f>
        <v/>
      </c>
      <c r="CG66" s="90"/>
      <c r="CH66" s="90"/>
      <c r="CI66" s="90"/>
      <c r="CJ66" s="90"/>
      <c r="CK66" s="90"/>
      <c r="CL66" s="90"/>
      <c r="CM66" s="90"/>
      <c r="CN66" s="90"/>
      <c r="CO66" s="90"/>
      <c r="CP66" s="90"/>
      <c r="CQ66" s="90"/>
      <c r="CR66" s="90"/>
      <c r="CS66" s="90"/>
      <c r="CT66" s="137"/>
    </row>
    <row r="67" spans="1:98" ht="105">
      <c r="A67" s="89">
        <v>85490</v>
      </c>
      <c r="B67" s="90">
        <v>2020</v>
      </c>
      <c r="C67" s="90" t="s">
        <v>81</v>
      </c>
      <c r="D67" s="90" t="s">
        <v>336</v>
      </c>
      <c r="E67" s="125" t="s">
        <v>344</v>
      </c>
      <c r="F67" s="24" t="s">
        <v>338</v>
      </c>
      <c r="G67" s="90" t="s">
        <v>85</v>
      </c>
      <c r="H67" s="90" t="s">
        <v>132</v>
      </c>
      <c r="I67" s="90">
        <v>93</v>
      </c>
      <c r="J67" s="90">
        <v>157</v>
      </c>
      <c r="K67" s="90" t="s">
        <v>85</v>
      </c>
      <c r="L67" s="90" t="s">
        <v>339</v>
      </c>
      <c r="M67" s="90" t="s">
        <v>119</v>
      </c>
      <c r="N67" s="24" t="s">
        <v>340</v>
      </c>
      <c r="O67" s="24" t="str">
        <f>IF(ISNUMBER(SEARCH("Cancer",N67)),"Cancer",IF(ISNUMBER(SEARCH("health",N67)),"Public health",IF(ISNUMBER(SEARCH("disabilities",N67)),"Disabilities","Other")))</f>
        <v>Other</v>
      </c>
      <c r="P67" s="126">
        <v>898965</v>
      </c>
      <c r="Q67" s="90" t="s">
        <v>85</v>
      </c>
      <c r="R67" s="90" t="str">
        <f>IF(P67&gt;20000000,"B","A")</f>
        <v>A</v>
      </c>
      <c r="S67" s="90" t="s">
        <v>90</v>
      </c>
      <c r="T67" s="90" t="s">
        <v>119</v>
      </c>
      <c r="U67" s="90" t="s">
        <v>119</v>
      </c>
      <c r="V67" s="90" t="s">
        <v>119</v>
      </c>
      <c r="W67" s="90" t="s">
        <v>119</v>
      </c>
      <c r="X67" s="90" t="s">
        <v>119</v>
      </c>
      <c r="Y67" s="90" t="s">
        <v>119</v>
      </c>
      <c r="Z67" s="90" t="s">
        <v>119</v>
      </c>
      <c r="AA67" s="90" t="s">
        <v>119</v>
      </c>
      <c r="AB67" s="90" t="s">
        <v>119</v>
      </c>
      <c r="AC67" s="90" t="s">
        <v>119</v>
      </c>
      <c r="AD67" s="90" t="s">
        <v>119</v>
      </c>
      <c r="AE67" s="24">
        <v>0</v>
      </c>
      <c r="AF67" s="90">
        <v>0</v>
      </c>
      <c r="AG67" s="24">
        <v>0</v>
      </c>
      <c r="AH67" s="90">
        <v>86004</v>
      </c>
      <c r="AI67" s="24" t="s">
        <v>110</v>
      </c>
      <c r="AJ67" s="24" t="s">
        <v>345</v>
      </c>
      <c r="AK67" s="90" t="s">
        <v>85</v>
      </c>
      <c r="AL67" s="90">
        <v>85490</v>
      </c>
      <c r="AM67" s="90" t="s">
        <v>81</v>
      </c>
      <c r="AN67" s="90" t="s">
        <v>336</v>
      </c>
      <c r="AO67" s="125" t="s">
        <v>344</v>
      </c>
      <c r="AP67" s="24" t="s">
        <v>340</v>
      </c>
      <c r="AQ67" s="90" t="s">
        <v>339</v>
      </c>
      <c r="AR67" s="24" t="s">
        <v>340</v>
      </c>
      <c r="AS67" s="90" t="s">
        <v>119</v>
      </c>
      <c r="AT67" s="24" t="s">
        <v>110</v>
      </c>
      <c r="AU67" s="90" t="s">
        <v>119</v>
      </c>
      <c r="AV67" s="90" t="str">
        <f>IF(ISNUMBER(SEARCH("disagree",AE67)),"N","Y")</f>
        <v>Y</v>
      </c>
      <c r="AW67" s="90" t="s">
        <v>119</v>
      </c>
      <c r="AX67" s="24" t="s">
        <v>119</v>
      </c>
      <c r="AY67" s="90" t="str">
        <f>CONCATENATE(AZ67,BA67,BB67,BC67)</f>
        <v/>
      </c>
      <c r="AZ67" s="90" t="str">
        <f>IF(ISNUMBER(SEARCH("Y",AC67)),"R","")</f>
        <v/>
      </c>
      <c r="BA67" s="90" t="str">
        <f>IF(ISNUMBER(SEARCH("Y",Y67)),"M","")</f>
        <v/>
      </c>
      <c r="BB67" s="90" t="str">
        <f>IF(ISNUMBER(SEARCH("Y",AB67)),"QC","")</f>
        <v/>
      </c>
      <c r="BC67" s="90" t="str">
        <f>IF(ISNUMBER(SEARCH("Y",Z67)),"S","")</f>
        <v/>
      </c>
      <c r="BD67" s="90"/>
      <c r="BE67" s="24" t="s">
        <v>119</v>
      </c>
      <c r="BF67" s="125" t="str">
        <f>IF(AND(AW67&gt;=56543,AW67&lt;=76543,LEN(AW67)&gt;0),"3 Feb 2020",IF(AND(AW67&gt;=66544,AW67&lt;=99999,LEN(AW67)&gt;0),"12 Sep 2020",""))</f>
        <v/>
      </c>
      <c r="BG67" s="125" t="str">
        <f>IF((AND(BF67="3 Feb 2020",LEN(BF67)&gt;0)),"Completed",IF((AND(BF67="12 Sep 2020",LEN(BF67)&gt;0)),"Pending",""))</f>
        <v/>
      </c>
      <c r="BH67" s="90" t="str">
        <f>IF((AND(BF67="3 Feb 2020",LEN(BF67)&gt;0)),"3 Feb 2020","")</f>
        <v/>
      </c>
      <c r="BI67" s="90">
        <v>85490</v>
      </c>
      <c r="BJ67" s="90" t="str">
        <f>L67</f>
        <v>4S28GS77761-63</v>
      </c>
      <c r="BK67" s="127">
        <v>43508</v>
      </c>
      <c r="BL67" s="127">
        <v>44239</v>
      </c>
      <c r="BM67" s="128">
        <f>P67*1.1</f>
        <v>988861.50000000012</v>
      </c>
      <c r="BN67" s="129">
        <f>P67*0.9</f>
        <v>809068.5</v>
      </c>
      <c r="BO67" s="130">
        <f>P67*0.8</f>
        <v>719172</v>
      </c>
      <c r="BP67" s="90">
        <f>IF(Z67="Y",BM67*0.4,BM67*1.05)</f>
        <v>1038304.5750000002</v>
      </c>
      <c r="BQ67" s="90">
        <f>BP67*0.8</f>
        <v>830643.66000000015</v>
      </c>
      <c r="BR67" s="90" t="str">
        <f>IF(ISNUMBER(SEARCH("subrecipient",AI63)),P67*0.6,"")</f>
        <v/>
      </c>
      <c r="BS67" s="90">
        <v>85490</v>
      </c>
      <c r="BT67" s="90" t="str">
        <f>BJ67</f>
        <v>4S28GS77761-63</v>
      </c>
      <c r="BU67" s="127">
        <f>BK67</f>
        <v>43508</v>
      </c>
      <c r="BV67" s="127">
        <f>BL67</f>
        <v>44239</v>
      </c>
      <c r="BW67" s="90" t="str">
        <f>H67</f>
        <v>FDA</v>
      </c>
      <c r="BX67" s="90" t="str">
        <f>IF(H67="NATIONAL HEMOPHILIA FOUNDATION","Non Federal","Federal")</f>
        <v>Federal</v>
      </c>
      <c r="BY67" s="128">
        <f>BM67</f>
        <v>988861.50000000012</v>
      </c>
      <c r="BZ67" s="90" t="str">
        <f>IF(LEN(BR67)&gt;0,1,"")</f>
        <v/>
      </c>
      <c r="CA67" s="90" t="str">
        <f>IF(LEN(BR67)&gt;0,"VIRAL HEPATITIS PROJECT","")</f>
        <v/>
      </c>
      <c r="CB67" s="129" t="str">
        <f>IF(LEN(BR67)&gt;0,BM67*0.7,"")</f>
        <v/>
      </c>
      <c r="CC67" s="90">
        <f>BP67</f>
        <v>1038304.5750000002</v>
      </c>
      <c r="CD67" s="90" t="str">
        <f>IF(LEN(BR67)&gt;0,"70%","")</f>
        <v/>
      </c>
      <c r="CE67" s="90">
        <f>BS67</f>
        <v>85490</v>
      </c>
      <c r="CF67" s="90" t="str">
        <f>CA67</f>
        <v/>
      </c>
      <c r="CG67" s="90"/>
      <c r="CH67" s="90"/>
      <c r="CI67" s="90"/>
      <c r="CJ67" s="90"/>
      <c r="CK67" s="90"/>
      <c r="CL67" s="90"/>
      <c r="CM67" s="90"/>
      <c r="CN67" s="90"/>
      <c r="CO67" s="90"/>
      <c r="CP67" s="90"/>
      <c r="CQ67" s="90"/>
      <c r="CR67" s="90"/>
      <c r="CS67" s="90"/>
      <c r="CT67" s="137"/>
    </row>
    <row r="68" spans="1:98" ht="105">
      <c r="A68" s="89">
        <v>85490</v>
      </c>
      <c r="B68" s="90">
        <v>2020</v>
      </c>
      <c r="C68" s="90" t="s">
        <v>81</v>
      </c>
      <c r="D68" s="90" t="s">
        <v>336</v>
      </c>
      <c r="E68" s="125" t="s">
        <v>346</v>
      </c>
      <c r="F68" s="24" t="s">
        <v>338</v>
      </c>
      <c r="G68" s="90" t="s">
        <v>85</v>
      </c>
      <c r="H68" s="90" t="s">
        <v>132</v>
      </c>
      <c r="I68" s="90">
        <v>93</v>
      </c>
      <c r="J68" s="90">
        <v>157</v>
      </c>
      <c r="K68" s="90" t="s">
        <v>85</v>
      </c>
      <c r="L68" s="90" t="s">
        <v>339</v>
      </c>
      <c r="M68" s="90" t="s">
        <v>119</v>
      </c>
      <c r="N68" s="24" t="s">
        <v>340</v>
      </c>
      <c r="O68" s="24" t="str">
        <f>IF(ISNUMBER(SEARCH("Cancer",N68)),"Cancer",IF(ISNUMBER(SEARCH("health",N68)),"Public health",IF(ISNUMBER(SEARCH("disabilities",N68)),"Disabilities","Other")))</f>
        <v>Other</v>
      </c>
      <c r="P68" s="126">
        <v>898965</v>
      </c>
      <c r="Q68" s="90" t="s">
        <v>85</v>
      </c>
      <c r="R68" s="90" t="str">
        <f>IF(P68&gt;20000000,"B","A")</f>
        <v>A</v>
      </c>
      <c r="S68" s="90" t="s">
        <v>90</v>
      </c>
      <c r="T68" s="90" t="s">
        <v>119</v>
      </c>
      <c r="U68" s="90" t="s">
        <v>119</v>
      </c>
      <c r="V68" s="90" t="s">
        <v>119</v>
      </c>
      <c r="W68" s="90" t="s">
        <v>119</v>
      </c>
      <c r="X68" s="90" t="s">
        <v>119</v>
      </c>
      <c r="Y68" s="90" t="s">
        <v>119</v>
      </c>
      <c r="Z68" s="90" t="s">
        <v>119</v>
      </c>
      <c r="AA68" s="90" t="s">
        <v>119</v>
      </c>
      <c r="AB68" s="90" t="s">
        <v>119</v>
      </c>
      <c r="AC68" s="90" t="s">
        <v>119</v>
      </c>
      <c r="AD68" s="90" t="s">
        <v>119</v>
      </c>
      <c r="AE68" s="24">
        <v>0</v>
      </c>
      <c r="AF68" s="90">
        <v>0</v>
      </c>
      <c r="AG68" s="24">
        <v>0</v>
      </c>
      <c r="AH68" s="90">
        <v>86003</v>
      </c>
      <c r="AI68" s="24" t="s">
        <v>269</v>
      </c>
      <c r="AJ68" s="24" t="s">
        <v>347</v>
      </c>
      <c r="AK68" s="90" t="s">
        <v>85</v>
      </c>
      <c r="AL68" s="90">
        <v>85490</v>
      </c>
      <c r="AM68" s="90" t="s">
        <v>81</v>
      </c>
      <c r="AN68" s="90" t="s">
        <v>336</v>
      </c>
      <c r="AO68" s="125" t="s">
        <v>346</v>
      </c>
      <c r="AP68" s="24" t="s">
        <v>340</v>
      </c>
      <c r="AQ68" s="90" t="s">
        <v>339</v>
      </c>
      <c r="AR68" s="24" t="s">
        <v>340</v>
      </c>
      <c r="AS68" s="90" t="s">
        <v>119</v>
      </c>
      <c r="AT68" s="24" t="s">
        <v>269</v>
      </c>
      <c r="AU68" s="90" t="s">
        <v>119</v>
      </c>
      <c r="AV68" s="90" t="str">
        <f>IF(ISNUMBER(SEARCH("disagree",AE68)),"N","Y")</f>
        <v>Y</v>
      </c>
      <c r="AW68" s="90" t="s">
        <v>119</v>
      </c>
      <c r="AX68" s="24" t="s">
        <v>119</v>
      </c>
      <c r="AY68" s="90" t="str">
        <f>CONCATENATE(AZ68,BA68,BB68,BC68)</f>
        <v/>
      </c>
      <c r="AZ68" s="90" t="str">
        <f>IF(ISNUMBER(SEARCH("Y",AC68)),"R","")</f>
        <v/>
      </c>
      <c r="BA68" s="90" t="str">
        <f>IF(ISNUMBER(SEARCH("Y",Y68)),"M","")</f>
        <v/>
      </c>
      <c r="BB68" s="90" t="str">
        <f>IF(ISNUMBER(SEARCH("Y",AB68)),"QC","")</f>
        <v/>
      </c>
      <c r="BC68" s="90" t="str">
        <f>IF(ISNUMBER(SEARCH("Y",Z68)),"S","")</f>
        <v/>
      </c>
      <c r="BD68" s="90"/>
      <c r="BE68" s="24" t="s">
        <v>119</v>
      </c>
      <c r="BF68" s="125" t="str">
        <f>IF(AND(AW68&gt;=56543,AW68&lt;=76543,LEN(AW68)&gt;0),"3 Feb 2020",IF(AND(AW68&gt;=66544,AW68&lt;=99999,LEN(AW68)&gt;0),"12 Sep 2020",""))</f>
        <v/>
      </c>
      <c r="BG68" s="125" t="str">
        <f>IF((AND(BF68="3 Feb 2020",LEN(BF68)&gt;0)),"Completed",IF((AND(BF68="12 Sep 2020",LEN(BF68)&gt;0)),"Pending",""))</f>
        <v/>
      </c>
      <c r="BH68" s="90" t="str">
        <f>IF((AND(BF68="3 Feb 2020",LEN(BF68)&gt;0)),"3 Feb 2020","")</f>
        <v/>
      </c>
      <c r="BI68" s="90">
        <v>85490</v>
      </c>
      <c r="BJ68" s="90" t="str">
        <f>L68</f>
        <v>4S28GS77761-63</v>
      </c>
      <c r="BK68" s="127">
        <v>43508</v>
      </c>
      <c r="BL68" s="127">
        <v>44239</v>
      </c>
      <c r="BM68" s="128">
        <f>P68*1.1</f>
        <v>988861.50000000012</v>
      </c>
      <c r="BN68" s="129">
        <f>P68*0.9</f>
        <v>809068.5</v>
      </c>
      <c r="BO68" s="130">
        <f>P68*0.8</f>
        <v>719172</v>
      </c>
      <c r="BP68" s="90">
        <f>IF(Z68="Y",BM68*0.4,BM68*1.05)</f>
        <v>1038304.5750000002</v>
      </c>
      <c r="BQ68" s="90">
        <f>BP68*0.8</f>
        <v>830643.66000000015</v>
      </c>
      <c r="BR68" s="90" t="str">
        <f>IF(ISNUMBER(SEARCH("subrecipient",AI64)),P68*0.6,"")</f>
        <v/>
      </c>
      <c r="BS68" s="90">
        <v>85490</v>
      </c>
      <c r="BT68" s="90" t="str">
        <f>BJ68</f>
        <v>4S28GS77761-63</v>
      </c>
      <c r="BU68" s="127">
        <f>BK68</f>
        <v>43508</v>
      </c>
      <c r="BV68" s="127">
        <f>BL68</f>
        <v>44239</v>
      </c>
      <c r="BW68" s="90" t="str">
        <f>H68</f>
        <v>FDA</v>
      </c>
      <c r="BX68" s="90" t="str">
        <f>IF(H68="NATIONAL HEMOPHILIA FOUNDATION","Non Federal","Federal")</f>
        <v>Federal</v>
      </c>
      <c r="BY68" s="128">
        <f>BM68</f>
        <v>988861.50000000012</v>
      </c>
      <c r="BZ68" s="90" t="str">
        <f>IF(LEN(BR68)&gt;0,1,"")</f>
        <v/>
      </c>
      <c r="CA68" s="90" t="str">
        <f>IF(LEN(BR68)&gt;0,"VIRAL HEPATITIS PROJECT","")</f>
        <v/>
      </c>
      <c r="CB68" s="129" t="str">
        <f>IF(LEN(BR68)&gt;0,BM68*0.7,"")</f>
        <v/>
      </c>
      <c r="CC68" s="90">
        <f>BP68</f>
        <v>1038304.5750000002</v>
      </c>
      <c r="CD68" s="90" t="str">
        <f>IF(LEN(BR68)&gt;0,"70%","")</f>
        <v/>
      </c>
      <c r="CE68" s="90">
        <f>BS68</f>
        <v>85490</v>
      </c>
      <c r="CF68" s="90" t="str">
        <f>CA68</f>
        <v/>
      </c>
      <c r="CG68" s="90"/>
      <c r="CH68" s="90"/>
      <c r="CI68" s="90"/>
      <c r="CJ68" s="90"/>
      <c r="CK68" s="90"/>
      <c r="CL68" s="90"/>
      <c r="CM68" s="90"/>
      <c r="CN68" s="90"/>
      <c r="CO68" s="90"/>
      <c r="CP68" s="90"/>
      <c r="CQ68" s="90"/>
      <c r="CR68" s="90"/>
      <c r="CS68" s="90"/>
      <c r="CT68" s="137"/>
    </row>
    <row r="69" spans="1:98" ht="120">
      <c r="A69" s="89">
        <v>89298</v>
      </c>
      <c r="B69" s="90">
        <v>2020</v>
      </c>
      <c r="C69" s="90" t="s">
        <v>81</v>
      </c>
      <c r="D69" s="90" t="s">
        <v>348</v>
      </c>
      <c r="E69" s="125" t="s">
        <v>349</v>
      </c>
      <c r="F69" s="24" t="s">
        <v>350</v>
      </c>
      <c r="G69" s="90" t="s">
        <v>85</v>
      </c>
      <c r="H69" s="90" t="s">
        <v>150</v>
      </c>
      <c r="I69" s="90">
        <v>93</v>
      </c>
      <c r="J69" s="90">
        <v>157</v>
      </c>
      <c r="K69" s="90" t="s">
        <v>85</v>
      </c>
      <c r="L69" s="90" t="s">
        <v>351</v>
      </c>
      <c r="M69" s="90" t="s">
        <v>119</v>
      </c>
      <c r="N69" s="24" t="s">
        <v>352</v>
      </c>
      <c r="O69" s="24" t="str">
        <f>IF(ISNUMBER(SEARCH("Cancer",N69)),"Cancer",IF(ISNUMBER(SEARCH("health",N69)),"Public health",IF(ISNUMBER(SEARCH("disabilities",N69)),"Disabilities","Other")))</f>
        <v>Public health</v>
      </c>
      <c r="P69" s="126">
        <v>957333</v>
      </c>
      <c r="Q69" s="90" t="s">
        <v>85</v>
      </c>
      <c r="R69" s="90" t="str">
        <f>IF(P69&gt;20000000,"B","A")</f>
        <v>A</v>
      </c>
      <c r="S69" s="90" t="s">
        <v>90</v>
      </c>
      <c r="T69" s="90" t="s">
        <v>119</v>
      </c>
      <c r="U69" s="90" t="s">
        <v>119</v>
      </c>
      <c r="V69" s="90" t="s">
        <v>119</v>
      </c>
      <c r="W69" s="90" t="s">
        <v>119</v>
      </c>
      <c r="X69" s="90" t="s">
        <v>119</v>
      </c>
      <c r="Y69" s="90" t="s">
        <v>119</v>
      </c>
      <c r="Z69" s="90" t="s">
        <v>119</v>
      </c>
      <c r="AA69" s="90" t="s">
        <v>119</v>
      </c>
      <c r="AB69" s="90" t="s">
        <v>119</v>
      </c>
      <c r="AC69" s="90" t="s">
        <v>119</v>
      </c>
      <c r="AD69" s="90" t="s">
        <v>119</v>
      </c>
      <c r="AE69" s="24">
        <v>0</v>
      </c>
      <c r="AF69" s="90">
        <v>0</v>
      </c>
      <c r="AG69" s="24">
        <v>0</v>
      </c>
      <c r="AH69" s="90">
        <v>89959</v>
      </c>
      <c r="AI69" s="24" t="s">
        <v>94</v>
      </c>
      <c r="AJ69" s="24" t="s">
        <v>353</v>
      </c>
      <c r="AK69" s="90" t="s">
        <v>85</v>
      </c>
      <c r="AL69" s="90">
        <v>89298</v>
      </c>
      <c r="AM69" s="90" t="s">
        <v>81</v>
      </c>
      <c r="AN69" s="90" t="s">
        <v>348</v>
      </c>
      <c r="AO69" s="125" t="s">
        <v>349</v>
      </c>
      <c r="AP69" s="24" t="s">
        <v>352</v>
      </c>
      <c r="AQ69" s="90" t="s">
        <v>351</v>
      </c>
      <c r="AR69" s="24" t="s">
        <v>352</v>
      </c>
      <c r="AS69" s="90" t="s">
        <v>119</v>
      </c>
      <c r="AT69" s="24" t="s">
        <v>94</v>
      </c>
      <c r="AU69" s="90" t="s">
        <v>119</v>
      </c>
      <c r="AV69" s="90" t="str">
        <f>IF(ISNUMBER(SEARCH("disagree",AE69)),"N","Y")</f>
        <v>Y</v>
      </c>
      <c r="AW69" s="90" t="s">
        <v>119</v>
      </c>
      <c r="AX69" s="24" t="s">
        <v>119</v>
      </c>
      <c r="AY69" s="90" t="str">
        <f>CONCATENATE(AZ69,BA69,BB69,BC69)</f>
        <v/>
      </c>
      <c r="AZ69" s="90" t="str">
        <f>IF(ISNUMBER(SEARCH("Y",AC69)),"R","")</f>
        <v/>
      </c>
      <c r="BA69" s="90" t="str">
        <f>IF(ISNUMBER(SEARCH("Y",Y69)),"M","")</f>
        <v/>
      </c>
      <c r="BB69" s="90" t="str">
        <f>IF(ISNUMBER(SEARCH("Y",AB69)),"QC","")</f>
        <v/>
      </c>
      <c r="BC69" s="90" t="str">
        <f>IF(ISNUMBER(SEARCH("Y",Z69)),"S","")</f>
        <v/>
      </c>
      <c r="BD69" s="90"/>
      <c r="BE69" s="24" t="s">
        <v>119</v>
      </c>
      <c r="BF69" s="125" t="str">
        <f>IF(AND(AW69&gt;=56543,AW69&lt;=76543,LEN(AW69)&gt;0),"3 Feb 2020",IF(AND(AW69&gt;=66544,AW69&lt;=99999,LEN(AW69)&gt;0),"12 Sep 2020",""))</f>
        <v/>
      </c>
      <c r="BG69" s="125" t="str">
        <f>IF((AND(BF69="3 Feb 2020",LEN(BF69)&gt;0)),"Completed",IF((AND(BF69="12 Sep 2020",LEN(BF69)&gt;0)),"Pending",""))</f>
        <v/>
      </c>
      <c r="BH69" s="90" t="str">
        <f>IF((AND(BF69="3 Feb 2020",LEN(BF69)&gt;0)),"3 Feb 2020","")</f>
        <v/>
      </c>
      <c r="BI69" s="90">
        <v>89298</v>
      </c>
      <c r="BJ69" s="90" t="str">
        <f>L69</f>
        <v>4H68FT82253-54</v>
      </c>
      <c r="BK69" s="127">
        <v>43508</v>
      </c>
      <c r="BL69" s="127">
        <v>44239</v>
      </c>
      <c r="BM69" s="128">
        <f>P69*1.1</f>
        <v>1053066.3</v>
      </c>
      <c r="BN69" s="129">
        <f>P69*0.9</f>
        <v>861599.70000000007</v>
      </c>
      <c r="BO69" s="130">
        <f>P69*0.8</f>
        <v>765866.4</v>
      </c>
      <c r="BP69" s="90">
        <f>IF(Z69="Y",BM69*0.4,BM69*1.05)</f>
        <v>1105719.615</v>
      </c>
      <c r="BQ69" s="90">
        <f>BP69*0.8</f>
        <v>884575.69200000004</v>
      </c>
      <c r="BR69" s="90" t="str">
        <f>IF(ISNUMBER(SEARCH("subrecipient",AI65)),P69*0.6,"")</f>
        <v/>
      </c>
      <c r="BS69" s="90">
        <v>89298</v>
      </c>
      <c r="BT69" s="90" t="str">
        <f>BJ69</f>
        <v>4H68FT82253-54</v>
      </c>
      <c r="BU69" s="127">
        <f>BK69</f>
        <v>43508</v>
      </c>
      <c r="BV69" s="127">
        <f>BL69</f>
        <v>44239</v>
      </c>
      <c r="BW69" s="90" t="str">
        <f>H69</f>
        <v>ACF</v>
      </c>
      <c r="BX69" s="90" t="str">
        <f>IF(H69="NATIONAL HEMOPHILIA FOUNDATION","Non Federal","Federal")</f>
        <v>Federal</v>
      </c>
      <c r="BY69" s="128">
        <f>BM69</f>
        <v>1053066.3</v>
      </c>
      <c r="BZ69" s="90" t="str">
        <f>IF(LEN(BR69)&gt;0,1,"")</f>
        <v/>
      </c>
      <c r="CA69" s="90" t="str">
        <f>IF(LEN(BR69)&gt;0,"VIRAL HEPATITIS PROJECT","")</f>
        <v/>
      </c>
      <c r="CB69" s="129" t="str">
        <f>IF(LEN(BR69)&gt;0,BM69*0.7,"")</f>
        <v/>
      </c>
      <c r="CC69" s="90">
        <f>BP69</f>
        <v>1105719.615</v>
      </c>
      <c r="CD69" s="90" t="str">
        <f>IF(LEN(BR69)&gt;0,"70%","")</f>
        <v/>
      </c>
      <c r="CE69" s="90">
        <f>BS69</f>
        <v>89298</v>
      </c>
      <c r="CF69" s="90" t="str">
        <f>CA69</f>
        <v/>
      </c>
      <c r="CG69" s="90"/>
      <c r="CH69" s="90"/>
      <c r="CI69" s="90"/>
      <c r="CJ69" s="90"/>
      <c r="CK69" s="90"/>
      <c r="CL69" s="90"/>
      <c r="CM69" s="90"/>
      <c r="CN69" s="90"/>
      <c r="CO69" s="90"/>
      <c r="CP69" s="90"/>
      <c r="CQ69" s="90"/>
      <c r="CR69" s="90"/>
      <c r="CS69" s="90"/>
      <c r="CT69" s="137"/>
    </row>
    <row r="70" spans="1:98" ht="120">
      <c r="A70" s="89">
        <v>89298</v>
      </c>
      <c r="B70" s="90">
        <v>2020</v>
      </c>
      <c r="C70" s="90" t="s">
        <v>81</v>
      </c>
      <c r="D70" s="90" t="s">
        <v>348</v>
      </c>
      <c r="E70" s="125" t="s">
        <v>354</v>
      </c>
      <c r="F70" s="24" t="s">
        <v>350</v>
      </c>
      <c r="G70" s="90" t="s">
        <v>85</v>
      </c>
      <c r="H70" s="90" t="s">
        <v>150</v>
      </c>
      <c r="I70" s="90">
        <v>93</v>
      </c>
      <c r="J70" s="90">
        <v>157</v>
      </c>
      <c r="K70" s="90" t="s">
        <v>85</v>
      </c>
      <c r="L70" s="90" t="s">
        <v>351</v>
      </c>
      <c r="M70" s="90" t="s">
        <v>119</v>
      </c>
      <c r="N70" s="24" t="s">
        <v>352</v>
      </c>
      <c r="O70" s="24" t="str">
        <f>IF(ISNUMBER(SEARCH("Cancer",N70)),"Cancer",IF(ISNUMBER(SEARCH("health",N70)),"Public health",IF(ISNUMBER(SEARCH("disabilities",N70)),"Disabilities","Other")))</f>
        <v>Public health</v>
      </c>
      <c r="P70" s="126">
        <v>957333</v>
      </c>
      <c r="Q70" s="90" t="s">
        <v>85</v>
      </c>
      <c r="R70" s="90" t="str">
        <f>IF(P70&gt;20000000,"B","A")</f>
        <v>A</v>
      </c>
      <c r="S70" s="90" t="s">
        <v>90</v>
      </c>
      <c r="T70" s="90" t="s">
        <v>119</v>
      </c>
      <c r="U70" s="90" t="s">
        <v>119</v>
      </c>
      <c r="V70" s="90" t="s">
        <v>119</v>
      </c>
      <c r="W70" s="90" t="s">
        <v>119</v>
      </c>
      <c r="X70" s="90" t="s">
        <v>119</v>
      </c>
      <c r="Y70" s="90" t="s">
        <v>119</v>
      </c>
      <c r="Z70" s="90" t="s">
        <v>119</v>
      </c>
      <c r="AA70" s="90" t="s">
        <v>119</v>
      </c>
      <c r="AB70" s="90" t="s">
        <v>119</v>
      </c>
      <c r="AC70" s="90" t="s">
        <v>119</v>
      </c>
      <c r="AD70" s="90" t="s">
        <v>119</v>
      </c>
      <c r="AE70" s="24">
        <v>0</v>
      </c>
      <c r="AF70" s="90">
        <v>0</v>
      </c>
      <c r="AG70" s="24">
        <v>0</v>
      </c>
      <c r="AH70" s="90">
        <v>89960</v>
      </c>
      <c r="AI70" s="24" t="s">
        <v>102</v>
      </c>
      <c r="AJ70" s="24" t="s">
        <v>103</v>
      </c>
      <c r="AK70" s="90" t="s">
        <v>85</v>
      </c>
      <c r="AL70" s="90">
        <v>89298</v>
      </c>
      <c r="AM70" s="90" t="s">
        <v>81</v>
      </c>
      <c r="AN70" s="90" t="s">
        <v>348</v>
      </c>
      <c r="AO70" s="125" t="s">
        <v>354</v>
      </c>
      <c r="AP70" s="24" t="s">
        <v>352</v>
      </c>
      <c r="AQ70" s="90" t="s">
        <v>351</v>
      </c>
      <c r="AR70" s="24" t="s">
        <v>352</v>
      </c>
      <c r="AS70" s="90" t="s">
        <v>119</v>
      </c>
      <c r="AT70" s="24" t="s">
        <v>102</v>
      </c>
      <c r="AU70" s="90" t="s">
        <v>119</v>
      </c>
      <c r="AV70" s="90" t="str">
        <f>IF(ISNUMBER(SEARCH("disagree",AE70)),"N","Y")</f>
        <v>Y</v>
      </c>
      <c r="AW70" s="90" t="s">
        <v>119</v>
      </c>
      <c r="AX70" s="24" t="s">
        <v>119</v>
      </c>
      <c r="AY70" s="90" t="str">
        <f>CONCATENATE(AZ70,BA70,BB70,BC70)</f>
        <v/>
      </c>
      <c r="AZ70" s="90" t="str">
        <f>IF(ISNUMBER(SEARCH("Y",AC70)),"R","")</f>
        <v/>
      </c>
      <c r="BA70" s="90" t="str">
        <f>IF(ISNUMBER(SEARCH("Y",Y70)),"M","")</f>
        <v/>
      </c>
      <c r="BB70" s="90" t="str">
        <f>IF(ISNUMBER(SEARCH("Y",AB70)),"QC","")</f>
        <v/>
      </c>
      <c r="BC70" s="90" t="str">
        <f>IF(ISNUMBER(SEARCH("Y",Z70)),"S","")</f>
        <v/>
      </c>
      <c r="BD70" s="90"/>
      <c r="BE70" s="24" t="s">
        <v>119</v>
      </c>
      <c r="BF70" s="125" t="str">
        <f>IF(AND(AW70&gt;=56543,AW70&lt;=76543,LEN(AW70)&gt;0),"3 Feb 2020",IF(AND(AW70&gt;=66544,AW70&lt;=99999,LEN(AW70)&gt;0),"12 Sep 2020",""))</f>
        <v/>
      </c>
      <c r="BG70" s="125" t="str">
        <f>IF((AND(BF70="3 Feb 2020",LEN(BF70)&gt;0)),"Completed",IF((AND(BF70="12 Sep 2020",LEN(BF70)&gt;0)),"Pending",""))</f>
        <v/>
      </c>
      <c r="BH70" s="90" t="str">
        <f>IF((AND(BF70="3 Feb 2020",LEN(BF70)&gt;0)),"3 Feb 2020","")</f>
        <v/>
      </c>
      <c r="BI70" s="90">
        <v>89298</v>
      </c>
      <c r="BJ70" s="90" t="str">
        <f>L70</f>
        <v>4H68FT82253-54</v>
      </c>
      <c r="BK70" s="127">
        <v>43508</v>
      </c>
      <c r="BL70" s="127">
        <v>44239</v>
      </c>
      <c r="BM70" s="128">
        <f>P70*1.1</f>
        <v>1053066.3</v>
      </c>
      <c r="BN70" s="129">
        <f>P70*0.9</f>
        <v>861599.70000000007</v>
      </c>
      <c r="BO70" s="130">
        <f>P70*0.8</f>
        <v>765866.4</v>
      </c>
      <c r="BP70" s="90">
        <f>IF(Z70="Y",BM70*0.4,BM70*1.05)</f>
        <v>1105719.615</v>
      </c>
      <c r="BQ70" s="90">
        <f>BP70*0.8</f>
        <v>884575.69200000004</v>
      </c>
      <c r="BR70" s="90" t="str">
        <f>IF(ISNUMBER(SEARCH("subrecipient",AI66)),P70*0.6,"")</f>
        <v/>
      </c>
      <c r="BS70" s="90">
        <v>89298</v>
      </c>
      <c r="BT70" s="90" t="str">
        <f>BJ70</f>
        <v>4H68FT82253-54</v>
      </c>
      <c r="BU70" s="127">
        <f>BK70</f>
        <v>43508</v>
      </c>
      <c r="BV70" s="127">
        <f>BL70</f>
        <v>44239</v>
      </c>
      <c r="BW70" s="90" t="str">
        <f>H70</f>
        <v>ACF</v>
      </c>
      <c r="BX70" s="90" t="str">
        <f>IF(H70="NATIONAL HEMOPHILIA FOUNDATION","Non Federal","Federal")</f>
        <v>Federal</v>
      </c>
      <c r="BY70" s="128">
        <f>BM70</f>
        <v>1053066.3</v>
      </c>
      <c r="BZ70" s="90" t="str">
        <f>IF(LEN(BR70)&gt;0,1,"")</f>
        <v/>
      </c>
      <c r="CA70" s="90" t="str">
        <f>IF(LEN(BR70)&gt;0,"VIRAL HEPATITIS PROJECT","")</f>
        <v/>
      </c>
      <c r="CB70" s="129" t="str">
        <f>IF(LEN(BR70)&gt;0,BM70*0.7,"")</f>
        <v/>
      </c>
      <c r="CC70" s="90">
        <f>BP70</f>
        <v>1105719.615</v>
      </c>
      <c r="CD70" s="90" t="str">
        <f>IF(LEN(BR70)&gt;0,"70%","")</f>
        <v/>
      </c>
      <c r="CE70" s="90">
        <f>BS70</f>
        <v>89298</v>
      </c>
      <c r="CF70" s="90" t="str">
        <f>CA70</f>
        <v/>
      </c>
      <c r="CG70" s="90"/>
      <c r="CH70" s="90"/>
      <c r="CI70" s="90"/>
      <c r="CJ70" s="90"/>
      <c r="CK70" s="90"/>
      <c r="CL70" s="90"/>
      <c r="CM70" s="90"/>
      <c r="CN70" s="90"/>
      <c r="CO70" s="90"/>
      <c r="CP70" s="90"/>
      <c r="CQ70" s="90"/>
      <c r="CR70" s="90"/>
      <c r="CS70" s="90"/>
      <c r="CT70" s="137"/>
    </row>
    <row r="71" spans="1:98" ht="75">
      <c r="A71" s="89">
        <v>91992</v>
      </c>
      <c r="B71" s="90">
        <v>2020</v>
      </c>
      <c r="C71" s="90" t="s">
        <v>81</v>
      </c>
      <c r="D71" s="90" t="s">
        <v>355</v>
      </c>
      <c r="E71" s="125" t="s">
        <v>356</v>
      </c>
      <c r="F71" s="24" t="s">
        <v>357</v>
      </c>
      <c r="G71" s="90" t="s">
        <v>85</v>
      </c>
      <c r="H71" s="90" t="s">
        <v>86</v>
      </c>
      <c r="I71" s="90">
        <v>93</v>
      </c>
      <c r="J71" s="90">
        <v>157</v>
      </c>
      <c r="K71" s="90" t="s">
        <v>85</v>
      </c>
      <c r="L71" s="90" t="s">
        <v>358</v>
      </c>
      <c r="M71" s="90" t="s">
        <v>119</v>
      </c>
      <c r="N71" s="24" t="s">
        <v>359</v>
      </c>
      <c r="O71" s="24" t="str">
        <f>IF(ISNUMBER(SEARCH("Cancer",N71)),"Cancer",IF(ISNUMBER(SEARCH("health",N71)),"Public health",IF(ISNUMBER(SEARCH("disabilities",N71)),"Disabilities","Other")))</f>
        <v>Other</v>
      </c>
      <c r="P71" s="126">
        <v>791018</v>
      </c>
      <c r="Q71" s="90" t="s">
        <v>85</v>
      </c>
      <c r="R71" s="90" t="str">
        <f>IF(P71&gt;20000000,"B","A")</f>
        <v>A</v>
      </c>
      <c r="S71" s="90" t="s">
        <v>90</v>
      </c>
      <c r="T71" s="90" t="s">
        <v>119</v>
      </c>
      <c r="U71" s="90" t="s">
        <v>119</v>
      </c>
      <c r="V71" s="90" t="s">
        <v>119</v>
      </c>
      <c r="W71" s="90" t="s">
        <v>119</v>
      </c>
      <c r="X71" s="90" t="s">
        <v>119</v>
      </c>
      <c r="Y71" s="90" t="s">
        <v>119</v>
      </c>
      <c r="Z71" s="90" t="s">
        <v>119</v>
      </c>
      <c r="AA71" s="90" t="s">
        <v>119</v>
      </c>
      <c r="AB71" s="90" t="s">
        <v>119</v>
      </c>
      <c r="AC71" s="90" t="s">
        <v>119</v>
      </c>
      <c r="AD71" s="90" t="s">
        <v>119</v>
      </c>
      <c r="AE71" s="24">
        <v>0</v>
      </c>
      <c r="AF71" s="90">
        <v>0</v>
      </c>
      <c r="AG71" s="24">
        <v>0</v>
      </c>
      <c r="AH71" s="90">
        <v>88660</v>
      </c>
      <c r="AI71" s="24" t="s">
        <v>94</v>
      </c>
      <c r="AJ71" s="24" t="s">
        <v>360</v>
      </c>
      <c r="AK71" s="90" t="s">
        <v>85</v>
      </c>
      <c r="AL71" s="90">
        <v>91992</v>
      </c>
      <c r="AM71" s="90" t="s">
        <v>81</v>
      </c>
      <c r="AN71" s="90" t="s">
        <v>355</v>
      </c>
      <c r="AO71" s="125" t="s">
        <v>356</v>
      </c>
      <c r="AP71" s="24" t="s">
        <v>359</v>
      </c>
      <c r="AQ71" s="90" t="s">
        <v>358</v>
      </c>
      <c r="AR71" s="24" t="s">
        <v>359</v>
      </c>
      <c r="AS71" s="90" t="s">
        <v>119</v>
      </c>
      <c r="AT71" s="24" t="s">
        <v>94</v>
      </c>
      <c r="AU71" s="90" t="s">
        <v>119</v>
      </c>
      <c r="AV71" s="90" t="str">
        <f>IF(ISNUMBER(SEARCH("disagree",AE71)),"N","Y")</f>
        <v>Y</v>
      </c>
      <c r="AW71" s="90" t="s">
        <v>119</v>
      </c>
      <c r="AX71" s="24" t="s">
        <v>119</v>
      </c>
      <c r="AY71" s="90" t="str">
        <f>CONCATENATE(AZ71,BA71,BB71,BC71)</f>
        <v/>
      </c>
      <c r="AZ71" s="90" t="str">
        <f>IF(ISNUMBER(SEARCH("Y",AC71)),"R","")</f>
        <v/>
      </c>
      <c r="BA71" s="90" t="str">
        <f>IF(ISNUMBER(SEARCH("Y",Y71)),"M","")</f>
        <v/>
      </c>
      <c r="BB71" s="90" t="str">
        <f>IF(ISNUMBER(SEARCH("Y",AB71)),"QC","")</f>
        <v/>
      </c>
      <c r="BC71" s="90" t="str">
        <f>IF(ISNUMBER(SEARCH("Y",Z71)),"S","")</f>
        <v/>
      </c>
      <c r="BD71" s="90"/>
      <c r="BE71" s="24" t="s">
        <v>119</v>
      </c>
      <c r="BF71" s="125" t="str">
        <f>IF(AND(AW71&gt;=56543,AW71&lt;=76543,LEN(AW71)&gt;0),"3 Feb 2020",IF(AND(AW71&gt;=66544,AW71&lt;=99999,LEN(AW71)&gt;0),"12 Sep 2020",""))</f>
        <v/>
      </c>
      <c r="BG71" s="125" t="str">
        <f>IF((AND(BF71="3 Feb 2020",LEN(BF71)&gt;0)),"Completed",IF((AND(BF71="12 Sep 2020",LEN(BF71)&gt;0)),"Pending",""))</f>
        <v/>
      </c>
      <c r="BH71" s="90" t="str">
        <f>IF((AND(BF71="3 Feb 2020",LEN(BF71)&gt;0)),"3 Feb 2020","")</f>
        <v/>
      </c>
      <c r="BI71" s="90">
        <v>91992</v>
      </c>
      <c r="BJ71" s="90" t="str">
        <f>L71</f>
        <v>9S90FS86003-67</v>
      </c>
      <c r="BK71" s="127">
        <v>43508</v>
      </c>
      <c r="BL71" s="127">
        <v>44239</v>
      </c>
      <c r="BM71" s="128">
        <f>P71*1.1</f>
        <v>870119.8</v>
      </c>
      <c r="BN71" s="129">
        <f>P71*0.9</f>
        <v>711916.20000000007</v>
      </c>
      <c r="BO71" s="130">
        <f>P71*0.8</f>
        <v>632814.4</v>
      </c>
      <c r="BP71" s="90">
        <f>IF(Z71="Y",BM71*0.4,BM71*1.05)</f>
        <v>913625.79</v>
      </c>
      <c r="BQ71" s="90">
        <f>BP71*0.8</f>
        <v>730900.6320000001</v>
      </c>
      <c r="BR71" s="90" t="str">
        <f>IF(ISNUMBER(SEARCH("subrecipient",AI67)),P71*0.6,"")</f>
        <v/>
      </c>
      <c r="BS71" s="90">
        <v>91992</v>
      </c>
      <c r="BT71" s="90" t="str">
        <f>BJ71</f>
        <v>9S90FS86003-67</v>
      </c>
      <c r="BU71" s="127">
        <f>BK71</f>
        <v>43508</v>
      </c>
      <c r="BV71" s="127">
        <f>BL71</f>
        <v>44239</v>
      </c>
      <c r="BW71" s="90" t="str">
        <f>H71</f>
        <v>CDC</v>
      </c>
      <c r="BX71" s="90" t="str">
        <f>IF(H71="NATIONAL HEMOPHILIA FOUNDATION","Non Federal","Federal")</f>
        <v>Federal</v>
      </c>
      <c r="BY71" s="128">
        <f>BM71</f>
        <v>870119.8</v>
      </c>
      <c r="BZ71" s="90" t="str">
        <f>IF(LEN(BR71)&gt;0,1,"")</f>
        <v/>
      </c>
      <c r="CA71" s="90" t="str">
        <f>IF(LEN(BR71)&gt;0,"VIRAL HEPATITIS PROJECT","")</f>
        <v/>
      </c>
      <c r="CB71" s="129" t="str">
        <f>IF(LEN(BR71)&gt;0,BM71*0.7,"")</f>
        <v/>
      </c>
      <c r="CC71" s="90">
        <f>BP71</f>
        <v>913625.79</v>
      </c>
      <c r="CD71" s="90" t="str">
        <f>IF(LEN(BR71)&gt;0,"70%","")</f>
        <v/>
      </c>
      <c r="CE71" s="90">
        <f>BS71</f>
        <v>91992</v>
      </c>
      <c r="CF71" s="90" t="str">
        <f>CA71</f>
        <v/>
      </c>
      <c r="CG71" s="90"/>
      <c r="CH71" s="90"/>
      <c r="CI71" s="90"/>
      <c r="CJ71" s="90"/>
      <c r="CK71" s="90"/>
      <c r="CL71" s="90"/>
      <c r="CM71" s="90"/>
      <c r="CN71" s="90"/>
      <c r="CO71" s="90"/>
      <c r="CP71" s="90"/>
      <c r="CQ71" s="90"/>
      <c r="CR71" s="90"/>
      <c r="CS71" s="90"/>
      <c r="CT71" s="137"/>
    </row>
    <row r="72" spans="1:98" ht="75">
      <c r="A72" s="89">
        <v>91992</v>
      </c>
      <c r="B72" s="90">
        <v>2020</v>
      </c>
      <c r="C72" s="90" t="s">
        <v>81</v>
      </c>
      <c r="D72" s="90" t="s">
        <v>355</v>
      </c>
      <c r="E72" s="125" t="s">
        <v>361</v>
      </c>
      <c r="F72" s="24" t="s">
        <v>357</v>
      </c>
      <c r="G72" s="90" t="s">
        <v>85</v>
      </c>
      <c r="H72" s="90" t="s">
        <v>86</v>
      </c>
      <c r="I72" s="90">
        <v>93</v>
      </c>
      <c r="J72" s="90">
        <v>157</v>
      </c>
      <c r="K72" s="90" t="s">
        <v>85</v>
      </c>
      <c r="L72" s="90" t="s">
        <v>358</v>
      </c>
      <c r="M72" s="90" t="s">
        <v>119</v>
      </c>
      <c r="N72" s="24" t="s">
        <v>359</v>
      </c>
      <c r="O72" s="24" t="str">
        <f>IF(ISNUMBER(SEARCH("Cancer",N72)),"Cancer",IF(ISNUMBER(SEARCH("health",N72)),"Public health",IF(ISNUMBER(SEARCH("disabilities",N72)),"Disabilities","Other")))</f>
        <v>Other</v>
      </c>
      <c r="P72" s="126">
        <v>791018</v>
      </c>
      <c r="Q72" s="90" t="s">
        <v>85</v>
      </c>
      <c r="R72" s="90" t="str">
        <f>IF(P72&gt;20000000,"B","A")</f>
        <v>A</v>
      </c>
      <c r="S72" s="90" t="s">
        <v>90</v>
      </c>
      <c r="T72" s="90" t="s">
        <v>119</v>
      </c>
      <c r="U72" s="90" t="s">
        <v>119</v>
      </c>
      <c r="V72" s="90" t="s">
        <v>119</v>
      </c>
      <c r="W72" s="90" t="s">
        <v>119</v>
      </c>
      <c r="X72" s="90" t="s">
        <v>119</v>
      </c>
      <c r="Y72" s="90" t="s">
        <v>119</v>
      </c>
      <c r="Z72" s="90" t="s">
        <v>119</v>
      </c>
      <c r="AA72" s="90" t="s">
        <v>119</v>
      </c>
      <c r="AB72" s="90" t="s">
        <v>119</v>
      </c>
      <c r="AC72" s="90" t="s">
        <v>119</v>
      </c>
      <c r="AD72" s="90" t="s">
        <v>119</v>
      </c>
      <c r="AE72" s="24">
        <v>0</v>
      </c>
      <c r="AF72" s="90">
        <v>0</v>
      </c>
      <c r="AG72" s="24">
        <v>0</v>
      </c>
      <c r="AH72" s="90">
        <v>88661</v>
      </c>
      <c r="AI72" s="24" t="s">
        <v>102</v>
      </c>
      <c r="AJ72" s="24" t="s">
        <v>103</v>
      </c>
      <c r="AK72" s="90" t="s">
        <v>85</v>
      </c>
      <c r="AL72" s="90">
        <v>91992</v>
      </c>
      <c r="AM72" s="90" t="s">
        <v>81</v>
      </c>
      <c r="AN72" s="90" t="s">
        <v>355</v>
      </c>
      <c r="AO72" s="125" t="s">
        <v>361</v>
      </c>
      <c r="AP72" s="24" t="s">
        <v>359</v>
      </c>
      <c r="AQ72" s="90" t="s">
        <v>358</v>
      </c>
      <c r="AR72" s="24" t="s">
        <v>359</v>
      </c>
      <c r="AS72" s="90" t="s">
        <v>119</v>
      </c>
      <c r="AT72" s="24" t="s">
        <v>102</v>
      </c>
      <c r="AU72" s="90" t="s">
        <v>119</v>
      </c>
      <c r="AV72" s="90" t="str">
        <f>IF(ISNUMBER(SEARCH("disagree",AE72)),"N","Y")</f>
        <v>Y</v>
      </c>
      <c r="AW72" s="90" t="s">
        <v>119</v>
      </c>
      <c r="AX72" s="24" t="s">
        <v>119</v>
      </c>
      <c r="AY72" s="90" t="str">
        <f>CONCATENATE(AZ72,BA72,BB72,BC72)</f>
        <v/>
      </c>
      <c r="AZ72" s="90" t="str">
        <f>IF(ISNUMBER(SEARCH("Y",AC72)),"R","")</f>
        <v/>
      </c>
      <c r="BA72" s="90" t="str">
        <f>IF(ISNUMBER(SEARCH("Y",Y72)),"M","")</f>
        <v/>
      </c>
      <c r="BB72" s="90" t="str">
        <f>IF(ISNUMBER(SEARCH("Y",AB72)),"QC","")</f>
        <v/>
      </c>
      <c r="BC72" s="90" t="str">
        <f>IF(ISNUMBER(SEARCH("Y",Z72)),"S","")</f>
        <v/>
      </c>
      <c r="BD72" s="90"/>
      <c r="BE72" s="24" t="s">
        <v>119</v>
      </c>
      <c r="BF72" s="125" t="str">
        <f>IF(AND(AW72&gt;=56543,AW72&lt;=76543,LEN(AW72)&gt;0),"3 Feb 2020",IF(AND(AW72&gt;=66544,AW72&lt;=99999,LEN(AW72)&gt;0),"12 Sep 2020",""))</f>
        <v/>
      </c>
      <c r="BG72" s="125" t="str">
        <f>IF((AND(BF72="3 Feb 2020",LEN(BF72)&gt;0)),"Completed",IF((AND(BF72="12 Sep 2020",LEN(BF72)&gt;0)),"Pending",""))</f>
        <v/>
      </c>
      <c r="BH72" s="90" t="str">
        <f>IF((AND(BF72="3 Feb 2020",LEN(BF72)&gt;0)),"3 Feb 2020","")</f>
        <v/>
      </c>
      <c r="BI72" s="90">
        <v>91992</v>
      </c>
      <c r="BJ72" s="90" t="str">
        <f>L72</f>
        <v>9S90FS86003-67</v>
      </c>
      <c r="BK72" s="127">
        <v>43508</v>
      </c>
      <c r="BL72" s="127">
        <v>44239</v>
      </c>
      <c r="BM72" s="128">
        <f>P72*1.1</f>
        <v>870119.8</v>
      </c>
      <c r="BN72" s="129">
        <f>P72*0.9</f>
        <v>711916.20000000007</v>
      </c>
      <c r="BO72" s="130">
        <f>P72*0.8</f>
        <v>632814.4</v>
      </c>
      <c r="BP72" s="90">
        <f>IF(Z72="Y",BM72*0.4,BM72*1.05)</f>
        <v>913625.79</v>
      </c>
      <c r="BQ72" s="90">
        <f>BP72*0.8</f>
        <v>730900.6320000001</v>
      </c>
      <c r="BR72" s="90" t="str">
        <f>IF(ISNUMBER(SEARCH("subrecipient",AI68)),P72*0.6,"")</f>
        <v/>
      </c>
      <c r="BS72" s="90">
        <v>91992</v>
      </c>
      <c r="BT72" s="90" t="str">
        <f>BJ72</f>
        <v>9S90FS86003-67</v>
      </c>
      <c r="BU72" s="127">
        <f>BK72</f>
        <v>43508</v>
      </c>
      <c r="BV72" s="127">
        <f>BL72</f>
        <v>44239</v>
      </c>
      <c r="BW72" s="90" t="str">
        <f>H72</f>
        <v>CDC</v>
      </c>
      <c r="BX72" s="90" t="str">
        <f>IF(H72="NATIONAL HEMOPHILIA FOUNDATION","Non Federal","Federal")</f>
        <v>Federal</v>
      </c>
      <c r="BY72" s="128">
        <f>BM72</f>
        <v>870119.8</v>
      </c>
      <c r="BZ72" s="90" t="str">
        <f>IF(LEN(BR72)&gt;0,1,"")</f>
        <v/>
      </c>
      <c r="CA72" s="90" t="str">
        <f>IF(LEN(BR72)&gt;0,"VIRAL HEPATITIS PROJECT","")</f>
        <v/>
      </c>
      <c r="CB72" s="129" t="str">
        <f>IF(LEN(BR72)&gt;0,BM72*0.7,"")</f>
        <v/>
      </c>
      <c r="CC72" s="90">
        <f>BP72</f>
        <v>913625.79</v>
      </c>
      <c r="CD72" s="90" t="str">
        <f>IF(LEN(BR72)&gt;0,"70%","")</f>
        <v/>
      </c>
      <c r="CE72" s="90">
        <f>BS72</f>
        <v>91992</v>
      </c>
      <c r="CF72" s="90" t="str">
        <f>CA72</f>
        <v/>
      </c>
      <c r="CG72" s="90"/>
      <c r="CH72" s="90"/>
      <c r="CI72" s="90"/>
      <c r="CJ72" s="90"/>
      <c r="CK72" s="90"/>
      <c r="CL72" s="90"/>
      <c r="CM72" s="90"/>
      <c r="CN72" s="90"/>
      <c r="CO72" s="90"/>
      <c r="CP72" s="90"/>
      <c r="CQ72" s="90"/>
      <c r="CR72" s="90"/>
      <c r="CS72" s="90"/>
      <c r="CT72" s="137"/>
    </row>
    <row r="73" spans="1:98" ht="240">
      <c r="A73" s="89">
        <v>91992</v>
      </c>
      <c r="B73" s="90">
        <v>2020</v>
      </c>
      <c r="C73" s="90" t="s">
        <v>81</v>
      </c>
      <c r="D73" s="90" t="s">
        <v>355</v>
      </c>
      <c r="E73" s="125" t="s">
        <v>362</v>
      </c>
      <c r="F73" s="24" t="s">
        <v>357</v>
      </c>
      <c r="G73" s="90" t="s">
        <v>85</v>
      </c>
      <c r="H73" s="90" t="s">
        <v>86</v>
      </c>
      <c r="I73" s="90">
        <v>93</v>
      </c>
      <c r="J73" s="90">
        <v>157</v>
      </c>
      <c r="K73" s="90" t="s">
        <v>85</v>
      </c>
      <c r="L73" s="90" t="s">
        <v>358</v>
      </c>
      <c r="M73" s="90" t="s">
        <v>119</v>
      </c>
      <c r="N73" s="24" t="s">
        <v>359</v>
      </c>
      <c r="O73" s="24" t="str">
        <f>IF(ISNUMBER(SEARCH("Cancer",N73)),"Cancer",IF(ISNUMBER(SEARCH("health",N73)),"Public health",IF(ISNUMBER(SEARCH("disabilities",N73)),"Disabilities","Other")))</f>
        <v>Other</v>
      </c>
      <c r="P73" s="126">
        <v>791018</v>
      </c>
      <c r="Q73" s="90" t="s">
        <v>85</v>
      </c>
      <c r="R73" s="90" t="str">
        <f>IF(P73&gt;20000000,"B","A")</f>
        <v>A</v>
      </c>
      <c r="S73" s="90" t="s">
        <v>90</v>
      </c>
      <c r="T73" s="90" t="s">
        <v>119</v>
      </c>
      <c r="U73" s="90" t="s">
        <v>119</v>
      </c>
      <c r="V73" s="90" t="s">
        <v>119</v>
      </c>
      <c r="W73" s="90" t="s">
        <v>119</v>
      </c>
      <c r="X73" s="90" t="s">
        <v>119</v>
      </c>
      <c r="Y73" s="90" t="s">
        <v>119</v>
      </c>
      <c r="Z73" s="90" t="s">
        <v>119</v>
      </c>
      <c r="AA73" s="90" t="s">
        <v>119</v>
      </c>
      <c r="AB73" s="90" t="s">
        <v>119</v>
      </c>
      <c r="AC73" s="90" t="s">
        <v>119</v>
      </c>
      <c r="AD73" s="90" t="s">
        <v>119</v>
      </c>
      <c r="AE73" s="24">
        <v>0</v>
      </c>
      <c r="AF73" s="90">
        <v>0</v>
      </c>
      <c r="AG73" s="24">
        <v>0</v>
      </c>
      <c r="AH73" s="90">
        <v>88659</v>
      </c>
      <c r="AI73" s="24" t="s">
        <v>363</v>
      </c>
      <c r="AJ73" s="24" t="s">
        <v>364</v>
      </c>
      <c r="AK73" s="90" t="s">
        <v>85</v>
      </c>
      <c r="AL73" s="90">
        <v>91992</v>
      </c>
      <c r="AM73" s="90" t="s">
        <v>81</v>
      </c>
      <c r="AN73" s="90" t="s">
        <v>355</v>
      </c>
      <c r="AO73" s="125" t="s">
        <v>362</v>
      </c>
      <c r="AP73" s="24" t="s">
        <v>359</v>
      </c>
      <c r="AQ73" s="90" t="s">
        <v>358</v>
      </c>
      <c r="AR73" s="24" t="s">
        <v>359</v>
      </c>
      <c r="AS73" s="90" t="s">
        <v>119</v>
      </c>
      <c r="AT73" s="24" t="s">
        <v>363</v>
      </c>
      <c r="AU73" s="90" t="s">
        <v>119</v>
      </c>
      <c r="AV73" s="90" t="str">
        <f>IF(ISNUMBER(SEARCH("disagree",AE73)),"N","Y")</f>
        <v>Y</v>
      </c>
      <c r="AW73" s="90" t="s">
        <v>119</v>
      </c>
      <c r="AX73" s="24" t="s">
        <v>119</v>
      </c>
      <c r="AY73" s="90" t="str">
        <f>CONCATENATE(AZ73,BA73,BB73,BC73)</f>
        <v/>
      </c>
      <c r="AZ73" s="90" t="str">
        <f>IF(ISNUMBER(SEARCH("Y",AC73)),"R","")</f>
        <v/>
      </c>
      <c r="BA73" s="90" t="str">
        <f>IF(ISNUMBER(SEARCH("Y",Y73)),"M","")</f>
        <v/>
      </c>
      <c r="BB73" s="90" t="str">
        <f>IF(ISNUMBER(SEARCH("Y",AB73)),"QC","")</f>
        <v/>
      </c>
      <c r="BC73" s="90" t="str">
        <f>IF(ISNUMBER(SEARCH("Y",Z73)),"S","")</f>
        <v/>
      </c>
      <c r="BD73" s="90"/>
      <c r="BE73" s="24" t="s">
        <v>119</v>
      </c>
      <c r="BF73" s="125" t="str">
        <f>IF(AND(AW73&gt;=56543,AW73&lt;=76543,LEN(AW73)&gt;0),"3 Feb 2020",IF(AND(AW73&gt;=66544,AW73&lt;=99999,LEN(AW73)&gt;0),"12 Sep 2020",""))</f>
        <v/>
      </c>
      <c r="BG73" s="125" t="str">
        <f>IF((AND(BF73="3 Feb 2020",LEN(BF73)&gt;0)),"Completed",IF((AND(BF73="12 Sep 2020",LEN(BF73)&gt;0)),"Pending",""))</f>
        <v/>
      </c>
      <c r="BH73" s="90" t="str">
        <f>IF((AND(BF73="3 Feb 2020",LEN(BF73)&gt;0)),"3 Feb 2020","")</f>
        <v/>
      </c>
      <c r="BI73" s="90">
        <v>91992</v>
      </c>
      <c r="BJ73" s="90" t="str">
        <f>L73</f>
        <v>9S90FS86003-67</v>
      </c>
      <c r="BK73" s="127">
        <v>43508</v>
      </c>
      <c r="BL73" s="127">
        <v>44239</v>
      </c>
      <c r="BM73" s="128">
        <f>P73*1.1</f>
        <v>870119.8</v>
      </c>
      <c r="BN73" s="129">
        <f>P73*0.9</f>
        <v>711916.20000000007</v>
      </c>
      <c r="BO73" s="130">
        <f>P73*0.8</f>
        <v>632814.4</v>
      </c>
      <c r="BP73" s="90">
        <f>IF(Z73="Y",BM73*0.4,BM73*1.05)</f>
        <v>913625.79</v>
      </c>
      <c r="BQ73" s="90">
        <f>BP73*0.8</f>
        <v>730900.6320000001</v>
      </c>
      <c r="BR73" s="90" t="str">
        <f>IF(ISNUMBER(SEARCH("subrecipient",AI69)),P73*0.6,"")</f>
        <v/>
      </c>
      <c r="BS73" s="90">
        <v>91992</v>
      </c>
      <c r="BT73" s="90" t="str">
        <f>BJ73</f>
        <v>9S90FS86003-67</v>
      </c>
      <c r="BU73" s="127">
        <f>BK73</f>
        <v>43508</v>
      </c>
      <c r="BV73" s="127">
        <f>BL73</f>
        <v>44239</v>
      </c>
      <c r="BW73" s="90" t="str">
        <f>H73</f>
        <v>CDC</v>
      </c>
      <c r="BX73" s="90" t="str">
        <f>IF(H73="NATIONAL HEMOPHILIA FOUNDATION","Non Federal","Federal")</f>
        <v>Federal</v>
      </c>
      <c r="BY73" s="128">
        <f>BM73</f>
        <v>870119.8</v>
      </c>
      <c r="BZ73" s="90" t="str">
        <f>IF(LEN(BR73)&gt;0,1,"")</f>
        <v/>
      </c>
      <c r="CA73" s="90" t="str">
        <f>IF(LEN(BR73)&gt;0,"VIRAL HEPATITIS PROJECT","")</f>
        <v/>
      </c>
      <c r="CB73" s="129" t="str">
        <f>IF(LEN(BR73)&gt;0,BM73*0.7,"")</f>
        <v/>
      </c>
      <c r="CC73" s="90">
        <f>BP73</f>
        <v>913625.79</v>
      </c>
      <c r="CD73" s="90" t="str">
        <f>IF(LEN(BR73)&gt;0,"70%","")</f>
        <v/>
      </c>
      <c r="CE73" s="90">
        <f>BS73</f>
        <v>91992</v>
      </c>
      <c r="CF73" s="90" t="str">
        <f>CA73</f>
        <v/>
      </c>
      <c r="CG73" s="90"/>
      <c r="CH73" s="90"/>
      <c r="CI73" s="90"/>
      <c r="CJ73" s="90"/>
      <c r="CK73" s="90"/>
      <c r="CL73" s="90"/>
      <c r="CM73" s="90"/>
      <c r="CN73" s="90"/>
      <c r="CO73" s="90"/>
      <c r="CP73" s="90"/>
      <c r="CQ73" s="90"/>
      <c r="CR73" s="90"/>
      <c r="CS73" s="90"/>
      <c r="CT73" s="137"/>
    </row>
    <row r="74" spans="1:98" ht="75">
      <c r="A74" s="89">
        <v>91992</v>
      </c>
      <c r="B74" s="90">
        <v>2020</v>
      </c>
      <c r="C74" s="90" t="s">
        <v>81</v>
      </c>
      <c r="D74" s="90" t="s">
        <v>355</v>
      </c>
      <c r="E74" s="125" t="s">
        <v>365</v>
      </c>
      <c r="F74" s="24" t="s">
        <v>357</v>
      </c>
      <c r="G74" s="90" t="s">
        <v>85</v>
      </c>
      <c r="H74" s="90" t="s">
        <v>86</v>
      </c>
      <c r="I74" s="90">
        <v>93</v>
      </c>
      <c r="J74" s="90">
        <v>157</v>
      </c>
      <c r="K74" s="90" t="s">
        <v>85</v>
      </c>
      <c r="L74" s="90" t="s">
        <v>358</v>
      </c>
      <c r="M74" s="90" t="s">
        <v>119</v>
      </c>
      <c r="N74" s="24" t="s">
        <v>359</v>
      </c>
      <c r="O74" s="24" t="str">
        <f>IF(ISNUMBER(SEARCH("Cancer",N74)),"Cancer",IF(ISNUMBER(SEARCH("health",N74)),"Public health",IF(ISNUMBER(SEARCH("disabilities",N74)),"Disabilities","Other")))</f>
        <v>Other</v>
      </c>
      <c r="P74" s="126">
        <v>791018</v>
      </c>
      <c r="Q74" s="90" t="s">
        <v>85</v>
      </c>
      <c r="R74" s="90" t="str">
        <f>IF(P74&gt;20000000,"B","A")</f>
        <v>A</v>
      </c>
      <c r="S74" s="90" t="s">
        <v>90</v>
      </c>
      <c r="T74" s="90" t="s">
        <v>119</v>
      </c>
      <c r="U74" s="90" t="s">
        <v>119</v>
      </c>
      <c r="V74" s="90" t="s">
        <v>119</v>
      </c>
      <c r="W74" s="90" t="s">
        <v>119</v>
      </c>
      <c r="X74" s="90" t="s">
        <v>119</v>
      </c>
      <c r="Y74" s="90" t="s">
        <v>119</v>
      </c>
      <c r="Z74" s="90" t="s">
        <v>119</v>
      </c>
      <c r="AA74" s="90" t="s">
        <v>119</v>
      </c>
      <c r="AB74" s="90" t="s">
        <v>119</v>
      </c>
      <c r="AC74" s="90" t="s">
        <v>119</v>
      </c>
      <c r="AD74" s="90" t="s">
        <v>119</v>
      </c>
      <c r="AE74" s="24">
        <v>0</v>
      </c>
      <c r="AF74" s="90">
        <v>0</v>
      </c>
      <c r="AG74" s="24">
        <v>0</v>
      </c>
      <c r="AH74" s="90">
        <v>88662</v>
      </c>
      <c r="AI74" s="24" t="s">
        <v>366</v>
      </c>
      <c r="AJ74" s="24" t="s">
        <v>367</v>
      </c>
      <c r="AK74" s="90" t="s">
        <v>85</v>
      </c>
      <c r="AL74" s="90">
        <v>91992</v>
      </c>
      <c r="AM74" s="90" t="s">
        <v>81</v>
      </c>
      <c r="AN74" s="90" t="s">
        <v>355</v>
      </c>
      <c r="AO74" s="125" t="s">
        <v>365</v>
      </c>
      <c r="AP74" s="24" t="s">
        <v>359</v>
      </c>
      <c r="AQ74" s="90" t="s">
        <v>358</v>
      </c>
      <c r="AR74" s="24" t="s">
        <v>359</v>
      </c>
      <c r="AS74" s="90" t="s">
        <v>119</v>
      </c>
      <c r="AT74" s="24" t="s">
        <v>366</v>
      </c>
      <c r="AU74" s="90" t="s">
        <v>119</v>
      </c>
      <c r="AV74" s="90" t="str">
        <f>IF(ISNUMBER(SEARCH("disagree",AE74)),"N","Y")</f>
        <v>Y</v>
      </c>
      <c r="AW74" s="90" t="s">
        <v>119</v>
      </c>
      <c r="AX74" s="24" t="s">
        <v>119</v>
      </c>
      <c r="AY74" s="90" t="str">
        <f>CONCATENATE(AZ74,BA74,BB74,BC74)</f>
        <v/>
      </c>
      <c r="AZ74" s="90" t="str">
        <f>IF(ISNUMBER(SEARCH("Y",AC74)),"R","")</f>
        <v/>
      </c>
      <c r="BA74" s="90" t="str">
        <f>IF(ISNUMBER(SEARCH("Y",Y74)),"M","")</f>
        <v/>
      </c>
      <c r="BB74" s="90" t="str">
        <f>IF(ISNUMBER(SEARCH("Y",AB74)),"QC","")</f>
        <v/>
      </c>
      <c r="BC74" s="90" t="str">
        <f>IF(ISNUMBER(SEARCH("Y",Z74)),"S","")</f>
        <v/>
      </c>
      <c r="BD74" s="90"/>
      <c r="BE74" s="24" t="s">
        <v>119</v>
      </c>
      <c r="BF74" s="125" t="str">
        <f>IF(AND(AW74&gt;=56543,AW74&lt;=76543,LEN(AW74)&gt;0),"3 Feb 2020",IF(AND(AW74&gt;=66544,AW74&lt;=99999,LEN(AW74)&gt;0),"12 Sep 2020",""))</f>
        <v/>
      </c>
      <c r="BG74" s="125" t="str">
        <f>IF((AND(BF74="3 Feb 2020",LEN(BF74)&gt;0)),"Completed",IF((AND(BF74="12 Sep 2020",LEN(BF74)&gt;0)),"Pending",""))</f>
        <v/>
      </c>
      <c r="BH74" s="90" t="str">
        <f>IF((AND(BF74="3 Feb 2020",LEN(BF74)&gt;0)),"3 Feb 2020","")</f>
        <v/>
      </c>
      <c r="BI74" s="90">
        <v>91992</v>
      </c>
      <c r="BJ74" s="90" t="str">
        <f>L74</f>
        <v>9S90FS86003-67</v>
      </c>
      <c r="BK74" s="127">
        <v>43508</v>
      </c>
      <c r="BL74" s="127">
        <v>44239</v>
      </c>
      <c r="BM74" s="128">
        <f>P74*1.1</f>
        <v>870119.8</v>
      </c>
      <c r="BN74" s="129">
        <f>P74*0.9</f>
        <v>711916.20000000007</v>
      </c>
      <c r="BO74" s="130">
        <f>P74*0.8</f>
        <v>632814.4</v>
      </c>
      <c r="BP74" s="90">
        <f>IF(Z74="Y",BM74*0.4,BM74*1.05)</f>
        <v>913625.79</v>
      </c>
      <c r="BQ74" s="90">
        <f>BP74*0.8</f>
        <v>730900.6320000001</v>
      </c>
      <c r="BR74" s="90" t="str">
        <f>IF(ISNUMBER(SEARCH("subrecipient",AI70)),P74*0.6,"")</f>
        <v/>
      </c>
      <c r="BS74" s="90">
        <v>91992</v>
      </c>
      <c r="BT74" s="90" t="str">
        <f>BJ74</f>
        <v>9S90FS86003-67</v>
      </c>
      <c r="BU74" s="127">
        <f>BK74</f>
        <v>43508</v>
      </c>
      <c r="BV74" s="127">
        <f>BL74</f>
        <v>44239</v>
      </c>
      <c r="BW74" s="90" t="str">
        <f>H74</f>
        <v>CDC</v>
      </c>
      <c r="BX74" s="90" t="str">
        <f>IF(H74="NATIONAL HEMOPHILIA FOUNDATION","Non Federal","Federal")</f>
        <v>Federal</v>
      </c>
      <c r="BY74" s="128">
        <f>BM74</f>
        <v>870119.8</v>
      </c>
      <c r="BZ74" s="90" t="str">
        <f>IF(LEN(BR74)&gt;0,1,"")</f>
        <v/>
      </c>
      <c r="CA74" s="90" t="str">
        <f>IF(LEN(BR74)&gt;0,"VIRAL HEPATITIS PROJECT","")</f>
        <v/>
      </c>
      <c r="CB74" s="129" t="str">
        <f>IF(LEN(BR74)&gt;0,BM74*0.7,"")</f>
        <v/>
      </c>
      <c r="CC74" s="90">
        <f>BP74</f>
        <v>913625.79</v>
      </c>
      <c r="CD74" s="90" t="str">
        <f>IF(LEN(BR74)&gt;0,"70%","")</f>
        <v/>
      </c>
      <c r="CE74" s="90">
        <f>BS74</f>
        <v>91992</v>
      </c>
      <c r="CF74" s="90" t="str">
        <f>CA74</f>
        <v/>
      </c>
      <c r="CG74" s="90"/>
      <c r="CH74" s="90"/>
      <c r="CI74" s="90"/>
      <c r="CJ74" s="90"/>
      <c r="CK74" s="90"/>
      <c r="CL74" s="90"/>
      <c r="CM74" s="90"/>
      <c r="CN74" s="90"/>
      <c r="CO74" s="90"/>
      <c r="CP74" s="90"/>
      <c r="CQ74" s="90"/>
      <c r="CR74" s="90"/>
      <c r="CS74" s="90"/>
      <c r="CT74" s="137"/>
    </row>
    <row r="75" spans="1:98" ht="135">
      <c r="A75" s="89">
        <v>92106</v>
      </c>
      <c r="B75" s="90">
        <v>2020</v>
      </c>
      <c r="C75" s="90" t="s">
        <v>81</v>
      </c>
      <c r="D75" s="90" t="s">
        <v>368</v>
      </c>
      <c r="E75" s="125" t="s">
        <v>369</v>
      </c>
      <c r="F75" s="24" t="s">
        <v>370</v>
      </c>
      <c r="G75" s="90" t="s">
        <v>85</v>
      </c>
      <c r="H75" s="90" t="s">
        <v>117</v>
      </c>
      <c r="I75" s="90">
        <v>93</v>
      </c>
      <c r="J75" s="90">
        <v>157</v>
      </c>
      <c r="K75" s="90" t="s">
        <v>85</v>
      </c>
      <c r="L75" s="90" t="s">
        <v>371</v>
      </c>
      <c r="M75" s="90" t="s">
        <v>119</v>
      </c>
      <c r="N75" s="24" t="s">
        <v>372</v>
      </c>
      <c r="O75" s="24" t="str">
        <f>IF(ISNUMBER(SEARCH("Cancer",N75)),"Cancer",IF(ISNUMBER(SEARCH("health",N75)),"Public health",IF(ISNUMBER(SEARCH("disabilities",N75)),"Disabilities","Other")))</f>
        <v>Other</v>
      </c>
      <c r="P75" s="126">
        <v>751914</v>
      </c>
      <c r="Q75" s="90" t="s">
        <v>85</v>
      </c>
      <c r="R75" s="90" t="str">
        <f>IF(P75&gt;20000000,"B","A")</f>
        <v>A</v>
      </c>
      <c r="S75" s="90" t="s">
        <v>90</v>
      </c>
      <c r="T75" s="90" t="s">
        <v>119</v>
      </c>
      <c r="U75" s="90" t="s">
        <v>119</v>
      </c>
      <c r="V75" s="90" t="s">
        <v>119</v>
      </c>
      <c r="W75" s="90" t="s">
        <v>119</v>
      </c>
      <c r="X75" s="90" t="s">
        <v>119</v>
      </c>
      <c r="Y75" s="90" t="s">
        <v>119</v>
      </c>
      <c r="Z75" s="90" t="s">
        <v>119</v>
      </c>
      <c r="AA75" s="90" t="s">
        <v>119</v>
      </c>
      <c r="AB75" s="90" t="s">
        <v>119</v>
      </c>
      <c r="AC75" s="90" t="s">
        <v>119</v>
      </c>
      <c r="AD75" s="90" t="s">
        <v>119</v>
      </c>
      <c r="AE75" s="24">
        <v>0</v>
      </c>
      <c r="AF75" s="90">
        <v>0</v>
      </c>
      <c r="AG75" s="24">
        <v>0</v>
      </c>
      <c r="AH75" s="90">
        <v>82681</v>
      </c>
      <c r="AI75" s="24" t="s">
        <v>94</v>
      </c>
      <c r="AJ75" s="24" t="s">
        <v>373</v>
      </c>
      <c r="AK75" s="90" t="s">
        <v>85</v>
      </c>
      <c r="AL75" s="90">
        <v>92106</v>
      </c>
      <c r="AM75" s="90" t="s">
        <v>81</v>
      </c>
      <c r="AN75" s="90" t="s">
        <v>368</v>
      </c>
      <c r="AO75" s="125" t="s">
        <v>369</v>
      </c>
      <c r="AP75" s="24" t="s">
        <v>372</v>
      </c>
      <c r="AQ75" s="90" t="s">
        <v>371</v>
      </c>
      <c r="AR75" s="24" t="s">
        <v>372</v>
      </c>
      <c r="AS75" s="90" t="s">
        <v>119</v>
      </c>
      <c r="AT75" s="24" t="s">
        <v>94</v>
      </c>
      <c r="AU75" s="90" t="s">
        <v>119</v>
      </c>
      <c r="AV75" s="90" t="str">
        <f>IF(ISNUMBER(SEARCH("disagree",AE75)),"N","Y")</f>
        <v>Y</v>
      </c>
      <c r="AW75" s="90" t="s">
        <v>119</v>
      </c>
      <c r="AX75" s="24" t="s">
        <v>119</v>
      </c>
      <c r="AY75" s="90" t="str">
        <f>CONCATENATE(AZ75,BA75,BB75,BC75)</f>
        <v/>
      </c>
      <c r="AZ75" s="90" t="str">
        <f>IF(ISNUMBER(SEARCH("Y",AC75)),"R","")</f>
        <v/>
      </c>
      <c r="BA75" s="90" t="str">
        <f>IF(ISNUMBER(SEARCH("Y",Y75)),"M","")</f>
        <v/>
      </c>
      <c r="BB75" s="90" t="str">
        <f>IF(ISNUMBER(SEARCH("Y",AB75)),"QC","")</f>
        <v/>
      </c>
      <c r="BC75" s="90" t="str">
        <f>IF(ISNUMBER(SEARCH("Y",Z75)),"S","")</f>
        <v/>
      </c>
      <c r="BD75" s="90"/>
      <c r="BE75" s="24" t="s">
        <v>119</v>
      </c>
      <c r="BF75" s="125" t="str">
        <f>IF(AND(AW75&gt;=56543,AW75&lt;=76543,LEN(AW75)&gt;0),"3 Feb 2020",IF(AND(AW75&gt;=66544,AW75&lt;=99999,LEN(AW75)&gt;0),"12 Sep 2020",""))</f>
        <v/>
      </c>
      <c r="BG75" s="125" t="str">
        <f>IF((AND(BF75="3 Feb 2020",LEN(BF75)&gt;0)),"Completed",IF((AND(BF75="12 Sep 2020",LEN(BF75)&gt;0)),"Pending",""))</f>
        <v/>
      </c>
      <c r="BH75" s="90" t="str">
        <f>IF((AND(BF75="3 Feb 2020",LEN(BF75)&gt;0)),"3 Feb 2020","")</f>
        <v/>
      </c>
      <c r="BI75" s="90">
        <v>92106</v>
      </c>
      <c r="BJ75" s="90" t="str">
        <f>L75</f>
        <v>6H93ET88661-32</v>
      </c>
      <c r="BK75" s="127">
        <v>43508</v>
      </c>
      <c r="BL75" s="127">
        <v>44239</v>
      </c>
      <c r="BM75" s="128">
        <f>P75*1.1</f>
        <v>827105.4</v>
      </c>
      <c r="BN75" s="129">
        <f>P75*0.9</f>
        <v>676722.6</v>
      </c>
      <c r="BO75" s="130">
        <f>P75*0.8</f>
        <v>601531.20000000007</v>
      </c>
      <c r="BP75" s="90">
        <f>IF(Z75="Y",BM75*0.4,BM75*1.05)</f>
        <v>868460.67</v>
      </c>
      <c r="BQ75" s="90">
        <f>BP75*0.8</f>
        <v>694768.53600000008</v>
      </c>
      <c r="BR75" s="90" t="str">
        <f>IF(ISNUMBER(SEARCH("subrecipient",AI71)),P75*0.6,"")</f>
        <v/>
      </c>
      <c r="BS75" s="90">
        <v>92106</v>
      </c>
      <c r="BT75" s="90" t="str">
        <f>BJ75</f>
        <v>6H93ET88661-32</v>
      </c>
      <c r="BU75" s="127">
        <f>BK75</f>
        <v>43508</v>
      </c>
      <c r="BV75" s="127">
        <f>BL75</f>
        <v>44239</v>
      </c>
      <c r="BW75" s="90" t="str">
        <f>H75</f>
        <v>NIH</v>
      </c>
      <c r="BX75" s="90" t="str">
        <f>IF(H75="NATIONAL HEMOPHILIA FOUNDATION","Non Federal","Federal")</f>
        <v>Federal</v>
      </c>
      <c r="BY75" s="128">
        <f>BM75</f>
        <v>827105.4</v>
      </c>
      <c r="BZ75" s="90" t="str">
        <f>IF(LEN(BR75)&gt;0,1,"")</f>
        <v/>
      </c>
      <c r="CA75" s="90" t="str">
        <f>IF(LEN(BR75)&gt;0,"VIRAL HEPATITIS PROJECT","")</f>
        <v/>
      </c>
      <c r="CB75" s="129" t="str">
        <f>IF(LEN(BR75)&gt;0,BM75*0.7,"")</f>
        <v/>
      </c>
      <c r="CC75" s="90">
        <f>BP75</f>
        <v>868460.67</v>
      </c>
      <c r="CD75" s="90" t="str">
        <f>IF(LEN(BR75)&gt;0,"70%","")</f>
        <v/>
      </c>
      <c r="CE75" s="90">
        <f>BS75</f>
        <v>92106</v>
      </c>
      <c r="CF75" s="90" t="str">
        <f>CA75</f>
        <v/>
      </c>
      <c r="CG75" s="90"/>
      <c r="CH75" s="90"/>
      <c r="CI75" s="90"/>
      <c r="CJ75" s="90"/>
      <c r="CK75" s="90"/>
      <c r="CL75" s="90"/>
      <c r="CM75" s="90"/>
      <c r="CN75" s="90"/>
      <c r="CO75" s="90"/>
      <c r="CP75" s="90"/>
      <c r="CQ75" s="90"/>
      <c r="CR75" s="90"/>
      <c r="CS75" s="90"/>
      <c r="CT75" s="137"/>
    </row>
    <row r="76" spans="1:98" ht="90">
      <c r="A76" s="89">
        <v>92106</v>
      </c>
      <c r="B76" s="90">
        <v>2020</v>
      </c>
      <c r="C76" s="90" t="s">
        <v>81</v>
      </c>
      <c r="D76" s="90" t="s">
        <v>368</v>
      </c>
      <c r="E76" s="125" t="s">
        <v>374</v>
      </c>
      <c r="F76" s="24" t="s">
        <v>370</v>
      </c>
      <c r="G76" s="90" t="s">
        <v>85</v>
      </c>
      <c r="H76" s="90" t="s">
        <v>117</v>
      </c>
      <c r="I76" s="90">
        <v>93</v>
      </c>
      <c r="J76" s="90">
        <v>157</v>
      </c>
      <c r="K76" s="90" t="s">
        <v>85</v>
      </c>
      <c r="L76" s="90" t="s">
        <v>371</v>
      </c>
      <c r="M76" s="90" t="s">
        <v>119</v>
      </c>
      <c r="N76" s="24" t="s">
        <v>372</v>
      </c>
      <c r="O76" s="24" t="str">
        <f>IF(ISNUMBER(SEARCH("Cancer",N76)),"Cancer",IF(ISNUMBER(SEARCH("health",N76)),"Public health",IF(ISNUMBER(SEARCH("disabilities",N76)),"Disabilities","Other")))</f>
        <v>Other</v>
      </c>
      <c r="P76" s="126">
        <v>751914</v>
      </c>
      <c r="Q76" s="90" t="s">
        <v>85</v>
      </c>
      <c r="R76" s="90" t="str">
        <f>IF(P76&gt;20000000,"B","A")</f>
        <v>A</v>
      </c>
      <c r="S76" s="90" t="s">
        <v>90</v>
      </c>
      <c r="T76" s="90" t="s">
        <v>119</v>
      </c>
      <c r="U76" s="90" t="s">
        <v>119</v>
      </c>
      <c r="V76" s="90" t="s">
        <v>119</v>
      </c>
      <c r="W76" s="90" t="s">
        <v>119</v>
      </c>
      <c r="X76" s="90" t="s">
        <v>119</v>
      </c>
      <c r="Y76" s="90" t="s">
        <v>119</v>
      </c>
      <c r="Z76" s="90" t="s">
        <v>119</v>
      </c>
      <c r="AA76" s="90" t="s">
        <v>119</v>
      </c>
      <c r="AB76" s="90" t="s">
        <v>119</v>
      </c>
      <c r="AC76" s="90" t="s">
        <v>119</v>
      </c>
      <c r="AD76" s="90" t="s">
        <v>119</v>
      </c>
      <c r="AE76" s="24">
        <v>0</v>
      </c>
      <c r="AF76" s="90">
        <v>0</v>
      </c>
      <c r="AG76" s="24">
        <v>0</v>
      </c>
      <c r="AH76" s="90">
        <v>82680</v>
      </c>
      <c r="AI76" s="24" t="s">
        <v>102</v>
      </c>
      <c r="AJ76" s="24" t="s">
        <v>375</v>
      </c>
      <c r="AK76" s="90" t="s">
        <v>85</v>
      </c>
      <c r="AL76" s="90">
        <v>92106</v>
      </c>
      <c r="AM76" s="90" t="s">
        <v>81</v>
      </c>
      <c r="AN76" s="90" t="s">
        <v>368</v>
      </c>
      <c r="AO76" s="125" t="s">
        <v>374</v>
      </c>
      <c r="AP76" s="24" t="s">
        <v>372</v>
      </c>
      <c r="AQ76" s="90" t="s">
        <v>371</v>
      </c>
      <c r="AR76" s="24" t="s">
        <v>372</v>
      </c>
      <c r="AS76" s="90" t="s">
        <v>119</v>
      </c>
      <c r="AT76" s="24" t="s">
        <v>102</v>
      </c>
      <c r="AU76" s="90" t="s">
        <v>119</v>
      </c>
      <c r="AV76" s="90" t="str">
        <f>IF(ISNUMBER(SEARCH("disagree",AE76)),"N","Y")</f>
        <v>Y</v>
      </c>
      <c r="AW76" s="90" t="s">
        <v>119</v>
      </c>
      <c r="AX76" s="24" t="s">
        <v>119</v>
      </c>
      <c r="AY76" s="90" t="str">
        <f>CONCATENATE(AZ76,BA76,BB76,BC76)</f>
        <v/>
      </c>
      <c r="AZ76" s="90" t="str">
        <f>IF(ISNUMBER(SEARCH("Y",AC76)),"R","")</f>
        <v/>
      </c>
      <c r="BA76" s="90" t="str">
        <f>IF(ISNUMBER(SEARCH("Y",Y76)),"M","")</f>
        <v/>
      </c>
      <c r="BB76" s="90" t="str">
        <f>IF(ISNUMBER(SEARCH("Y",AB76)),"QC","")</f>
        <v/>
      </c>
      <c r="BC76" s="90" t="str">
        <f>IF(ISNUMBER(SEARCH("Y",Z76)),"S","")</f>
        <v/>
      </c>
      <c r="BD76" s="90"/>
      <c r="BE76" s="24" t="s">
        <v>119</v>
      </c>
      <c r="BF76" s="125" t="str">
        <f>IF(AND(AW76&gt;=56543,AW76&lt;=76543,LEN(AW76)&gt;0),"3 Feb 2020",IF(AND(AW76&gt;=66544,AW76&lt;=99999,LEN(AW76)&gt;0),"12 Sep 2020",""))</f>
        <v/>
      </c>
      <c r="BG76" s="125" t="str">
        <f>IF((AND(BF76="3 Feb 2020",LEN(BF76)&gt;0)),"Completed",IF((AND(BF76="12 Sep 2020",LEN(BF76)&gt;0)),"Pending",""))</f>
        <v/>
      </c>
      <c r="BH76" s="90" t="str">
        <f>IF((AND(BF76="3 Feb 2020",LEN(BF76)&gt;0)),"3 Feb 2020","")</f>
        <v/>
      </c>
      <c r="BI76" s="90">
        <v>92106</v>
      </c>
      <c r="BJ76" s="90" t="str">
        <f>L76</f>
        <v>6H93ET88661-32</v>
      </c>
      <c r="BK76" s="127">
        <v>43508</v>
      </c>
      <c r="BL76" s="127">
        <v>44239</v>
      </c>
      <c r="BM76" s="128">
        <f>P76*1.1</f>
        <v>827105.4</v>
      </c>
      <c r="BN76" s="129">
        <f>P76*0.9</f>
        <v>676722.6</v>
      </c>
      <c r="BO76" s="130">
        <f>P76*0.8</f>
        <v>601531.20000000007</v>
      </c>
      <c r="BP76" s="90">
        <f>IF(Z76="Y",BM76*0.4,BM76*1.05)</f>
        <v>868460.67</v>
      </c>
      <c r="BQ76" s="90">
        <f>BP76*0.8</f>
        <v>694768.53600000008</v>
      </c>
      <c r="BR76" s="90" t="str">
        <f>IF(ISNUMBER(SEARCH("subrecipient",AI72)),P76*0.6,"")</f>
        <v/>
      </c>
      <c r="BS76" s="90">
        <v>92106</v>
      </c>
      <c r="BT76" s="90" t="str">
        <f>BJ76</f>
        <v>6H93ET88661-32</v>
      </c>
      <c r="BU76" s="127">
        <f>BK76</f>
        <v>43508</v>
      </c>
      <c r="BV76" s="127">
        <f>BL76</f>
        <v>44239</v>
      </c>
      <c r="BW76" s="90" t="str">
        <f>H76</f>
        <v>NIH</v>
      </c>
      <c r="BX76" s="90" t="str">
        <f>IF(H76="NATIONAL HEMOPHILIA FOUNDATION","Non Federal","Federal")</f>
        <v>Federal</v>
      </c>
      <c r="BY76" s="128">
        <f>BM76</f>
        <v>827105.4</v>
      </c>
      <c r="BZ76" s="90" t="str">
        <f>IF(LEN(BR76)&gt;0,1,"")</f>
        <v/>
      </c>
      <c r="CA76" s="90" t="str">
        <f>IF(LEN(BR76)&gt;0,"VIRAL HEPATITIS PROJECT","")</f>
        <v/>
      </c>
      <c r="CB76" s="129" t="str">
        <f>IF(LEN(BR76)&gt;0,BM76*0.7,"")</f>
        <v/>
      </c>
      <c r="CC76" s="90">
        <f>BP76</f>
        <v>868460.67</v>
      </c>
      <c r="CD76" s="90" t="str">
        <f>IF(LEN(BR76)&gt;0,"70%","")</f>
        <v/>
      </c>
      <c r="CE76" s="90">
        <f>BS76</f>
        <v>92106</v>
      </c>
      <c r="CF76" s="90" t="str">
        <f>CA76</f>
        <v/>
      </c>
      <c r="CG76" s="90"/>
      <c r="CH76" s="90"/>
      <c r="CI76" s="90"/>
      <c r="CJ76" s="90"/>
      <c r="CK76" s="90"/>
      <c r="CL76" s="90"/>
      <c r="CM76" s="90"/>
      <c r="CN76" s="90"/>
      <c r="CO76" s="90"/>
      <c r="CP76" s="90"/>
      <c r="CQ76" s="90"/>
      <c r="CR76" s="90"/>
      <c r="CS76" s="90"/>
      <c r="CT76" s="137"/>
    </row>
    <row r="77" spans="1:98" ht="195">
      <c r="A77" s="89">
        <v>93575</v>
      </c>
      <c r="B77" s="90">
        <v>2020</v>
      </c>
      <c r="C77" s="90" t="s">
        <v>81</v>
      </c>
      <c r="D77" s="90" t="s">
        <v>376</v>
      </c>
      <c r="E77" s="125" t="s">
        <v>377</v>
      </c>
      <c r="F77" s="24" t="s">
        <v>378</v>
      </c>
      <c r="G77" s="90" t="s">
        <v>85</v>
      </c>
      <c r="H77" s="90" t="s">
        <v>132</v>
      </c>
      <c r="I77" s="90">
        <v>93</v>
      </c>
      <c r="J77" s="90">
        <v>157</v>
      </c>
      <c r="K77" s="90" t="s">
        <v>85</v>
      </c>
      <c r="L77" s="90" t="s">
        <v>379</v>
      </c>
      <c r="M77" s="90" t="s">
        <v>119</v>
      </c>
      <c r="N77" s="24" t="s">
        <v>380</v>
      </c>
      <c r="O77" s="24" t="str">
        <f>IF(ISNUMBER(SEARCH("Cancer",N77)),"Cancer",IF(ISNUMBER(SEARCH("health",N77)),"Public health",IF(ISNUMBER(SEARCH("disabilities",N77)),"Disabilities","Other")))</f>
        <v>Other</v>
      </c>
      <c r="P77" s="126">
        <v>863051</v>
      </c>
      <c r="Q77" s="90" t="s">
        <v>85</v>
      </c>
      <c r="R77" s="90" t="str">
        <f>IF(P77&gt;20000000,"B","A")</f>
        <v>A</v>
      </c>
      <c r="S77" s="90" t="s">
        <v>90</v>
      </c>
      <c r="T77" s="90" t="s">
        <v>119</v>
      </c>
      <c r="U77" s="90" t="s">
        <v>119</v>
      </c>
      <c r="V77" s="90" t="s">
        <v>119</v>
      </c>
      <c r="W77" s="90" t="s">
        <v>119</v>
      </c>
      <c r="X77" s="90" t="s">
        <v>119</v>
      </c>
      <c r="Y77" s="90" t="s">
        <v>119</v>
      </c>
      <c r="Z77" s="90" t="s">
        <v>119</v>
      </c>
      <c r="AA77" s="90" t="s">
        <v>119</v>
      </c>
      <c r="AB77" s="90" t="s">
        <v>119</v>
      </c>
      <c r="AC77" s="90" t="s">
        <v>119</v>
      </c>
      <c r="AD77" s="90" t="s">
        <v>119</v>
      </c>
      <c r="AE77" s="24">
        <v>0</v>
      </c>
      <c r="AF77" s="90">
        <v>0</v>
      </c>
      <c r="AG77" s="24">
        <v>0</v>
      </c>
      <c r="AH77" s="90">
        <v>78097</v>
      </c>
      <c r="AI77" s="24" t="s">
        <v>94</v>
      </c>
      <c r="AJ77" s="24" t="s">
        <v>381</v>
      </c>
      <c r="AK77" s="90" t="s">
        <v>85</v>
      </c>
      <c r="AL77" s="90">
        <v>93575</v>
      </c>
      <c r="AM77" s="90" t="s">
        <v>81</v>
      </c>
      <c r="AN77" s="90" t="s">
        <v>376</v>
      </c>
      <c r="AO77" s="125" t="s">
        <v>377</v>
      </c>
      <c r="AP77" s="24" t="s">
        <v>380</v>
      </c>
      <c r="AQ77" s="90" t="s">
        <v>379</v>
      </c>
      <c r="AR77" s="24" t="s">
        <v>380</v>
      </c>
      <c r="AS77" s="90" t="s">
        <v>119</v>
      </c>
      <c r="AT77" s="24" t="s">
        <v>94</v>
      </c>
      <c r="AU77" s="90" t="s">
        <v>119</v>
      </c>
      <c r="AV77" s="90" t="str">
        <f>IF(ISNUMBER(SEARCH("disagree",AE77)),"N","Y")</f>
        <v>Y</v>
      </c>
      <c r="AW77" s="90" t="s">
        <v>119</v>
      </c>
      <c r="AX77" s="24" t="s">
        <v>119</v>
      </c>
      <c r="AY77" s="90" t="str">
        <f>CONCATENATE(AZ77,BA77,BB77,BC77)</f>
        <v/>
      </c>
      <c r="AZ77" s="90" t="str">
        <f>IF(ISNUMBER(SEARCH("Y",AC77)),"R","")</f>
        <v/>
      </c>
      <c r="BA77" s="90" t="str">
        <f>IF(ISNUMBER(SEARCH("Y",Y77)),"M","")</f>
        <v/>
      </c>
      <c r="BB77" s="90" t="str">
        <f>IF(ISNUMBER(SEARCH("Y",AB77)),"QC","")</f>
        <v/>
      </c>
      <c r="BC77" s="90" t="str">
        <f>IF(ISNUMBER(SEARCH("Y",Z77)),"S","")</f>
        <v/>
      </c>
      <c r="BD77" s="90"/>
      <c r="BE77" s="24" t="s">
        <v>119</v>
      </c>
      <c r="BF77" s="125" t="str">
        <f>IF(AND(AW77&gt;=56543,AW77&lt;=76543,LEN(AW77)&gt;0),"3 Feb 2020",IF(AND(AW77&gt;=66544,AW77&lt;=99999,LEN(AW77)&gt;0),"12 Sep 2020",""))</f>
        <v/>
      </c>
      <c r="BG77" s="125" t="str">
        <f>IF((AND(BF77="3 Feb 2020",LEN(BF77)&gt;0)),"Completed",IF((AND(BF77="12 Sep 2020",LEN(BF77)&gt;0)),"Pending",""))</f>
        <v/>
      </c>
      <c r="BH77" s="90" t="str">
        <f>IF((AND(BF77="3 Feb 2020",LEN(BF77)&gt;0)),"3 Feb 2020","")</f>
        <v/>
      </c>
      <c r="BI77" s="90">
        <v>93575</v>
      </c>
      <c r="BJ77" s="90" t="str">
        <f>L77</f>
        <v>6H12AT82681-31</v>
      </c>
      <c r="BK77" s="127">
        <v>43508</v>
      </c>
      <c r="BL77" s="127">
        <v>44239</v>
      </c>
      <c r="BM77" s="128">
        <f>P77*1.1</f>
        <v>949356.10000000009</v>
      </c>
      <c r="BN77" s="129">
        <f>P77*0.9</f>
        <v>776745.9</v>
      </c>
      <c r="BO77" s="130">
        <f>P77*0.8</f>
        <v>690440.8</v>
      </c>
      <c r="BP77" s="90">
        <f>IF(Z77="Y",BM77*0.4,BM77*1.05)</f>
        <v>996823.90500000014</v>
      </c>
      <c r="BQ77" s="90">
        <f>BP77*0.8</f>
        <v>797459.12400000019</v>
      </c>
      <c r="BR77" s="90" t="str">
        <f>IF(ISNUMBER(SEARCH("subrecipient",AI73)),P77*0.6,"")</f>
        <v/>
      </c>
      <c r="BS77" s="90">
        <v>93575</v>
      </c>
      <c r="BT77" s="90" t="str">
        <f>BJ77</f>
        <v>6H12AT82681-31</v>
      </c>
      <c r="BU77" s="127">
        <f>BK77</f>
        <v>43508</v>
      </c>
      <c r="BV77" s="127">
        <f>BL77</f>
        <v>44239</v>
      </c>
      <c r="BW77" s="90" t="str">
        <f>H77</f>
        <v>FDA</v>
      </c>
      <c r="BX77" s="90" t="str">
        <f>IF(H77="NATIONAL HEMOPHILIA FOUNDATION","Non Federal","Federal")</f>
        <v>Federal</v>
      </c>
      <c r="BY77" s="128">
        <f>BM77</f>
        <v>949356.10000000009</v>
      </c>
      <c r="BZ77" s="90" t="str">
        <f>IF(LEN(BR77)&gt;0,1,"")</f>
        <v/>
      </c>
      <c r="CA77" s="90" t="str">
        <f>IF(LEN(BR77)&gt;0,"VIRAL HEPATITIS PROJECT","")</f>
        <v/>
      </c>
      <c r="CB77" s="129" t="str">
        <f>IF(LEN(BR77)&gt;0,BM77*0.7,"")</f>
        <v/>
      </c>
      <c r="CC77" s="90">
        <f>BP77</f>
        <v>996823.90500000014</v>
      </c>
      <c r="CD77" s="90" t="str">
        <f>IF(LEN(BR77)&gt;0,"70%","")</f>
        <v/>
      </c>
      <c r="CE77" s="90">
        <f>BS77</f>
        <v>93575</v>
      </c>
      <c r="CF77" s="90" t="str">
        <f>CA77</f>
        <v/>
      </c>
      <c r="CG77" s="90"/>
      <c r="CH77" s="90"/>
      <c r="CI77" s="90"/>
      <c r="CJ77" s="90"/>
      <c r="CK77" s="90"/>
      <c r="CL77" s="90"/>
      <c r="CM77" s="90"/>
      <c r="CN77" s="90"/>
      <c r="CO77" s="90"/>
      <c r="CP77" s="90"/>
      <c r="CQ77" s="90"/>
      <c r="CR77" s="90"/>
      <c r="CS77" s="90"/>
      <c r="CT77" s="137"/>
    </row>
    <row r="78" spans="1:98" ht="105">
      <c r="A78" s="89">
        <v>93575</v>
      </c>
      <c r="B78" s="90">
        <v>2020</v>
      </c>
      <c r="C78" s="90" t="s">
        <v>81</v>
      </c>
      <c r="D78" s="90" t="s">
        <v>376</v>
      </c>
      <c r="E78" s="125" t="s">
        <v>382</v>
      </c>
      <c r="F78" s="24" t="s">
        <v>378</v>
      </c>
      <c r="G78" s="90" t="s">
        <v>85</v>
      </c>
      <c r="H78" s="90" t="s">
        <v>132</v>
      </c>
      <c r="I78" s="90">
        <v>93</v>
      </c>
      <c r="J78" s="90">
        <v>157</v>
      </c>
      <c r="K78" s="90" t="s">
        <v>85</v>
      </c>
      <c r="L78" s="90" t="s">
        <v>379</v>
      </c>
      <c r="M78" s="90" t="s">
        <v>119</v>
      </c>
      <c r="N78" s="24" t="s">
        <v>380</v>
      </c>
      <c r="O78" s="24" t="str">
        <f>IF(ISNUMBER(SEARCH("Cancer",N78)),"Cancer",IF(ISNUMBER(SEARCH("health",N78)),"Public health",IF(ISNUMBER(SEARCH("disabilities",N78)),"Disabilities","Other")))</f>
        <v>Other</v>
      </c>
      <c r="P78" s="126">
        <v>863051</v>
      </c>
      <c r="Q78" s="90" t="s">
        <v>85</v>
      </c>
      <c r="R78" s="90" t="str">
        <f>IF(P78&gt;20000000,"B","A")</f>
        <v>A</v>
      </c>
      <c r="S78" s="90" t="s">
        <v>90</v>
      </c>
      <c r="T78" s="90" t="s">
        <v>119</v>
      </c>
      <c r="U78" s="90" t="s">
        <v>119</v>
      </c>
      <c r="V78" s="90" t="s">
        <v>119</v>
      </c>
      <c r="W78" s="90" t="s">
        <v>119</v>
      </c>
      <c r="X78" s="90" t="s">
        <v>119</v>
      </c>
      <c r="Y78" s="90" t="s">
        <v>119</v>
      </c>
      <c r="Z78" s="90" t="s">
        <v>119</v>
      </c>
      <c r="AA78" s="90" t="s">
        <v>119</v>
      </c>
      <c r="AB78" s="90" t="s">
        <v>119</v>
      </c>
      <c r="AC78" s="90" t="s">
        <v>119</v>
      </c>
      <c r="AD78" s="90" t="s">
        <v>119</v>
      </c>
      <c r="AE78" s="24">
        <v>0</v>
      </c>
      <c r="AF78" s="90">
        <v>0</v>
      </c>
      <c r="AG78" s="24">
        <v>0</v>
      </c>
      <c r="AH78" s="90">
        <v>78098</v>
      </c>
      <c r="AI78" s="24" t="s">
        <v>102</v>
      </c>
      <c r="AJ78" s="24" t="s">
        <v>103</v>
      </c>
      <c r="AK78" s="90" t="s">
        <v>85</v>
      </c>
      <c r="AL78" s="90">
        <v>93575</v>
      </c>
      <c r="AM78" s="90" t="s">
        <v>81</v>
      </c>
      <c r="AN78" s="90" t="s">
        <v>376</v>
      </c>
      <c r="AO78" s="125" t="s">
        <v>382</v>
      </c>
      <c r="AP78" s="24" t="s">
        <v>380</v>
      </c>
      <c r="AQ78" s="90" t="s">
        <v>379</v>
      </c>
      <c r="AR78" s="24" t="s">
        <v>380</v>
      </c>
      <c r="AS78" s="90" t="s">
        <v>119</v>
      </c>
      <c r="AT78" s="24" t="s">
        <v>102</v>
      </c>
      <c r="AU78" s="90" t="s">
        <v>119</v>
      </c>
      <c r="AV78" s="90" t="str">
        <f>IF(ISNUMBER(SEARCH("disagree",AE78)),"N","Y")</f>
        <v>Y</v>
      </c>
      <c r="AW78" s="90" t="s">
        <v>119</v>
      </c>
      <c r="AX78" s="24" t="s">
        <v>119</v>
      </c>
      <c r="AY78" s="90" t="str">
        <f>CONCATENATE(AZ78,BA78,BB78,BC78)</f>
        <v/>
      </c>
      <c r="AZ78" s="90" t="str">
        <f>IF(ISNUMBER(SEARCH("Y",AC78)),"R","")</f>
        <v/>
      </c>
      <c r="BA78" s="90" t="str">
        <f>IF(ISNUMBER(SEARCH("Y",Y78)),"M","")</f>
        <v/>
      </c>
      <c r="BB78" s="90" t="str">
        <f>IF(ISNUMBER(SEARCH("Y",AB78)),"QC","")</f>
        <v/>
      </c>
      <c r="BC78" s="90" t="str">
        <f>IF(ISNUMBER(SEARCH("Y",Z78)),"S","")</f>
        <v/>
      </c>
      <c r="BD78" s="90"/>
      <c r="BE78" s="24" t="s">
        <v>119</v>
      </c>
      <c r="BF78" s="125" t="str">
        <f>IF(AND(AW78&gt;=56543,AW78&lt;=76543,LEN(AW78)&gt;0),"3 Feb 2020",IF(AND(AW78&gt;=66544,AW78&lt;=99999,LEN(AW78)&gt;0),"12 Sep 2020",""))</f>
        <v/>
      </c>
      <c r="BG78" s="125" t="str">
        <f>IF((AND(BF78="3 Feb 2020",LEN(BF78)&gt;0)),"Completed",IF((AND(BF78="12 Sep 2020",LEN(BF78)&gt;0)),"Pending",""))</f>
        <v/>
      </c>
      <c r="BH78" s="90" t="str">
        <f>IF((AND(BF78="3 Feb 2020",LEN(BF78)&gt;0)),"3 Feb 2020","")</f>
        <v/>
      </c>
      <c r="BI78" s="90">
        <v>93575</v>
      </c>
      <c r="BJ78" s="90" t="str">
        <f>L78</f>
        <v>6H12AT82681-31</v>
      </c>
      <c r="BK78" s="127">
        <v>43508</v>
      </c>
      <c r="BL78" s="127">
        <v>44239</v>
      </c>
      <c r="BM78" s="128">
        <f>P78*1.1</f>
        <v>949356.10000000009</v>
      </c>
      <c r="BN78" s="129">
        <f>P78*0.9</f>
        <v>776745.9</v>
      </c>
      <c r="BO78" s="130">
        <f>P78*0.8</f>
        <v>690440.8</v>
      </c>
      <c r="BP78" s="90">
        <f>IF(Z78="Y",BM78*0.4,BM78*1.05)</f>
        <v>996823.90500000014</v>
      </c>
      <c r="BQ78" s="90">
        <f>BP78*0.8</f>
        <v>797459.12400000019</v>
      </c>
      <c r="BR78" s="90" t="str">
        <f>IF(ISNUMBER(SEARCH("subrecipient",AI74)),P78*0.6,"")</f>
        <v/>
      </c>
      <c r="BS78" s="90">
        <v>93575</v>
      </c>
      <c r="BT78" s="90" t="str">
        <f>BJ78</f>
        <v>6H12AT82681-31</v>
      </c>
      <c r="BU78" s="127">
        <f>BK78</f>
        <v>43508</v>
      </c>
      <c r="BV78" s="127">
        <f>BL78</f>
        <v>44239</v>
      </c>
      <c r="BW78" s="90" t="str">
        <f>H78</f>
        <v>FDA</v>
      </c>
      <c r="BX78" s="90" t="str">
        <f>IF(H78="NATIONAL HEMOPHILIA FOUNDATION","Non Federal","Federal")</f>
        <v>Federal</v>
      </c>
      <c r="BY78" s="128">
        <f>BM78</f>
        <v>949356.10000000009</v>
      </c>
      <c r="BZ78" s="90" t="str">
        <f>IF(LEN(BR78)&gt;0,1,"")</f>
        <v/>
      </c>
      <c r="CA78" s="90" t="str">
        <f>IF(LEN(BR78)&gt;0,"VIRAL HEPATITIS PROJECT","")</f>
        <v/>
      </c>
      <c r="CB78" s="129" t="str">
        <f>IF(LEN(BR78)&gt;0,BM78*0.7,"")</f>
        <v/>
      </c>
      <c r="CC78" s="90">
        <f>BP78</f>
        <v>996823.90500000014</v>
      </c>
      <c r="CD78" s="90" t="str">
        <f>IF(LEN(BR78)&gt;0,"70%","")</f>
        <v/>
      </c>
      <c r="CE78" s="90">
        <f>BS78</f>
        <v>93575</v>
      </c>
      <c r="CF78" s="90" t="str">
        <f>CA78</f>
        <v/>
      </c>
      <c r="CG78" s="90"/>
      <c r="CH78" s="90"/>
      <c r="CI78" s="90"/>
      <c r="CJ78" s="90"/>
      <c r="CK78" s="90"/>
      <c r="CL78" s="90"/>
      <c r="CM78" s="90"/>
      <c r="CN78" s="90"/>
      <c r="CO78" s="90"/>
      <c r="CP78" s="90"/>
      <c r="CQ78" s="90"/>
      <c r="CR78" s="90"/>
      <c r="CS78" s="90"/>
      <c r="CT78" s="137"/>
    </row>
    <row r="79" spans="1:98" ht="150">
      <c r="A79" s="89">
        <v>95224</v>
      </c>
      <c r="B79" s="90">
        <v>2020</v>
      </c>
      <c r="C79" s="90" t="s">
        <v>81</v>
      </c>
      <c r="D79" s="90" t="s">
        <v>383</v>
      </c>
      <c r="E79" s="125" t="s">
        <v>384</v>
      </c>
      <c r="F79" s="24" t="s">
        <v>385</v>
      </c>
      <c r="G79" s="90" t="s">
        <v>85</v>
      </c>
      <c r="H79" s="90" t="s">
        <v>150</v>
      </c>
      <c r="I79" s="90">
        <v>93</v>
      </c>
      <c r="J79" s="90">
        <v>157</v>
      </c>
      <c r="K79" s="90" t="s">
        <v>85</v>
      </c>
      <c r="L79" s="90" t="s">
        <v>386</v>
      </c>
      <c r="M79" s="90" t="s">
        <v>119</v>
      </c>
      <c r="N79" s="24" t="s">
        <v>387</v>
      </c>
      <c r="O79" s="24" t="str">
        <f>IF(ISNUMBER(SEARCH("Cancer",N79)),"Cancer",IF(ISNUMBER(SEARCH("health",N79)),"Public health",IF(ISNUMBER(SEARCH("disabilities",N79)),"Disabilities","Other")))</f>
        <v>Other</v>
      </c>
      <c r="P79" s="126">
        <v>753508</v>
      </c>
      <c r="Q79" s="90" t="s">
        <v>85</v>
      </c>
      <c r="R79" s="90" t="str">
        <f>IF(P79&gt;20000000,"B","A")</f>
        <v>A</v>
      </c>
      <c r="S79" s="90" t="s">
        <v>90</v>
      </c>
      <c r="T79" s="90" t="s">
        <v>119</v>
      </c>
      <c r="U79" s="90" t="s">
        <v>119</v>
      </c>
      <c r="V79" s="90" t="s">
        <v>119</v>
      </c>
      <c r="W79" s="90" t="s">
        <v>119</v>
      </c>
      <c r="X79" s="90" t="s">
        <v>119</v>
      </c>
      <c r="Y79" s="90" t="s">
        <v>119</v>
      </c>
      <c r="Z79" s="90" t="s">
        <v>119</v>
      </c>
      <c r="AA79" s="90" t="s">
        <v>119</v>
      </c>
      <c r="AB79" s="90" t="s">
        <v>119</v>
      </c>
      <c r="AC79" s="90" t="s">
        <v>119</v>
      </c>
      <c r="AD79" s="90" t="s">
        <v>119</v>
      </c>
      <c r="AE79" s="24">
        <v>0</v>
      </c>
      <c r="AF79" s="90">
        <v>0</v>
      </c>
      <c r="AG79" s="24">
        <v>0</v>
      </c>
      <c r="AH79" s="90">
        <v>90422</v>
      </c>
      <c r="AI79" s="24" t="s">
        <v>94</v>
      </c>
      <c r="AJ79" s="24" t="s">
        <v>388</v>
      </c>
      <c r="AK79" s="90" t="s">
        <v>85</v>
      </c>
      <c r="AL79" s="90">
        <v>95224</v>
      </c>
      <c r="AM79" s="90" t="s">
        <v>81</v>
      </c>
      <c r="AN79" s="90" t="s">
        <v>383</v>
      </c>
      <c r="AO79" s="125" t="s">
        <v>384</v>
      </c>
      <c r="AP79" s="24" t="s">
        <v>387</v>
      </c>
      <c r="AQ79" s="90" t="s">
        <v>386</v>
      </c>
      <c r="AR79" s="24" t="s">
        <v>387</v>
      </c>
      <c r="AS79" s="90" t="s">
        <v>119</v>
      </c>
      <c r="AT79" s="24" t="s">
        <v>94</v>
      </c>
      <c r="AU79" s="90" t="s">
        <v>119</v>
      </c>
      <c r="AV79" s="90" t="str">
        <f>IF(ISNUMBER(SEARCH("disagree",AE79)),"N","Y")</f>
        <v>Y</v>
      </c>
      <c r="AW79" s="90" t="s">
        <v>119</v>
      </c>
      <c r="AX79" s="24" t="s">
        <v>119</v>
      </c>
      <c r="AY79" s="90" t="str">
        <f>CONCATENATE(AZ79,BA79,BB79,BC79)</f>
        <v/>
      </c>
      <c r="AZ79" s="90" t="str">
        <f>IF(ISNUMBER(SEARCH("Y",AC79)),"R","")</f>
        <v/>
      </c>
      <c r="BA79" s="90" t="str">
        <f>IF(ISNUMBER(SEARCH("Y",Y79)),"M","")</f>
        <v/>
      </c>
      <c r="BB79" s="90" t="str">
        <f>IF(ISNUMBER(SEARCH("Y",AB79)),"QC","")</f>
        <v/>
      </c>
      <c r="BC79" s="90" t="str">
        <f>IF(ISNUMBER(SEARCH("Y",Z79)),"S","")</f>
        <v/>
      </c>
      <c r="BD79" s="90"/>
      <c r="BE79" s="24" t="s">
        <v>119</v>
      </c>
      <c r="BF79" s="125" t="str">
        <f>IF(AND(AW79&gt;=56543,AW79&lt;=76543,LEN(AW79)&gt;0),"3 Feb 2020",IF(AND(AW79&gt;=66544,AW79&lt;=99999,LEN(AW79)&gt;0),"12 Sep 2020",""))</f>
        <v/>
      </c>
      <c r="BG79" s="125" t="str">
        <f>IF((AND(BF79="3 Feb 2020",LEN(BF79)&gt;0)),"Completed",IF((AND(BF79="12 Sep 2020",LEN(BF79)&gt;0)),"Pending",""))</f>
        <v/>
      </c>
      <c r="BH79" s="90" t="str">
        <f>IF((AND(BF79="3 Feb 2020",LEN(BF79)&gt;0)),"3 Feb 2020","")</f>
        <v/>
      </c>
      <c r="BI79" s="90">
        <v>95224</v>
      </c>
      <c r="BJ79" s="90" t="str">
        <f>L79</f>
        <v>4R23GR90422-62</v>
      </c>
      <c r="BK79" s="127">
        <v>43508</v>
      </c>
      <c r="BL79" s="127">
        <v>44239</v>
      </c>
      <c r="BM79" s="128">
        <f>P79*1.1</f>
        <v>828858.8</v>
      </c>
      <c r="BN79" s="129">
        <f>P79*0.9</f>
        <v>678157.20000000007</v>
      </c>
      <c r="BO79" s="130">
        <f>P79*0.8</f>
        <v>602806.4</v>
      </c>
      <c r="BP79" s="90">
        <f>IF(Z79="Y",BM79*0.4,BM79*1.05)</f>
        <v>870301.74000000011</v>
      </c>
      <c r="BQ79" s="90">
        <f>BP79*0.8</f>
        <v>696241.39200000011</v>
      </c>
      <c r="BR79" s="90" t="str">
        <f>IF(ISNUMBER(SEARCH("subrecipient",AI75)),P79*0.6,"")</f>
        <v/>
      </c>
      <c r="BS79" s="90">
        <v>95224</v>
      </c>
      <c r="BT79" s="90" t="str">
        <f>BJ79</f>
        <v>4R23GR90422-62</v>
      </c>
      <c r="BU79" s="127">
        <f>BK79</f>
        <v>43508</v>
      </c>
      <c r="BV79" s="127">
        <f>BL79</f>
        <v>44239</v>
      </c>
      <c r="BW79" s="90" t="str">
        <f>H79</f>
        <v>ACF</v>
      </c>
      <c r="BX79" s="90" t="str">
        <f>IF(H79="NATIONAL HEMOPHILIA FOUNDATION","Non Federal","Federal")</f>
        <v>Federal</v>
      </c>
      <c r="BY79" s="128">
        <f>BM79</f>
        <v>828858.8</v>
      </c>
      <c r="BZ79" s="90" t="str">
        <f>IF(LEN(BR79)&gt;0,1,"")</f>
        <v/>
      </c>
      <c r="CA79" s="90" t="str">
        <f>IF(LEN(BR79)&gt;0,"VIRAL HEPATITIS PROJECT","")</f>
        <v/>
      </c>
      <c r="CB79" s="129" t="str">
        <f>IF(LEN(BR79)&gt;0,BM79*0.7,"")</f>
        <v/>
      </c>
      <c r="CC79" s="90">
        <f>BP79</f>
        <v>870301.74000000011</v>
      </c>
      <c r="CD79" s="90" t="str">
        <f>IF(LEN(BR79)&gt;0,"70%","")</f>
        <v/>
      </c>
      <c r="CE79" s="90">
        <f>BS79</f>
        <v>95224</v>
      </c>
      <c r="CF79" s="90" t="str">
        <f>CA79</f>
        <v/>
      </c>
      <c r="CG79" s="90"/>
      <c r="CH79" s="90"/>
      <c r="CI79" s="90"/>
      <c r="CJ79" s="90"/>
      <c r="CK79" s="90"/>
      <c r="CL79" s="90"/>
      <c r="CM79" s="90"/>
      <c r="CN79" s="90"/>
      <c r="CO79" s="90"/>
      <c r="CP79" s="90"/>
      <c r="CQ79" s="90"/>
      <c r="CR79" s="90"/>
      <c r="CS79" s="90"/>
      <c r="CT79" s="137"/>
    </row>
    <row r="80" spans="1:98" ht="90">
      <c r="A80" s="89">
        <v>95224</v>
      </c>
      <c r="B80" s="90">
        <v>2020</v>
      </c>
      <c r="C80" s="90" t="s">
        <v>81</v>
      </c>
      <c r="D80" s="90" t="s">
        <v>383</v>
      </c>
      <c r="E80" s="125" t="s">
        <v>389</v>
      </c>
      <c r="F80" s="24" t="s">
        <v>385</v>
      </c>
      <c r="G80" s="90" t="s">
        <v>85</v>
      </c>
      <c r="H80" s="90" t="s">
        <v>150</v>
      </c>
      <c r="I80" s="90">
        <v>93</v>
      </c>
      <c r="J80" s="90">
        <v>157</v>
      </c>
      <c r="K80" s="90" t="s">
        <v>85</v>
      </c>
      <c r="L80" s="90" t="s">
        <v>386</v>
      </c>
      <c r="M80" s="90" t="s">
        <v>119</v>
      </c>
      <c r="N80" s="24" t="s">
        <v>387</v>
      </c>
      <c r="O80" s="24" t="str">
        <f>IF(ISNUMBER(SEARCH("Cancer",N80)),"Cancer",IF(ISNUMBER(SEARCH("health",N80)),"Public health",IF(ISNUMBER(SEARCH("disabilities",N80)),"Disabilities","Other")))</f>
        <v>Other</v>
      </c>
      <c r="P80" s="126">
        <v>753508</v>
      </c>
      <c r="Q80" s="90" t="s">
        <v>85</v>
      </c>
      <c r="R80" s="90" t="str">
        <f>IF(P80&gt;20000000,"B","A")</f>
        <v>A</v>
      </c>
      <c r="S80" s="90" t="s">
        <v>90</v>
      </c>
      <c r="T80" s="90" t="s">
        <v>119</v>
      </c>
      <c r="U80" s="90" t="s">
        <v>119</v>
      </c>
      <c r="V80" s="90" t="s">
        <v>119</v>
      </c>
      <c r="W80" s="90" t="s">
        <v>119</v>
      </c>
      <c r="X80" s="90" t="s">
        <v>119</v>
      </c>
      <c r="Y80" s="90" t="s">
        <v>119</v>
      </c>
      <c r="Z80" s="90" t="s">
        <v>119</v>
      </c>
      <c r="AA80" s="90" t="s">
        <v>119</v>
      </c>
      <c r="AB80" s="90" t="s">
        <v>119</v>
      </c>
      <c r="AC80" s="90" t="s">
        <v>119</v>
      </c>
      <c r="AD80" s="90" t="s">
        <v>119</v>
      </c>
      <c r="AE80" s="24">
        <v>0</v>
      </c>
      <c r="AF80" s="90">
        <v>0</v>
      </c>
      <c r="AG80" s="24">
        <v>0</v>
      </c>
      <c r="AH80" s="90">
        <v>90420</v>
      </c>
      <c r="AI80" s="24" t="s">
        <v>102</v>
      </c>
      <c r="AJ80" s="24" t="s">
        <v>103</v>
      </c>
      <c r="AK80" s="90" t="s">
        <v>85</v>
      </c>
      <c r="AL80" s="90">
        <v>95224</v>
      </c>
      <c r="AM80" s="90" t="s">
        <v>81</v>
      </c>
      <c r="AN80" s="90" t="s">
        <v>383</v>
      </c>
      <c r="AO80" s="125" t="s">
        <v>389</v>
      </c>
      <c r="AP80" s="24" t="s">
        <v>387</v>
      </c>
      <c r="AQ80" s="90" t="s">
        <v>386</v>
      </c>
      <c r="AR80" s="24" t="s">
        <v>387</v>
      </c>
      <c r="AS80" s="90" t="s">
        <v>119</v>
      </c>
      <c r="AT80" s="24" t="s">
        <v>102</v>
      </c>
      <c r="AU80" s="90" t="s">
        <v>119</v>
      </c>
      <c r="AV80" s="90" t="str">
        <f>IF(ISNUMBER(SEARCH("disagree",AE80)),"N","Y")</f>
        <v>Y</v>
      </c>
      <c r="AW80" s="90" t="s">
        <v>119</v>
      </c>
      <c r="AX80" s="24" t="s">
        <v>119</v>
      </c>
      <c r="AY80" s="90" t="str">
        <f>CONCATENATE(AZ80,BA80,BB80,BC80)</f>
        <v/>
      </c>
      <c r="AZ80" s="90" t="str">
        <f>IF(ISNUMBER(SEARCH("Y",AC80)),"R","")</f>
        <v/>
      </c>
      <c r="BA80" s="90" t="str">
        <f>IF(ISNUMBER(SEARCH("Y",Y80)),"M","")</f>
        <v/>
      </c>
      <c r="BB80" s="90" t="str">
        <f>IF(ISNUMBER(SEARCH("Y",AB80)),"QC","")</f>
        <v/>
      </c>
      <c r="BC80" s="90" t="str">
        <f>IF(ISNUMBER(SEARCH("Y",Z80)),"S","")</f>
        <v/>
      </c>
      <c r="BD80" s="90"/>
      <c r="BE80" s="24" t="s">
        <v>119</v>
      </c>
      <c r="BF80" s="125" t="str">
        <f>IF(AND(AW80&gt;=56543,AW80&lt;=76543,LEN(AW80)&gt;0),"3 Feb 2020",IF(AND(AW80&gt;=66544,AW80&lt;=99999,LEN(AW80)&gt;0),"12 Sep 2020",""))</f>
        <v/>
      </c>
      <c r="BG80" s="125" t="str">
        <f>IF((AND(BF80="3 Feb 2020",LEN(BF80)&gt;0)),"Completed",IF((AND(BF80="12 Sep 2020",LEN(BF80)&gt;0)),"Pending",""))</f>
        <v/>
      </c>
      <c r="BH80" s="90" t="str">
        <f>IF((AND(BF80="3 Feb 2020",LEN(BF80)&gt;0)),"3 Feb 2020","")</f>
        <v/>
      </c>
      <c r="BI80" s="90">
        <v>95224</v>
      </c>
      <c r="BJ80" s="90" t="str">
        <f>L80</f>
        <v>4R23GR90422-62</v>
      </c>
      <c r="BK80" s="127">
        <v>43508</v>
      </c>
      <c r="BL80" s="127">
        <v>44239</v>
      </c>
      <c r="BM80" s="128">
        <f>P80*1.1</f>
        <v>828858.8</v>
      </c>
      <c r="BN80" s="129">
        <f>P80*0.9</f>
        <v>678157.20000000007</v>
      </c>
      <c r="BO80" s="130">
        <f>P80*0.8</f>
        <v>602806.4</v>
      </c>
      <c r="BP80" s="90">
        <f>IF(Z80="Y",BM80*0.4,BM80*1.05)</f>
        <v>870301.74000000011</v>
      </c>
      <c r="BQ80" s="90">
        <f>BP80*0.8</f>
        <v>696241.39200000011</v>
      </c>
      <c r="BR80" s="90" t="str">
        <f>IF(ISNUMBER(SEARCH("subrecipient",AI76)),P80*0.6,"")</f>
        <v/>
      </c>
      <c r="BS80" s="90">
        <v>95224</v>
      </c>
      <c r="BT80" s="90" t="str">
        <f>BJ80</f>
        <v>4R23GR90422-62</v>
      </c>
      <c r="BU80" s="127">
        <f>BK80</f>
        <v>43508</v>
      </c>
      <c r="BV80" s="127">
        <f>BL80</f>
        <v>44239</v>
      </c>
      <c r="BW80" s="90" t="str">
        <f>H80</f>
        <v>ACF</v>
      </c>
      <c r="BX80" s="90" t="str">
        <f>IF(H80="NATIONAL HEMOPHILIA FOUNDATION","Non Federal","Federal")</f>
        <v>Federal</v>
      </c>
      <c r="BY80" s="128">
        <f>BM80</f>
        <v>828858.8</v>
      </c>
      <c r="BZ80" s="90" t="str">
        <f>IF(LEN(BR80)&gt;0,1,"")</f>
        <v/>
      </c>
      <c r="CA80" s="90" t="str">
        <f>IF(LEN(BR80)&gt;0,"VIRAL HEPATITIS PROJECT","")</f>
        <v/>
      </c>
      <c r="CB80" s="129" t="str">
        <f>IF(LEN(BR80)&gt;0,BM80*0.7,"")</f>
        <v/>
      </c>
      <c r="CC80" s="90">
        <f>BP80</f>
        <v>870301.74000000011</v>
      </c>
      <c r="CD80" s="90" t="str">
        <f>IF(LEN(BR80)&gt;0,"70%","")</f>
        <v/>
      </c>
      <c r="CE80" s="90">
        <f>BS80</f>
        <v>95224</v>
      </c>
      <c r="CF80" s="90" t="str">
        <f>CA80</f>
        <v/>
      </c>
      <c r="CG80" s="90"/>
      <c r="CH80" s="90"/>
      <c r="CI80" s="90"/>
      <c r="CJ80" s="90"/>
      <c r="CK80" s="90"/>
      <c r="CL80" s="90"/>
      <c r="CM80" s="90"/>
      <c r="CN80" s="90"/>
      <c r="CO80" s="90"/>
      <c r="CP80" s="90"/>
      <c r="CQ80" s="90"/>
      <c r="CR80" s="90"/>
      <c r="CS80" s="90"/>
      <c r="CT80" s="137"/>
    </row>
    <row r="81" spans="1:98" ht="90">
      <c r="A81" s="89">
        <v>95224</v>
      </c>
      <c r="B81" s="90">
        <v>2020</v>
      </c>
      <c r="C81" s="90" t="s">
        <v>81</v>
      </c>
      <c r="D81" s="90" t="s">
        <v>383</v>
      </c>
      <c r="E81" s="125" t="s">
        <v>390</v>
      </c>
      <c r="F81" s="24" t="s">
        <v>385</v>
      </c>
      <c r="G81" s="90" t="s">
        <v>85</v>
      </c>
      <c r="H81" s="90" t="s">
        <v>150</v>
      </c>
      <c r="I81" s="90">
        <v>93</v>
      </c>
      <c r="J81" s="90">
        <v>157</v>
      </c>
      <c r="K81" s="90" t="s">
        <v>85</v>
      </c>
      <c r="L81" s="90" t="s">
        <v>386</v>
      </c>
      <c r="M81" s="90" t="s">
        <v>119</v>
      </c>
      <c r="N81" s="24" t="s">
        <v>387</v>
      </c>
      <c r="O81" s="24" t="str">
        <f>IF(ISNUMBER(SEARCH("Cancer",N81)),"Cancer",IF(ISNUMBER(SEARCH("health",N81)),"Public health",IF(ISNUMBER(SEARCH("disabilities",N81)),"Disabilities","Other")))</f>
        <v>Other</v>
      </c>
      <c r="P81" s="126">
        <v>753508</v>
      </c>
      <c r="Q81" s="90" t="s">
        <v>85</v>
      </c>
      <c r="R81" s="90" t="str">
        <f>IF(P81&gt;20000000,"B","A")</f>
        <v>A</v>
      </c>
      <c r="S81" s="90" t="s">
        <v>90</v>
      </c>
      <c r="T81" s="90" t="s">
        <v>119</v>
      </c>
      <c r="U81" s="90" t="s">
        <v>119</v>
      </c>
      <c r="V81" s="90" t="s">
        <v>119</v>
      </c>
      <c r="W81" s="90" t="s">
        <v>119</v>
      </c>
      <c r="X81" s="90" t="s">
        <v>119</v>
      </c>
      <c r="Y81" s="90" t="s">
        <v>119</v>
      </c>
      <c r="Z81" s="90" t="s">
        <v>119</v>
      </c>
      <c r="AA81" s="90" t="s">
        <v>119</v>
      </c>
      <c r="AB81" s="90" t="s">
        <v>119</v>
      </c>
      <c r="AC81" s="90" t="s">
        <v>119</v>
      </c>
      <c r="AD81" s="90" t="s">
        <v>119</v>
      </c>
      <c r="AE81" s="24">
        <v>0</v>
      </c>
      <c r="AF81" s="90">
        <v>0</v>
      </c>
      <c r="AG81" s="24">
        <v>0</v>
      </c>
      <c r="AH81" s="90">
        <v>90423</v>
      </c>
      <c r="AI81" s="24" t="s">
        <v>391</v>
      </c>
      <c r="AJ81" s="24" t="s">
        <v>392</v>
      </c>
      <c r="AK81" s="90" t="s">
        <v>85</v>
      </c>
      <c r="AL81" s="90">
        <v>95224</v>
      </c>
      <c r="AM81" s="90" t="s">
        <v>81</v>
      </c>
      <c r="AN81" s="90" t="s">
        <v>383</v>
      </c>
      <c r="AO81" s="125" t="s">
        <v>390</v>
      </c>
      <c r="AP81" s="24" t="s">
        <v>387</v>
      </c>
      <c r="AQ81" s="90" t="s">
        <v>386</v>
      </c>
      <c r="AR81" s="24" t="s">
        <v>387</v>
      </c>
      <c r="AS81" s="90" t="s">
        <v>119</v>
      </c>
      <c r="AT81" s="24" t="s">
        <v>391</v>
      </c>
      <c r="AU81" s="90" t="s">
        <v>119</v>
      </c>
      <c r="AV81" s="90" t="str">
        <f>IF(ISNUMBER(SEARCH("disagree",AE81)),"N","Y")</f>
        <v>Y</v>
      </c>
      <c r="AW81" s="90" t="s">
        <v>119</v>
      </c>
      <c r="AX81" s="24" t="s">
        <v>119</v>
      </c>
      <c r="AY81" s="90" t="str">
        <f>CONCATENATE(AZ81,BA81,BB81,BC81)</f>
        <v/>
      </c>
      <c r="AZ81" s="90" t="str">
        <f>IF(ISNUMBER(SEARCH("Y",AC81)),"R","")</f>
        <v/>
      </c>
      <c r="BA81" s="90" t="str">
        <f>IF(ISNUMBER(SEARCH("Y",Y81)),"M","")</f>
        <v/>
      </c>
      <c r="BB81" s="90" t="str">
        <f>IF(ISNUMBER(SEARCH("Y",AB81)),"QC","")</f>
        <v/>
      </c>
      <c r="BC81" s="90" t="str">
        <f>IF(ISNUMBER(SEARCH("Y",Z81)),"S","")</f>
        <v/>
      </c>
      <c r="BD81" s="90"/>
      <c r="BE81" s="24" t="s">
        <v>119</v>
      </c>
      <c r="BF81" s="125" t="str">
        <f>IF(AND(AW81&gt;=56543,AW81&lt;=76543,LEN(AW81)&gt;0),"3 Feb 2020",IF(AND(AW81&gt;=66544,AW81&lt;=99999,LEN(AW81)&gt;0),"12 Sep 2020",""))</f>
        <v/>
      </c>
      <c r="BG81" s="125" t="str">
        <f>IF((AND(BF81="3 Feb 2020",LEN(BF81)&gt;0)),"Completed",IF((AND(BF81="12 Sep 2020",LEN(BF81)&gt;0)),"Pending",""))</f>
        <v/>
      </c>
      <c r="BH81" s="90" t="str">
        <f>IF((AND(BF81="3 Feb 2020",LEN(BF81)&gt;0)),"3 Feb 2020","")</f>
        <v/>
      </c>
      <c r="BI81" s="90">
        <v>95224</v>
      </c>
      <c r="BJ81" s="90" t="str">
        <f>L81</f>
        <v>4R23GR90422-62</v>
      </c>
      <c r="BK81" s="127">
        <v>43508</v>
      </c>
      <c r="BL81" s="127">
        <v>44239</v>
      </c>
      <c r="BM81" s="128">
        <f>P81*1.1</f>
        <v>828858.8</v>
      </c>
      <c r="BN81" s="129">
        <f>P81*0.9</f>
        <v>678157.20000000007</v>
      </c>
      <c r="BO81" s="130">
        <f>P81*0.8</f>
        <v>602806.4</v>
      </c>
      <c r="BP81" s="90">
        <f>IF(Z81="Y",BM81*0.4,BM81*1.05)</f>
        <v>870301.74000000011</v>
      </c>
      <c r="BQ81" s="90">
        <f>BP81*0.8</f>
        <v>696241.39200000011</v>
      </c>
      <c r="BR81" s="90" t="str">
        <f>IF(ISNUMBER(SEARCH("subrecipient",AI77)),P81*0.6,"")</f>
        <v/>
      </c>
      <c r="BS81" s="90">
        <v>95224</v>
      </c>
      <c r="BT81" s="90" t="str">
        <f>BJ81</f>
        <v>4R23GR90422-62</v>
      </c>
      <c r="BU81" s="127">
        <f>BK81</f>
        <v>43508</v>
      </c>
      <c r="BV81" s="127">
        <f>BL81</f>
        <v>44239</v>
      </c>
      <c r="BW81" s="90" t="str">
        <f>H81</f>
        <v>ACF</v>
      </c>
      <c r="BX81" s="90" t="str">
        <f>IF(H81="NATIONAL HEMOPHILIA FOUNDATION","Non Federal","Federal")</f>
        <v>Federal</v>
      </c>
      <c r="BY81" s="128">
        <f>BM81</f>
        <v>828858.8</v>
      </c>
      <c r="BZ81" s="90" t="str">
        <f>IF(LEN(BR81)&gt;0,1,"")</f>
        <v/>
      </c>
      <c r="CA81" s="90" t="str">
        <f>IF(LEN(BR81)&gt;0,"VIRAL HEPATITIS PROJECT","")</f>
        <v/>
      </c>
      <c r="CB81" s="129" t="str">
        <f>IF(LEN(BR81)&gt;0,BM81*0.7,"")</f>
        <v/>
      </c>
      <c r="CC81" s="90">
        <f>BP81</f>
        <v>870301.74000000011</v>
      </c>
      <c r="CD81" s="90" t="str">
        <f>IF(LEN(BR81)&gt;0,"70%","")</f>
        <v/>
      </c>
      <c r="CE81" s="90">
        <f>BS81</f>
        <v>95224</v>
      </c>
      <c r="CF81" s="90" t="str">
        <f>CA81</f>
        <v/>
      </c>
      <c r="CG81" s="90"/>
      <c r="CH81" s="90"/>
      <c r="CI81" s="90"/>
      <c r="CJ81" s="90"/>
      <c r="CK81" s="90"/>
      <c r="CL81" s="90"/>
      <c r="CM81" s="90"/>
      <c r="CN81" s="90"/>
      <c r="CO81" s="90"/>
      <c r="CP81" s="90"/>
      <c r="CQ81" s="90"/>
      <c r="CR81" s="90"/>
      <c r="CS81" s="90"/>
      <c r="CT81" s="137"/>
    </row>
    <row r="82" spans="1:98" ht="90">
      <c r="A82" s="89">
        <v>95224</v>
      </c>
      <c r="B82" s="90">
        <v>2020</v>
      </c>
      <c r="C82" s="90" t="s">
        <v>81</v>
      </c>
      <c r="D82" s="90" t="s">
        <v>383</v>
      </c>
      <c r="E82" s="125" t="s">
        <v>393</v>
      </c>
      <c r="F82" s="24" t="s">
        <v>385</v>
      </c>
      <c r="G82" s="90" t="s">
        <v>85</v>
      </c>
      <c r="H82" s="90" t="s">
        <v>150</v>
      </c>
      <c r="I82" s="90">
        <v>93</v>
      </c>
      <c r="J82" s="90">
        <v>157</v>
      </c>
      <c r="K82" s="90" t="s">
        <v>85</v>
      </c>
      <c r="L82" s="90" t="s">
        <v>386</v>
      </c>
      <c r="M82" s="90" t="s">
        <v>119</v>
      </c>
      <c r="N82" s="24" t="s">
        <v>387</v>
      </c>
      <c r="O82" s="24" t="str">
        <f>IF(ISNUMBER(SEARCH("Cancer",N82)),"Cancer",IF(ISNUMBER(SEARCH("health",N82)),"Public health",IF(ISNUMBER(SEARCH("disabilities",N82)),"Disabilities","Other")))</f>
        <v>Other</v>
      </c>
      <c r="P82" s="126">
        <v>753508</v>
      </c>
      <c r="Q82" s="90" t="s">
        <v>85</v>
      </c>
      <c r="R82" s="90" t="str">
        <f>IF(P82&gt;20000000,"B","A")</f>
        <v>A</v>
      </c>
      <c r="S82" s="90" t="s">
        <v>90</v>
      </c>
      <c r="T82" s="90" t="s">
        <v>119</v>
      </c>
      <c r="U82" s="90" t="s">
        <v>119</v>
      </c>
      <c r="V82" s="90" t="s">
        <v>119</v>
      </c>
      <c r="W82" s="90" t="s">
        <v>119</v>
      </c>
      <c r="X82" s="90" t="s">
        <v>119</v>
      </c>
      <c r="Y82" s="90" t="s">
        <v>119</v>
      </c>
      <c r="Z82" s="90" t="s">
        <v>119</v>
      </c>
      <c r="AA82" s="90" t="s">
        <v>119</v>
      </c>
      <c r="AB82" s="90" t="s">
        <v>119</v>
      </c>
      <c r="AC82" s="90" t="s">
        <v>119</v>
      </c>
      <c r="AD82" s="90" t="s">
        <v>119</v>
      </c>
      <c r="AE82" s="24">
        <v>0</v>
      </c>
      <c r="AF82" s="90">
        <v>0</v>
      </c>
      <c r="AG82" s="24">
        <v>0</v>
      </c>
      <c r="AH82" s="90">
        <v>90424</v>
      </c>
      <c r="AI82" s="24" t="s">
        <v>394</v>
      </c>
      <c r="AJ82" s="24" t="s">
        <v>395</v>
      </c>
      <c r="AK82" s="90" t="s">
        <v>85</v>
      </c>
      <c r="AL82" s="90">
        <v>95224</v>
      </c>
      <c r="AM82" s="90" t="s">
        <v>81</v>
      </c>
      <c r="AN82" s="90" t="s">
        <v>383</v>
      </c>
      <c r="AO82" s="125" t="s">
        <v>393</v>
      </c>
      <c r="AP82" s="24" t="s">
        <v>387</v>
      </c>
      <c r="AQ82" s="90" t="s">
        <v>386</v>
      </c>
      <c r="AR82" s="24" t="s">
        <v>387</v>
      </c>
      <c r="AS82" s="90" t="s">
        <v>119</v>
      </c>
      <c r="AT82" s="24" t="s">
        <v>394</v>
      </c>
      <c r="AU82" s="90" t="s">
        <v>119</v>
      </c>
      <c r="AV82" s="90" t="str">
        <f>IF(ISNUMBER(SEARCH("disagree",AE82)),"N","Y")</f>
        <v>Y</v>
      </c>
      <c r="AW82" s="90" t="s">
        <v>119</v>
      </c>
      <c r="AX82" s="24" t="s">
        <v>119</v>
      </c>
      <c r="AY82" s="90" t="str">
        <f>CONCATENATE(AZ82,BA82,BB82,BC82)</f>
        <v/>
      </c>
      <c r="AZ82" s="90" t="str">
        <f>IF(ISNUMBER(SEARCH("Y",AC82)),"R","")</f>
        <v/>
      </c>
      <c r="BA82" s="90" t="str">
        <f>IF(ISNUMBER(SEARCH("Y",Y82)),"M","")</f>
        <v/>
      </c>
      <c r="BB82" s="90" t="str">
        <f>IF(ISNUMBER(SEARCH("Y",AB82)),"QC","")</f>
        <v/>
      </c>
      <c r="BC82" s="90" t="str">
        <f>IF(ISNUMBER(SEARCH("Y",Z82)),"S","")</f>
        <v/>
      </c>
      <c r="BD82" s="90"/>
      <c r="BE82" s="24" t="s">
        <v>119</v>
      </c>
      <c r="BF82" s="125" t="str">
        <f>IF(AND(AW82&gt;=56543,AW82&lt;=76543,LEN(AW82)&gt;0),"3 Feb 2020",IF(AND(AW82&gt;=66544,AW82&lt;=99999,LEN(AW82)&gt;0),"12 Sep 2020",""))</f>
        <v/>
      </c>
      <c r="BG82" s="125" t="str">
        <f>IF((AND(BF82="3 Feb 2020",LEN(BF82)&gt;0)),"Completed",IF((AND(BF82="12 Sep 2020",LEN(BF82)&gt;0)),"Pending",""))</f>
        <v/>
      </c>
      <c r="BH82" s="90" t="str">
        <f>IF((AND(BF82="3 Feb 2020",LEN(BF82)&gt;0)),"3 Feb 2020","")</f>
        <v/>
      </c>
      <c r="BI82" s="90">
        <v>95224</v>
      </c>
      <c r="BJ82" s="90" t="str">
        <f>L82</f>
        <v>4R23GR90422-62</v>
      </c>
      <c r="BK82" s="127">
        <v>43508</v>
      </c>
      <c r="BL82" s="127">
        <v>44239</v>
      </c>
      <c r="BM82" s="128">
        <f>P82*1.1</f>
        <v>828858.8</v>
      </c>
      <c r="BN82" s="129">
        <f>P82*0.9</f>
        <v>678157.20000000007</v>
      </c>
      <c r="BO82" s="130">
        <f>P82*0.8</f>
        <v>602806.4</v>
      </c>
      <c r="BP82" s="90">
        <f>IF(Z82="Y",BM82*0.4,BM82*1.05)</f>
        <v>870301.74000000011</v>
      </c>
      <c r="BQ82" s="90">
        <f>BP82*0.8</f>
        <v>696241.39200000011</v>
      </c>
      <c r="BR82" s="90" t="str">
        <f>IF(ISNUMBER(SEARCH("subrecipient",AI78)),P82*0.6,"")</f>
        <v/>
      </c>
      <c r="BS82" s="90">
        <v>95224</v>
      </c>
      <c r="BT82" s="90" t="str">
        <f>BJ82</f>
        <v>4R23GR90422-62</v>
      </c>
      <c r="BU82" s="127">
        <f>BK82</f>
        <v>43508</v>
      </c>
      <c r="BV82" s="127">
        <f>BL82</f>
        <v>44239</v>
      </c>
      <c r="BW82" s="90" t="str">
        <f>H82</f>
        <v>ACF</v>
      </c>
      <c r="BX82" s="90" t="str">
        <f>IF(H82="NATIONAL HEMOPHILIA FOUNDATION","Non Federal","Federal")</f>
        <v>Federal</v>
      </c>
      <c r="BY82" s="128">
        <f>BM82</f>
        <v>828858.8</v>
      </c>
      <c r="BZ82" s="90" t="str">
        <f>IF(LEN(BR82)&gt;0,1,"")</f>
        <v/>
      </c>
      <c r="CA82" s="90" t="str">
        <f>IF(LEN(BR82)&gt;0,"VIRAL HEPATITIS PROJECT","")</f>
        <v/>
      </c>
      <c r="CB82" s="129" t="str">
        <f>IF(LEN(BR82)&gt;0,BM82*0.7,"")</f>
        <v/>
      </c>
      <c r="CC82" s="90">
        <f>BP82</f>
        <v>870301.74000000011</v>
      </c>
      <c r="CD82" s="90" t="str">
        <f>IF(LEN(BR82)&gt;0,"70%","")</f>
        <v/>
      </c>
      <c r="CE82" s="90">
        <f>BS82</f>
        <v>95224</v>
      </c>
      <c r="CF82" s="90" t="str">
        <f>CA82</f>
        <v/>
      </c>
      <c r="CG82" s="90"/>
      <c r="CH82" s="90"/>
      <c r="CI82" s="90"/>
      <c r="CJ82" s="90"/>
      <c r="CK82" s="90"/>
      <c r="CL82" s="90"/>
      <c r="CM82" s="90"/>
      <c r="CN82" s="90"/>
      <c r="CO82" s="90"/>
      <c r="CP82" s="90"/>
      <c r="CQ82" s="90"/>
      <c r="CR82" s="90"/>
      <c r="CS82" s="90"/>
      <c r="CT82" s="137"/>
    </row>
    <row r="83" spans="1:98" ht="90">
      <c r="A83" s="89">
        <v>95224</v>
      </c>
      <c r="B83" s="90">
        <v>2020</v>
      </c>
      <c r="C83" s="90" t="s">
        <v>81</v>
      </c>
      <c r="D83" s="90" t="s">
        <v>383</v>
      </c>
      <c r="E83" s="125" t="s">
        <v>396</v>
      </c>
      <c r="F83" s="24" t="s">
        <v>385</v>
      </c>
      <c r="G83" s="90" t="s">
        <v>85</v>
      </c>
      <c r="H83" s="90" t="s">
        <v>150</v>
      </c>
      <c r="I83" s="90">
        <v>93</v>
      </c>
      <c r="J83" s="90">
        <v>157</v>
      </c>
      <c r="K83" s="90" t="s">
        <v>85</v>
      </c>
      <c r="L83" s="90" t="s">
        <v>386</v>
      </c>
      <c r="M83" s="90" t="s">
        <v>119</v>
      </c>
      <c r="N83" s="24" t="s">
        <v>387</v>
      </c>
      <c r="O83" s="24" t="str">
        <f>IF(ISNUMBER(SEARCH("Cancer",N83)),"Cancer",IF(ISNUMBER(SEARCH("health",N83)),"Public health",IF(ISNUMBER(SEARCH("disabilities",N83)),"Disabilities","Other")))</f>
        <v>Other</v>
      </c>
      <c r="P83" s="126">
        <v>753508</v>
      </c>
      <c r="Q83" s="90" t="s">
        <v>85</v>
      </c>
      <c r="R83" s="90" t="str">
        <f>IF(P83&gt;20000000,"B","A")</f>
        <v>A</v>
      </c>
      <c r="S83" s="90" t="s">
        <v>90</v>
      </c>
      <c r="T83" s="90" t="s">
        <v>119</v>
      </c>
      <c r="U83" s="90" t="s">
        <v>119</v>
      </c>
      <c r="V83" s="90" t="s">
        <v>119</v>
      </c>
      <c r="W83" s="90" t="s">
        <v>119</v>
      </c>
      <c r="X83" s="90" t="s">
        <v>119</v>
      </c>
      <c r="Y83" s="90" t="s">
        <v>119</v>
      </c>
      <c r="Z83" s="90" t="s">
        <v>119</v>
      </c>
      <c r="AA83" s="90" t="s">
        <v>119</v>
      </c>
      <c r="AB83" s="90" t="s">
        <v>119</v>
      </c>
      <c r="AC83" s="90" t="s">
        <v>119</v>
      </c>
      <c r="AD83" s="90" t="s">
        <v>119</v>
      </c>
      <c r="AE83" s="24">
        <v>0</v>
      </c>
      <c r="AF83" s="90">
        <v>0</v>
      </c>
      <c r="AG83" s="24">
        <v>0</v>
      </c>
      <c r="AH83" s="90">
        <v>90421</v>
      </c>
      <c r="AI83" s="24" t="s">
        <v>397</v>
      </c>
      <c r="AJ83" s="24" t="s">
        <v>398</v>
      </c>
      <c r="AK83" s="90" t="s">
        <v>85</v>
      </c>
      <c r="AL83" s="90">
        <v>95224</v>
      </c>
      <c r="AM83" s="90" t="s">
        <v>81</v>
      </c>
      <c r="AN83" s="90" t="s">
        <v>383</v>
      </c>
      <c r="AO83" s="125" t="s">
        <v>396</v>
      </c>
      <c r="AP83" s="24" t="s">
        <v>387</v>
      </c>
      <c r="AQ83" s="90" t="s">
        <v>386</v>
      </c>
      <c r="AR83" s="24" t="s">
        <v>387</v>
      </c>
      <c r="AS83" s="90" t="s">
        <v>119</v>
      </c>
      <c r="AT83" s="24" t="s">
        <v>397</v>
      </c>
      <c r="AU83" s="90" t="s">
        <v>119</v>
      </c>
      <c r="AV83" s="90" t="str">
        <f>IF(ISNUMBER(SEARCH("disagree",AE83)),"N","Y")</f>
        <v>Y</v>
      </c>
      <c r="AW83" s="90" t="s">
        <v>119</v>
      </c>
      <c r="AX83" s="24" t="s">
        <v>119</v>
      </c>
      <c r="AY83" s="90" t="str">
        <f>CONCATENATE(AZ83,BA83,BB83,BC83)</f>
        <v/>
      </c>
      <c r="AZ83" s="90" t="str">
        <f>IF(ISNUMBER(SEARCH("Y",AC83)),"R","")</f>
        <v/>
      </c>
      <c r="BA83" s="90" t="str">
        <f>IF(ISNUMBER(SEARCH("Y",Y83)),"M","")</f>
        <v/>
      </c>
      <c r="BB83" s="90" t="str">
        <f>IF(ISNUMBER(SEARCH("Y",AB83)),"QC","")</f>
        <v/>
      </c>
      <c r="BC83" s="90" t="str">
        <f>IF(ISNUMBER(SEARCH("Y",Z83)),"S","")</f>
        <v/>
      </c>
      <c r="BD83" s="90"/>
      <c r="BE83" s="24" t="s">
        <v>119</v>
      </c>
      <c r="BF83" s="125" t="str">
        <f>IF(AND(AW83&gt;=56543,AW83&lt;=76543,LEN(AW83)&gt;0),"3 Feb 2020",IF(AND(AW83&gt;=66544,AW83&lt;=99999,LEN(AW83)&gt;0),"12 Sep 2020",""))</f>
        <v/>
      </c>
      <c r="BG83" s="125" t="str">
        <f>IF((AND(BF83="3 Feb 2020",LEN(BF83)&gt;0)),"Completed",IF((AND(BF83="12 Sep 2020",LEN(BF83)&gt;0)),"Pending",""))</f>
        <v/>
      </c>
      <c r="BH83" s="90" t="str">
        <f>IF((AND(BF83="3 Feb 2020",LEN(BF83)&gt;0)),"3 Feb 2020","")</f>
        <v/>
      </c>
      <c r="BI83" s="90">
        <v>95224</v>
      </c>
      <c r="BJ83" s="90" t="str">
        <f>L83</f>
        <v>4R23GR90422-62</v>
      </c>
      <c r="BK83" s="127">
        <v>43508</v>
      </c>
      <c r="BL83" s="127">
        <v>44239</v>
      </c>
      <c r="BM83" s="128">
        <f>P83*1.1</f>
        <v>828858.8</v>
      </c>
      <c r="BN83" s="129">
        <f>P83*0.9</f>
        <v>678157.20000000007</v>
      </c>
      <c r="BO83" s="130">
        <f>P83*0.8</f>
        <v>602806.4</v>
      </c>
      <c r="BP83" s="90">
        <f>IF(Z83="Y",BM83*0.4,BM83*1.05)</f>
        <v>870301.74000000011</v>
      </c>
      <c r="BQ83" s="90">
        <f>BP83*0.8</f>
        <v>696241.39200000011</v>
      </c>
      <c r="BR83" s="90" t="str">
        <f>IF(ISNUMBER(SEARCH("subrecipient",AI79)),P83*0.6,"")</f>
        <v/>
      </c>
      <c r="BS83" s="90">
        <v>95224</v>
      </c>
      <c r="BT83" s="90" t="str">
        <f>BJ83</f>
        <v>4R23GR90422-62</v>
      </c>
      <c r="BU83" s="127">
        <f>BK83</f>
        <v>43508</v>
      </c>
      <c r="BV83" s="127">
        <f>BL83</f>
        <v>44239</v>
      </c>
      <c r="BW83" s="90" t="str">
        <f>H83</f>
        <v>ACF</v>
      </c>
      <c r="BX83" s="90" t="str">
        <f>IF(H83="NATIONAL HEMOPHILIA FOUNDATION","Non Federal","Federal")</f>
        <v>Federal</v>
      </c>
      <c r="BY83" s="128">
        <f>BM83</f>
        <v>828858.8</v>
      </c>
      <c r="BZ83" s="90" t="str">
        <f>IF(LEN(BR83)&gt;0,1,"")</f>
        <v/>
      </c>
      <c r="CA83" s="90" t="str">
        <f>IF(LEN(BR83)&gt;0,"VIRAL HEPATITIS PROJECT","")</f>
        <v/>
      </c>
      <c r="CB83" s="129" t="str">
        <f>IF(LEN(BR83)&gt;0,BM83*0.7,"")</f>
        <v/>
      </c>
      <c r="CC83" s="90">
        <f>BP83</f>
        <v>870301.74000000011</v>
      </c>
      <c r="CD83" s="90" t="str">
        <f>IF(LEN(BR83)&gt;0,"70%","")</f>
        <v/>
      </c>
      <c r="CE83" s="90">
        <f>BS83</f>
        <v>95224</v>
      </c>
      <c r="CF83" s="90" t="str">
        <f>CA83</f>
        <v/>
      </c>
      <c r="CG83" s="90"/>
      <c r="CH83" s="90"/>
      <c r="CI83" s="90"/>
      <c r="CJ83" s="90"/>
      <c r="CK83" s="90"/>
      <c r="CL83" s="90"/>
      <c r="CM83" s="90"/>
      <c r="CN83" s="90"/>
      <c r="CO83" s="90"/>
      <c r="CP83" s="90"/>
      <c r="CQ83" s="90"/>
      <c r="CR83" s="90"/>
      <c r="CS83" s="90"/>
      <c r="CT83" s="137"/>
    </row>
    <row r="84" spans="1:98" ht="150">
      <c r="A84" s="89">
        <v>95984</v>
      </c>
      <c r="B84" s="90">
        <v>2020</v>
      </c>
      <c r="C84" s="90" t="s">
        <v>283</v>
      </c>
      <c r="D84" s="90" t="s">
        <v>399</v>
      </c>
      <c r="E84" s="125" t="s">
        <v>400</v>
      </c>
      <c r="F84" s="24" t="s">
        <v>401</v>
      </c>
      <c r="G84" s="90" t="s">
        <v>85</v>
      </c>
      <c r="H84" s="90" t="s">
        <v>86</v>
      </c>
      <c r="I84" s="90">
        <v>93</v>
      </c>
      <c r="J84" s="90">
        <v>157</v>
      </c>
      <c r="K84" s="90" t="s">
        <v>85</v>
      </c>
      <c r="L84" s="90" t="s">
        <v>402</v>
      </c>
      <c r="M84" s="90" t="s">
        <v>119</v>
      </c>
      <c r="N84" s="24" t="s">
        <v>403</v>
      </c>
      <c r="O84" s="24" t="str">
        <f>IF(ISNUMBER(SEARCH("Cancer",N84)),"Cancer",IF(ISNUMBER(SEARCH("health",N84)),"Public health",IF(ISNUMBER(SEARCH("disabilities",N84)),"Disabilities","Other")))</f>
        <v>Other</v>
      </c>
      <c r="P84" s="126">
        <v>991681</v>
      </c>
      <c r="Q84" s="90" t="s">
        <v>85</v>
      </c>
      <c r="R84" s="90" t="str">
        <f>IF(P84&gt;20000000,"B","A")</f>
        <v>A</v>
      </c>
      <c r="S84" s="90" t="s">
        <v>90</v>
      </c>
      <c r="T84" s="90" t="s">
        <v>119</v>
      </c>
      <c r="U84" s="90" t="s">
        <v>119</v>
      </c>
      <c r="V84" s="90" t="s">
        <v>119</v>
      </c>
      <c r="W84" s="90" t="s">
        <v>119</v>
      </c>
      <c r="X84" s="90" t="s">
        <v>119</v>
      </c>
      <c r="Y84" s="90" t="s">
        <v>119</v>
      </c>
      <c r="Z84" s="90" t="s">
        <v>119</v>
      </c>
      <c r="AA84" s="90" t="s">
        <v>119</v>
      </c>
      <c r="AB84" s="90" t="s">
        <v>119</v>
      </c>
      <c r="AC84" s="90" t="s">
        <v>119</v>
      </c>
      <c r="AD84" s="90" t="s">
        <v>119</v>
      </c>
      <c r="AE84" s="24">
        <v>0</v>
      </c>
      <c r="AF84" s="90">
        <v>0</v>
      </c>
      <c r="AG84" s="24">
        <v>0</v>
      </c>
      <c r="AH84" s="90">
        <v>90937</v>
      </c>
      <c r="AI84" s="24" t="s">
        <v>94</v>
      </c>
      <c r="AJ84" s="24" t="s">
        <v>404</v>
      </c>
      <c r="AK84" s="90" t="s">
        <v>85</v>
      </c>
      <c r="AL84" s="90">
        <v>95984</v>
      </c>
      <c r="AM84" s="90" t="s">
        <v>283</v>
      </c>
      <c r="AN84" s="90" t="s">
        <v>399</v>
      </c>
      <c r="AO84" s="125" t="s">
        <v>400</v>
      </c>
      <c r="AP84" s="24" t="s">
        <v>403</v>
      </c>
      <c r="AQ84" s="90" t="s">
        <v>402</v>
      </c>
      <c r="AR84" s="24" t="s">
        <v>403</v>
      </c>
      <c r="AS84" s="90" t="s">
        <v>119</v>
      </c>
      <c r="AT84" s="24" t="s">
        <v>94</v>
      </c>
      <c r="AU84" s="90" t="s">
        <v>119</v>
      </c>
      <c r="AV84" s="90" t="str">
        <f>IF(ISNUMBER(SEARCH("disagree",AE84)),"N","Y")</f>
        <v>Y</v>
      </c>
      <c r="AW84" s="90" t="s">
        <v>119</v>
      </c>
      <c r="AX84" s="24" t="s">
        <v>119</v>
      </c>
      <c r="AY84" s="90" t="str">
        <f>CONCATENATE(AZ84,BA84,BB84,BC84)</f>
        <v/>
      </c>
      <c r="AZ84" s="90" t="str">
        <f>IF(ISNUMBER(SEARCH("Y",AC84)),"R","")</f>
        <v/>
      </c>
      <c r="BA84" s="90" t="str">
        <f>IF(ISNUMBER(SEARCH("Y",Y84)),"M","")</f>
        <v/>
      </c>
      <c r="BB84" s="90" t="str">
        <f>IF(ISNUMBER(SEARCH("Y",AB84)),"QC","")</f>
        <v/>
      </c>
      <c r="BC84" s="90" t="str">
        <f>IF(ISNUMBER(SEARCH("Y",Z84)),"S","")</f>
        <v/>
      </c>
      <c r="BD84" s="90"/>
      <c r="BE84" s="24" t="s">
        <v>119</v>
      </c>
      <c r="BF84" s="125" t="str">
        <f>IF(AND(AW84&gt;=56543,AW84&lt;=76543,LEN(AW84)&gt;0),"3 Feb 2020",IF(AND(AW84&gt;=66544,AW84&lt;=99999,LEN(AW84)&gt;0),"12 Sep 2020",""))</f>
        <v/>
      </c>
      <c r="BG84" s="125" t="str">
        <f>IF((AND(BF84="3 Feb 2020",LEN(BF84)&gt;0)),"Completed",IF((AND(BF84="12 Sep 2020",LEN(BF84)&gt;0)),"Pending",""))</f>
        <v/>
      </c>
      <c r="BH84" s="90" t="str">
        <f>IF((AND(BF84="3 Feb 2020",LEN(BF84)&gt;0)),"3 Feb 2020","")</f>
        <v/>
      </c>
      <c r="BI84" s="90">
        <v>95984</v>
      </c>
      <c r="BJ84" s="90" t="str">
        <f>L84</f>
        <v>4S75BS90421-55</v>
      </c>
      <c r="BK84" s="127">
        <v>43508</v>
      </c>
      <c r="BL84" s="127">
        <v>44239</v>
      </c>
      <c r="BM84" s="128">
        <f>P84*1.1</f>
        <v>1090849.1000000001</v>
      </c>
      <c r="BN84" s="129">
        <f>P84*0.9</f>
        <v>892512.9</v>
      </c>
      <c r="BO84" s="130">
        <f>P84*0.8</f>
        <v>793344.8</v>
      </c>
      <c r="BP84" s="90">
        <f>IF(Z84="Y",BM84*0.4,BM84*1.05)</f>
        <v>1145391.5550000002</v>
      </c>
      <c r="BQ84" s="90">
        <f>BP84*0.8</f>
        <v>916313.24400000018</v>
      </c>
      <c r="BR84" s="90" t="str">
        <f>IF(ISNUMBER(SEARCH("subrecipient",AI80)),P84*0.6,"")</f>
        <v/>
      </c>
      <c r="BS84" s="90">
        <v>95984</v>
      </c>
      <c r="BT84" s="90" t="str">
        <f>BJ84</f>
        <v>4S75BS90421-55</v>
      </c>
      <c r="BU84" s="127">
        <f>BK84</f>
        <v>43508</v>
      </c>
      <c r="BV84" s="127">
        <f>BL84</f>
        <v>44239</v>
      </c>
      <c r="BW84" s="90" t="str">
        <f>H84</f>
        <v>CDC</v>
      </c>
      <c r="BX84" s="90" t="str">
        <f>IF(H84="NATIONAL HEMOPHILIA FOUNDATION","Non Federal","Federal")</f>
        <v>Federal</v>
      </c>
      <c r="BY84" s="128">
        <f>BM84</f>
        <v>1090849.1000000001</v>
      </c>
      <c r="BZ84" s="90" t="str">
        <f>IF(LEN(BR84)&gt;0,1,"")</f>
        <v/>
      </c>
      <c r="CA84" s="90" t="str">
        <f>IF(LEN(BR84)&gt;0,"VIRAL HEPATITIS PROJECT","")</f>
        <v/>
      </c>
      <c r="CB84" s="129" t="str">
        <f>IF(LEN(BR84)&gt;0,BM84*0.7,"")</f>
        <v/>
      </c>
      <c r="CC84" s="90">
        <f>BP84</f>
        <v>1145391.5550000002</v>
      </c>
      <c r="CD84" s="90" t="str">
        <f>IF(LEN(BR84)&gt;0,"70%","")</f>
        <v/>
      </c>
      <c r="CE84" s="90">
        <f>BS84</f>
        <v>95984</v>
      </c>
      <c r="CF84" s="90" t="str">
        <f>CA84</f>
        <v/>
      </c>
      <c r="CG84" s="90"/>
      <c r="CH84" s="90"/>
      <c r="CI84" s="90"/>
      <c r="CJ84" s="90"/>
      <c r="CK84" s="90"/>
      <c r="CL84" s="90"/>
      <c r="CM84" s="90"/>
      <c r="CN84" s="90"/>
      <c r="CO84" s="90"/>
      <c r="CP84" s="90"/>
      <c r="CQ84" s="90"/>
      <c r="CR84" s="90"/>
      <c r="CS84" s="90"/>
      <c r="CT84" s="137"/>
    </row>
    <row r="85" spans="1:98" ht="75">
      <c r="A85" s="89">
        <v>95984</v>
      </c>
      <c r="B85" s="90">
        <v>2020</v>
      </c>
      <c r="C85" s="90" t="s">
        <v>283</v>
      </c>
      <c r="D85" s="90" t="s">
        <v>399</v>
      </c>
      <c r="E85" s="125" t="s">
        <v>405</v>
      </c>
      <c r="F85" s="24" t="s">
        <v>401</v>
      </c>
      <c r="G85" s="90" t="s">
        <v>85</v>
      </c>
      <c r="H85" s="90" t="s">
        <v>86</v>
      </c>
      <c r="I85" s="90">
        <v>93</v>
      </c>
      <c r="J85" s="90">
        <v>157</v>
      </c>
      <c r="K85" s="90" t="s">
        <v>85</v>
      </c>
      <c r="L85" s="90" t="s">
        <v>402</v>
      </c>
      <c r="M85" s="90" t="s">
        <v>119</v>
      </c>
      <c r="N85" s="24" t="s">
        <v>403</v>
      </c>
      <c r="O85" s="24" t="str">
        <f>IF(ISNUMBER(SEARCH("Cancer",N85)),"Cancer",IF(ISNUMBER(SEARCH("health",N85)),"Public health",IF(ISNUMBER(SEARCH("disabilities",N85)),"Disabilities","Other")))</f>
        <v>Other</v>
      </c>
      <c r="P85" s="126">
        <v>991681</v>
      </c>
      <c r="Q85" s="90" t="s">
        <v>85</v>
      </c>
      <c r="R85" s="90" t="str">
        <f>IF(P85&gt;20000000,"B","A")</f>
        <v>A</v>
      </c>
      <c r="S85" s="90" t="s">
        <v>90</v>
      </c>
      <c r="T85" s="90" t="s">
        <v>119</v>
      </c>
      <c r="U85" s="90" t="s">
        <v>119</v>
      </c>
      <c r="V85" s="90" t="s">
        <v>119</v>
      </c>
      <c r="W85" s="90" t="s">
        <v>119</v>
      </c>
      <c r="X85" s="90" t="s">
        <v>119</v>
      </c>
      <c r="Y85" s="90" t="s">
        <v>119</v>
      </c>
      <c r="Z85" s="90" t="s">
        <v>119</v>
      </c>
      <c r="AA85" s="90" t="s">
        <v>119</v>
      </c>
      <c r="AB85" s="90" t="s">
        <v>119</v>
      </c>
      <c r="AC85" s="90" t="s">
        <v>119</v>
      </c>
      <c r="AD85" s="90" t="s">
        <v>119</v>
      </c>
      <c r="AE85" s="24">
        <v>0</v>
      </c>
      <c r="AF85" s="90">
        <v>0</v>
      </c>
      <c r="AG85" s="24">
        <v>0</v>
      </c>
      <c r="AH85" s="90">
        <v>90936</v>
      </c>
      <c r="AI85" s="24" t="s">
        <v>102</v>
      </c>
      <c r="AJ85" s="24" t="s">
        <v>103</v>
      </c>
      <c r="AK85" s="90" t="s">
        <v>85</v>
      </c>
      <c r="AL85" s="90">
        <v>95984</v>
      </c>
      <c r="AM85" s="90" t="s">
        <v>283</v>
      </c>
      <c r="AN85" s="90" t="s">
        <v>399</v>
      </c>
      <c r="AO85" s="125" t="s">
        <v>405</v>
      </c>
      <c r="AP85" s="24" t="s">
        <v>403</v>
      </c>
      <c r="AQ85" s="90" t="s">
        <v>402</v>
      </c>
      <c r="AR85" s="24" t="s">
        <v>403</v>
      </c>
      <c r="AS85" s="90" t="s">
        <v>119</v>
      </c>
      <c r="AT85" s="24" t="s">
        <v>102</v>
      </c>
      <c r="AU85" s="90" t="s">
        <v>119</v>
      </c>
      <c r="AV85" s="90" t="str">
        <f>IF(ISNUMBER(SEARCH("disagree",AE85)),"N","Y")</f>
        <v>Y</v>
      </c>
      <c r="AW85" s="90" t="s">
        <v>119</v>
      </c>
      <c r="AX85" s="24" t="s">
        <v>119</v>
      </c>
      <c r="AY85" s="90" t="str">
        <f>CONCATENATE(AZ85,BA85,BB85,BC85)</f>
        <v/>
      </c>
      <c r="AZ85" s="90" t="str">
        <f>IF(ISNUMBER(SEARCH("Y",AC85)),"R","")</f>
        <v/>
      </c>
      <c r="BA85" s="90" t="str">
        <f>IF(ISNUMBER(SEARCH("Y",Y85)),"M","")</f>
        <v/>
      </c>
      <c r="BB85" s="90" t="str">
        <f>IF(ISNUMBER(SEARCH("Y",AB85)),"QC","")</f>
        <v/>
      </c>
      <c r="BC85" s="90" t="str">
        <f>IF(ISNUMBER(SEARCH("Y",Z85)),"S","")</f>
        <v/>
      </c>
      <c r="BD85" s="90"/>
      <c r="BE85" s="24" t="s">
        <v>119</v>
      </c>
      <c r="BF85" s="125" t="str">
        <f>IF(AND(AW85&gt;=56543,AW85&lt;=76543,LEN(AW85)&gt;0),"3 Feb 2020",IF(AND(AW85&gt;=66544,AW85&lt;=99999,LEN(AW85)&gt;0),"12 Sep 2020",""))</f>
        <v/>
      </c>
      <c r="BG85" s="125" t="str">
        <f>IF((AND(BF85="3 Feb 2020",LEN(BF85)&gt;0)),"Completed",IF((AND(BF85="12 Sep 2020",LEN(BF85)&gt;0)),"Pending",""))</f>
        <v/>
      </c>
      <c r="BH85" s="90" t="str">
        <f>IF((AND(BF85="3 Feb 2020",LEN(BF85)&gt;0)),"3 Feb 2020","")</f>
        <v/>
      </c>
      <c r="BI85" s="90">
        <v>95984</v>
      </c>
      <c r="BJ85" s="90" t="str">
        <f>L85</f>
        <v>4S75BS90421-55</v>
      </c>
      <c r="BK85" s="127">
        <v>43508</v>
      </c>
      <c r="BL85" s="127">
        <v>44239</v>
      </c>
      <c r="BM85" s="128">
        <f>P85*1.1</f>
        <v>1090849.1000000001</v>
      </c>
      <c r="BN85" s="129">
        <f>P85*0.9</f>
        <v>892512.9</v>
      </c>
      <c r="BO85" s="130">
        <f>P85*0.8</f>
        <v>793344.8</v>
      </c>
      <c r="BP85" s="90">
        <f>IF(Z85="Y",BM85*0.4,BM85*1.05)</f>
        <v>1145391.5550000002</v>
      </c>
      <c r="BQ85" s="90">
        <f>BP85*0.8</f>
        <v>916313.24400000018</v>
      </c>
      <c r="BR85" s="90" t="str">
        <f>IF(ISNUMBER(SEARCH("subrecipient",AI81)),P85*0.6,"")</f>
        <v/>
      </c>
      <c r="BS85" s="90">
        <v>95984</v>
      </c>
      <c r="BT85" s="90" t="str">
        <f>BJ85</f>
        <v>4S75BS90421-55</v>
      </c>
      <c r="BU85" s="127">
        <f>BK85</f>
        <v>43508</v>
      </c>
      <c r="BV85" s="127">
        <f>BL85</f>
        <v>44239</v>
      </c>
      <c r="BW85" s="90" t="str">
        <f>H85</f>
        <v>CDC</v>
      </c>
      <c r="BX85" s="90" t="str">
        <f>IF(H85="NATIONAL HEMOPHILIA FOUNDATION","Non Federal","Federal")</f>
        <v>Federal</v>
      </c>
      <c r="BY85" s="128">
        <f>BM85</f>
        <v>1090849.1000000001</v>
      </c>
      <c r="BZ85" s="90" t="str">
        <f>IF(LEN(BR85)&gt;0,1,"")</f>
        <v/>
      </c>
      <c r="CA85" s="90" t="str">
        <f>IF(LEN(BR85)&gt;0,"VIRAL HEPATITIS PROJECT","")</f>
        <v/>
      </c>
      <c r="CB85" s="129" t="str">
        <f>IF(LEN(BR85)&gt;0,BM85*0.7,"")</f>
        <v/>
      </c>
      <c r="CC85" s="90">
        <f>BP85</f>
        <v>1145391.5550000002</v>
      </c>
      <c r="CD85" s="90" t="str">
        <f>IF(LEN(BR85)&gt;0,"70%","")</f>
        <v/>
      </c>
      <c r="CE85" s="90">
        <f>BS85</f>
        <v>95984</v>
      </c>
      <c r="CF85" s="90" t="str">
        <f>CA85</f>
        <v/>
      </c>
      <c r="CG85" s="90"/>
      <c r="CH85" s="90"/>
      <c r="CI85" s="90"/>
      <c r="CJ85" s="90"/>
      <c r="CK85" s="90"/>
      <c r="CL85" s="90"/>
      <c r="CM85" s="90"/>
      <c r="CN85" s="90"/>
      <c r="CO85" s="90"/>
      <c r="CP85" s="90"/>
      <c r="CQ85" s="90"/>
      <c r="CR85" s="90"/>
      <c r="CS85" s="90"/>
      <c r="CT85" s="137"/>
    </row>
    <row r="86" spans="1:98" ht="225">
      <c r="A86" s="89">
        <v>95999</v>
      </c>
      <c r="B86" s="90">
        <v>2020</v>
      </c>
      <c r="C86" s="90" t="s">
        <v>81</v>
      </c>
      <c r="D86" s="90" t="s">
        <v>406</v>
      </c>
      <c r="E86" s="125" t="s">
        <v>407</v>
      </c>
      <c r="F86" s="24" t="s">
        <v>408</v>
      </c>
      <c r="G86" s="90" t="s">
        <v>85</v>
      </c>
      <c r="H86" s="90" t="s">
        <v>117</v>
      </c>
      <c r="I86" s="90">
        <v>93</v>
      </c>
      <c r="J86" s="90">
        <v>157</v>
      </c>
      <c r="K86" s="90" t="s">
        <v>85</v>
      </c>
      <c r="L86" s="90" t="s">
        <v>409</v>
      </c>
      <c r="M86" s="90" t="s">
        <v>119</v>
      </c>
      <c r="N86" s="24" t="s">
        <v>410</v>
      </c>
      <c r="O86" s="24" t="str">
        <f>IF(ISNUMBER(SEARCH("Cancer",N86)),"Cancer",IF(ISNUMBER(SEARCH("health",N86)),"Public health",IF(ISNUMBER(SEARCH("disabilities",N86)),"Disabilities","Other")))</f>
        <v>Public health</v>
      </c>
      <c r="P86" s="126">
        <v>938560</v>
      </c>
      <c r="Q86" s="90" t="s">
        <v>85</v>
      </c>
      <c r="R86" s="90" t="str">
        <f>IF(P86&gt;20000000,"B","A")</f>
        <v>A</v>
      </c>
      <c r="S86" s="90" t="s">
        <v>90</v>
      </c>
      <c r="T86" s="90" t="s">
        <v>119</v>
      </c>
      <c r="U86" s="90" t="s">
        <v>119</v>
      </c>
      <c r="V86" s="90" t="s">
        <v>119</v>
      </c>
      <c r="W86" s="90" t="s">
        <v>119</v>
      </c>
      <c r="X86" s="90" t="s">
        <v>119</v>
      </c>
      <c r="Y86" s="90" t="s">
        <v>119</v>
      </c>
      <c r="Z86" s="90" t="s">
        <v>119</v>
      </c>
      <c r="AA86" s="90" t="s">
        <v>119</v>
      </c>
      <c r="AB86" s="90" t="s">
        <v>119</v>
      </c>
      <c r="AC86" s="90" t="s">
        <v>119</v>
      </c>
      <c r="AD86" s="90" t="s">
        <v>119</v>
      </c>
      <c r="AE86" s="24">
        <v>0</v>
      </c>
      <c r="AF86" s="90">
        <v>0</v>
      </c>
      <c r="AG86" s="24">
        <v>0</v>
      </c>
      <c r="AH86" s="90">
        <v>90958</v>
      </c>
      <c r="AI86" s="24" t="s">
        <v>94</v>
      </c>
      <c r="AJ86" s="24" t="s">
        <v>411</v>
      </c>
      <c r="AK86" s="90" t="s">
        <v>85</v>
      </c>
      <c r="AL86" s="90">
        <v>95999</v>
      </c>
      <c r="AM86" s="90" t="s">
        <v>81</v>
      </c>
      <c r="AN86" s="90" t="s">
        <v>406</v>
      </c>
      <c r="AO86" s="125" t="s">
        <v>407</v>
      </c>
      <c r="AP86" s="24" t="s">
        <v>410</v>
      </c>
      <c r="AQ86" s="90" t="s">
        <v>409</v>
      </c>
      <c r="AR86" s="24" t="s">
        <v>410</v>
      </c>
      <c r="AS86" s="90" t="s">
        <v>119</v>
      </c>
      <c r="AT86" s="24" t="s">
        <v>94</v>
      </c>
      <c r="AU86" s="90" t="s">
        <v>119</v>
      </c>
      <c r="AV86" s="90" t="str">
        <f>IF(ISNUMBER(SEARCH("disagree",AE86)),"N","Y")</f>
        <v>Y</v>
      </c>
      <c r="AW86" s="90" t="s">
        <v>119</v>
      </c>
      <c r="AX86" s="24" t="s">
        <v>119</v>
      </c>
      <c r="AY86" s="90" t="str">
        <f>CONCATENATE(AZ86,BA86,BB86,BC86)</f>
        <v/>
      </c>
      <c r="AZ86" s="90" t="str">
        <f>IF(ISNUMBER(SEARCH("Y",AC86)),"R","")</f>
        <v/>
      </c>
      <c r="BA86" s="90" t="str">
        <f>IF(ISNUMBER(SEARCH("Y",Y86)),"M","")</f>
        <v/>
      </c>
      <c r="BB86" s="90" t="str">
        <f>IF(ISNUMBER(SEARCH("Y",AB86)),"QC","")</f>
        <v/>
      </c>
      <c r="BC86" s="90" t="str">
        <f>IF(ISNUMBER(SEARCH("Y",Z86)),"S","")</f>
        <v/>
      </c>
      <c r="BD86" s="90"/>
      <c r="BE86" s="24" t="s">
        <v>119</v>
      </c>
      <c r="BF86" s="125" t="str">
        <f>IF(AND(AW86&gt;=56543,AW86&lt;=76543,LEN(AW86)&gt;0),"3 Feb 2020",IF(AND(AW86&gt;=66544,AW86&lt;=99999,LEN(AW86)&gt;0),"12 Sep 2020",""))</f>
        <v/>
      </c>
      <c r="BG86" s="125" t="str">
        <f>IF((AND(BF86="3 Feb 2020",LEN(BF86)&gt;0)),"Completed",IF((AND(BF86="12 Sep 2020",LEN(BF86)&gt;0)),"Pending",""))</f>
        <v/>
      </c>
      <c r="BH86" s="90" t="str">
        <f>IF((AND(BF86="3 Feb 2020",LEN(BF86)&gt;0)),"3 Feb 2020","")</f>
        <v/>
      </c>
      <c r="BI86" s="90">
        <v>95999</v>
      </c>
      <c r="BJ86" s="90" t="str">
        <f>L86</f>
        <v>6S54ES90958-69</v>
      </c>
      <c r="BK86" s="127">
        <v>43508</v>
      </c>
      <c r="BL86" s="127">
        <v>44239</v>
      </c>
      <c r="BM86" s="128">
        <f>P86*1.1</f>
        <v>1032416.0000000001</v>
      </c>
      <c r="BN86" s="129">
        <f>P86*0.9</f>
        <v>844704</v>
      </c>
      <c r="BO86" s="130">
        <f>P86*0.8</f>
        <v>750848</v>
      </c>
      <c r="BP86" s="90">
        <f>IF(Z86="Y",BM86*0.4,BM86*1.05)</f>
        <v>1084036.8000000003</v>
      </c>
      <c r="BQ86" s="90">
        <f>BP86*0.8</f>
        <v>867229.44000000029</v>
      </c>
      <c r="BR86" s="90" t="str">
        <f>IF(ISNUMBER(SEARCH("subrecipient",AI82)),P86*0.6,"")</f>
        <v/>
      </c>
      <c r="BS86" s="90">
        <v>95999</v>
      </c>
      <c r="BT86" s="90" t="str">
        <f>BJ86</f>
        <v>6S54ES90958-69</v>
      </c>
      <c r="BU86" s="127">
        <f>BK86</f>
        <v>43508</v>
      </c>
      <c r="BV86" s="127">
        <f>BL86</f>
        <v>44239</v>
      </c>
      <c r="BW86" s="90" t="str">
        <f>H86</f>
        <v>NIH</v>
      </c>
      <c r="BX86" s="90" t="str">
        <f>IF(H86="NATIONAL HEMOPHILIA FOUNDATION","Non Federal","Federal")</f>
        <v>Federal</v>
      </c>
      <c r="BY86" s="128">
        <f>BM86</f>
        <v>1032416.0000000001</v>
      </c>
      <c r="BZ86" s="90" t="str">
        <f>IF(LEN(BR86)&gt;0,1,"")</f>
        <v/>
      </c>
      <c r="CA86" s="90" t="str">
        <f>IF(LEN(BR86)&gt;0,"VIRAL HEPATITIS PROJECT","")</f>
        <v/>
      </c>
      <c r="CB86" s="129" t="str">
        <f>IF(LEN(BR86)&gt;0,BM86*0.7,"")</f>
        <v/>
      </c>
      <c r="CC86" s="90">
        <f>BP86</f>
        <v>1084036.8000000003</v>
      </c>
      <c r="CD86" s="90" t="str">
        <f>IF(LEN(BR86)&gt;0,"70%","")</f>
        <v/>
      </c>
      <c r="CE86" s="90">
        <f>BS86</f>
        <v>95999</v>
      </c>
      <c r="CF86" s="90" t="str">
        <f>CA86</f>
        <v/>
      </c>
      <c r="CG86" s="90"/>
      <c r="CH86" s="90"/>
      <c r="CI86" s="90"/>
      <c r="CJ86" s="90"/>
      <c r="CK86" s="90"/>
      <c r="CL86" s="90"/>
      <c r="CM86" s="90"/>
      <c r="CN86" s="90"/>
      <c r="CO86" s="90"/>
      <c r="CP86" s="90"/>
      <c r="CQ86" s="90"/>
      <c r="CR86" s="90"/>
      <c r="CS86" s="90"/>
      <c r="CT86" s="137"/>
    </row>
    <row r="87" spans="1:98" ht="90">
      <c r="A87" s="89">
        <v>95999</v>
      </c>
      <c r="B87" s="90">
        <v>2020</v>
      </c>
      <c r="C87" s="90" t="s">
        <v>81</v>
      </c>
      <c r="D87" s="90" t="s">
        <v>406</v>
      </c>
      <c r="E87" s="125" t="s">
        <v>412</v>
      </c>
      <c r="F87" s="24" t="s">
        <v>408</v>
      </c>
      <c r="G87" s="90" t="s">
        <v>85</v>
      </c>
      <c r="H87" s="90" t="s">
        <v>117</v>
      </c>
      <c r="I87" s="90">
        <v>93</v>
      </c>
      <c r="J87" s="90">
        <v>157</v>
      </c>
      <c r="K87" s="90" t="s">
        <v>85</v>
      </c>
      <c r="L87" s="90" t="s">
        <v>409</v>
      </c>
      <c r="M87" s="90" t="s">
        <v>119</v>
      </c>
      <c r="N87" s="24" t="s">
        <v>410</v>
      </c>
      <c r="O87" s="24" t="str">
        <f>IF(ISNUMBER(SEARCH("Cancer",N87)),"Cancer",IF(ISNUMBER(SEARCH("health",N87)),"Public health",IF(ISNUMBER(SEARCH("disabilities",N87)),"Disabilities","Other")))</f>
        <v>Public health</v>
      </c>
      <c r="P87" s="126">
        <v>938560</v>
      </c>
      <c r="Q87" s="90" t="s">
        <v>85</v>
      </c>
      <c r="R87" s="90" t="str">
        <f>IF(P87&gt;20000000,"B","A")</f>
        <v>A</v>
      </c>
      <c r="S87" s="90" t="s">
        <v>90</v>
      </c>
      <c r="T87" s="90" t="s">
        <v>119</v>
      </c>
      <c r="U87" s="90" t="s">
        <v>119</v>
      </c>
      <c r="V87" s="90" t="s">
        <v>119</v>
      </c>
      <c r="W87" s="90" t="s">
        <v>119</v>
      </c>
      <c r="X87" s="90" t="s">
        <v>119</v>
      </c>
      <c r="Y87" s="90" t="s">
        <v>119</v>
      </c>
      <c r="Z87" s="90" t="s">
        <v>119</v>
      </c>
      <c r="AA87" s="90" t="s">
        <v>119</v>
      </c>
      <c r="AB87" s="90" t="s">
        <v>119</v>
      </c>
      <c r="AC87" s="90" t="s">
        <v>119</v>
      </c>
      <c r="AD87" s="90" t="s">
        <v>119</v>
      </c>
      <c r="AE87" s="24">
        <v>0</v>
      </c>
      <c r="AF87" s="90">
        <v>0</v>
      </c>
      <c r="AG87" s="24">
        <v>0</v>
      </c>
      <c r="AH87" s="90">
        <v>90959</v>
      </c>
      <c r="AI87" s="24" t="s">
        <v>102</v>
      </c>
      <c r="AJ87" s="24" t="s">
        <v>103</v>
      </c>
      <c r="AK87" s="90" t="s">
        <v>85</v>
      </c>
      <c r="AL87" s="90">
        <v>95999</v>
      </c>
      <c r="AM87" s="90" t="s">
        <v>81</v>
      </c>
      <c r="AN87" s="90" t="s">
        <v>406</v>
      </c>
      <c r="AO87" s="125" t="s">
        <v>412</v>
      </c>
      <c r="AP87" s="24" t="s">
        <v>410</v>
      </c>
      <c r="AQ87" s="90" t="s">
        <v>409</v>
      </c>
      <c r="AR87" s="24" t="s">
        <v>410</v>
      </c>
      <c r="AS87" s="90" t="s">
        <v>119</v>
      </c>
      <c r="AT87" s="24" t="s">
        <v>102</v>
      </c>
      <c r="AU87" s="90" t="s">
        <v>119</v>
      </c>
      <c r="AV87" s="90" t="str">
        <f>IF(ISNUMBER(SEARCH("disagree",AE87)),"N","Y")</f>
        <v>Y</v>
      </c>
      <c r="AW87" s="90" t="s">
        <v>119</v>
      </c>
      <c r="AX87" s="24" t="s">
        <v>119</v>
      </c>
      <c r="AY87" s="90" t="str">
        <f>CONCATENATE(AZ87,BA87,BB87,BC87)</f>
        <v/>
      </c>
      <c r="AZ87" s="90" t="str">
        <f>IF(ISNUMBER(SEARCH("Y",AC87)),"R","")</f>
        <v/>
      </c>
      <c r="BA87" s="90" t="str">
        <f>IF(ISNUMBER(SEARCH("Y",Y87)),"M","")</f>
        <v/>
      </c>
      <c r="BB87" s="90" t="str">
        <f>IF(ISNUMBER(SEARCH("Y",AB87)),"QC","")</f>
        <v/>
      </c>
      <c r="BC87" s="90" t="str">
        <f>IF(ISNUMBER(SEARCH("Y",Z87)),"S","")</f>
        <v/>
      </c>
      <c r="BD87" s="90"/>
      <c r="BE87" s="24" t="s">
        <v>119</v>
      </c>
      <c r="BF87" s="125" t="str">
        <f>IF(AND(AW87&gt;=56543,AW87&lt;=76543,LEN(AW87)&gt;0),"3 Feb 2020",IF(AND(AW87&gt;=66544,AW87&lt;=99999,LEN(AW87)&gt;0),"12 Sep 2020",""))</f>
        <v/>
      </c>
      <c r="BG87" s="125" t="str">
        <f>IF((AND(BF87="3 Feb 2020",LEN(BF87)&gt;0)),"Completed",IF((AND(BF87="12 Sep 2020",LEN(BF87)&gt;0)),"Pending",""))</f>
        <v/>
      </c>
      <c r="BH87" s="90" t="str">
        <f>IF((AND(BF87="3 Feb 2020",LEN(BF87)&gt;0)),"3 Feb 2020","")</f>
        <v/>
      </c>
      <c r="BI87" s="90">
        <v>95999</v>
      </c>
      <c r="BJ87" s="90" t="str">
        <f>L87</f>
        <v>6S54ES90958-69</v>
      </c>
      <c r="BK87" s="127">
        <v>43508</v>
      </c>
      <c r="BL87" s="127">
        <v>44239</v>
      </c>
      <c r="BM87" s="128">
        <f>P87*1.1</f>
        <v>1032416.0000000001</v>
      </c>
      <c r="BN87" s="129">
        <f>P87*0.9</f>
        <v>844704</v>
      </c>
      <c r="BO87" s="130">
        <f>P87*0.8</f>
        <v>750848</v>
      </c>
      <c r="BP87" s="90">
        <f>IF(Z87="Y",BM87*0.4,BM87*1.05)</f>
        <v>1084036.8000000003</v>
      </c>
      <c r="BQ87" s="90">
        <f>BP87*0.8</f>
        <v>867229.44000000029</v>
      </c>
      <c r="BR87" s="90" t="str">
        <f>IF(ISNUMBER(SEARCH("subrecipient",AI83)),P87*0.6,"")</f>
        <v/>
      </c>
      <c r="BS87" s="90">
        <v>95999</v>
      </c>
      <c r="BT87" s="90" t="str">
        <f>BJ87</f>
        <v>6S54ES90958-69</v>
      </c>
      <c r="BU87" s="127">
        <f>BK87</f>
        <v>43508</v>
      </c>
      <c r="BV87" s="127">
        <f>BL87</f>
        <v>44239</v>
      </c>
      <c r="BW87" s="90" t="str">
        <f>H87</f>
        <v>NIH</v>
      </c>
      <c r="BX87" s="90" t="str">
        <f>IF(H87="NATIONAL HEMOPHILIA FOUNDATION","Non Federal","Federal")</f>
        <v>Federal</v>
      </c>
      <c r="BY87" s="128">
        <f>BM87</f>
        <v>1032416.0000000001</v>
      </c>
      <c r="BZ87" s="90" t="str">
        <f>IF(LEN(BR87)&gt;0,1,"")</f>
        <v/>
      </c>
      <c r="CA87" s="90" t="str">
        <f>IF(LEN(BR87)&gt;0,"VIRAL HEPATITIS PROJECT","")</f>
        <v/>
      </c>
      <c r="CB87" s="129" t="str">
        <f>IF(LEN(BR87)&gt;0,BM87*0.7,"")</f>
        <v/>
      </c>
      <c r="CC87" s="90">
        <f>BP87</f>
        <v>1084036.8000000003</v>
      </c>
      <c r="CD87" s="90" t="str">
        <f>IF(LEN(BR87)&gt;0,"70%","")</f>
        <v/>
      </c>
      <c r="CE87" s="90">
        <f>BS87</f>
        <v>95999</v>
      </c>
      <c r="CF87" s="90" t="str">
        <f>CA87</f>
        <v/>
      </c>
      <c r="CG87" s="90"/>
      <c r="CH87" s="90"/>
      <c r="CI87" s="90"/>
      <c r="CJ87" s="90"/>
      <c r="CK87" s="90"/>
      <c r="CL87" s="90"/>
      <c r="CM87" s="90"/>
      <c r="CN87" s="90"/>
      <c r="CO87" s="90"/>
      <c r="CP87" s="90"/>
      <c r="CQ87" s="90"/>
      <c r="CR87" s="90"/>
      <c r="CS87" s="90"/>
      <c r="CT87" s="137"/>
    </row>
    <row r="88" spans="1:98" ht="195">
      <c r="A88" s="89">
        <v>96008</v>
      </c>
      <c r="B88" s="90">
        <v>2020</v>
      </c>
      <c r="C88" s="90" t="s">
        <v>81</v>
      </c>
      <c r="D88" s="90" t="s">
        <v>413</v>
      </c>
      <c r="E88" s="125" t="s">
        <v>414</v>
      </c>
      <c r="F88" s="24" t="s">
        <v>415</v>
      </c>
      <c r="G88" s="90" t="s">
        <v>85</v>
      </c>
      <c r="H88" s="90" t="s">
        <v>132</v>
      </c>
      <c r="I88" s="90">
        <v>93</v>
      </c>
      <c r="J88" s="90">
        <v>157</v>
      </c>
      <c r="K88" s="90" t="s">
        <v>85</v>
      </c>
      <c r="L88" s="90" t="s">
        <v>416</v>
      </c>
      <c r="M88" s="90" t="s">
        <v>119</v>
      </c>
      <c r="N88" s="24" t="s">
        <v>417</v>
      </c>
      <c r="O88" s="24" t="str">
        <f>IF(ISNUMBER(SEARCH("Cancer",N88)),"Cancer",IF(ISNUMBER(SEARCH("health",N88)),"Public health",IF(ISNUMBER(SEARCH("disabilities",N88)),"Disabilities","Other")))</f>
        <v>Other</v>
      </c>
      <c r="P88" s="126">
        <v>968001</v>
      </c>
      <c r="Q88" s="90" t="s">
        <v>85</v>
      </c>
      <c r="R88" s="90" t="str">
        <f>IF(P88&gt;20000000,"B","A")</f>
        <v>A</v>
      </c>
      <c r="S88" s="90" t="s">
        <v>90</v>
      </c>
      <c r="T88" s="90" t="s">
        <v>119</v>
      </c>
      <c r="U88" s="90" t="s">
        <v>119</v>
      </c>
      <c r="V88" s="90" t="s">
        <v>119</v>
      </c>
      <c r="W88" s="90" t="s">
        <v>119</v>
      </c>
      <c r="X88" s="90" t="s">
        <v>119</v>
      </c>
      <c r="Y88" s="90" t="s">
        <v>119</v>
      </c>
      <c r="Z88" s="90" t="s">
        <v>119</v>
      </c>
      <c r="AA88" s="90" t="s">
        <v>119</v>
      </c>
      <c r="AB88" s="90" t="s">
        <v>119</v>
      </c>
      <c r="AC88" s="90" t="s">
        <v>119</v>
      </c>
      <c r="AD88" s="90" t="s">
        <v>119</v>
      </c>
      <c r="AE88" s="24">
        <v>0</v>
      </c>
      <c r="AF88" s="90">
        <v>0</v>
      </c>
      <c r="AG88" s="24">
        <v>0</v>
      </c>
      <c r="AH88" s="90">
        <v>76244</v>
      </c>
      <c r="AI88" s="24" t="s">
        <v>94</v>
      </c>
      <c r="AJ88" s="24" t="s">
        <v>418</v>
      </c>
      <c r="AK88" s="90" t="s">
        <v>85</v>
      </c>
      <c r="AL88" s="90">
        <v>96008</v>
      </c>
      <c r="AM88" s="90" t="s">
        <v>81</v>
      </c>
      <c r="AN88" s="90" t="s">
        <v>413</v>
      </c>
      <c r="AO88" s="125" t="s">
        <v>414</v>
      </c>
      <c r="AP88" s="24" t="s">
        <v>417</v>
      </c>
      <c r="AQ88" s="90" t="s">
        <v>416</v>
      </c>
      <c r="AR88" s="24" t="s">
        <v>417</v>
      </c>
      <c r="AS88" s="90" t="s">
        <v>119</v>
      </c>
      <c r="AT88" s="24" t="s">
        <v>94</v>
      </c>
      <c r="AU88" s="90" t="s">
        <v>119</v>
      </c>
      <c r="AV88" s="90" t="str">
        <f>IF(ISNUMBER(SEARCH("disagree",AE88)),"N","Y")</f>
        <v>Y</v>
      </c>
      <c r="AW88" s="90" t="s">
        <v>119</v>
      </c>
      <c r="AX88" s="24" t="s">
        <v>119</v>
      </c>
      <c r="AY88" s="90" t="str">
        <f>CONCATENATE(AZ88,BA88,BB88,BC88)</f>
        <v/>
      </c>
      <c r="AZ88" s="90" t="str">
        <f>IF(ISNUMBER(SEARCH("Y",AC88)),"R","")</f>
        <v/>
      </c>
      <c r="BA88" s="90" t="str">
        <f>IF(ISNUMBER(SEARCH("Y",Y88)),"M","")</f>
        <v/>
      </c>
      <c r="BB88" s="90" t="str">
        <f>IF(ISNUMBER(SEARCH("Y",AB88)),"QC","")</f>
        <v/>
      </c>
      <c r="BC88" s="90" t="str">
        <f>IF(ISNUMBER(SEARCH("Y",Z88)),"S","")</f>
        <v/>
      </c>
      <c r="BD88" s="90"/>
      <c r="BE88" s="24" t="s">
        <v>119</v>
      </c>
      <c r="BF88" s="125" t="str">
        <f>IF(AND(AW88&gt;=56543,AW88&lt;=76543,LEN(AW88)&gt;0),"3 Feb 2020",IF(AND(AW88&gt;=66544,AW88&lt;=99999,LEN(AW88)&gt;0),"12 Sep 2020",""))</f>
        <v/>
      </c>
      <c r="BG88" s="125" t="str">
        <f>IF((AND(BF88="3 Feb 2020",LEN(BF88)&gt;0)),"Completed",IF((AND(BF88="12 Sep 2020",LEN(BF88)&gt;0)),"Pending",""))</f>
        <v/>
      </c>
      <c r="BH88" s="90" t="str">
        <f>IF((AND(BF88="3 Feb 2020",LEN(BF88)&gt;0)),"3 Feb 2020","")</f>
        <v/>
      </c>
      <c r="BI88" s="90">
        <v>96008</v>
      </c>
      <c r="BJ88" s="90" t="str">
        <f>L88</f>
        <v>4H57FT87666-30</v>
      </c>
      <c r="BK88" s="127">
        <v>43508</v>
      </c>
      <c r="BL88" s="127">
        <v>44239</v>
      </c>
      <c r="BM88" s="128">
        <f>P88*1.1</f>
        <v>1064801.1000000001</v>
      </c>
      <c r="BN88" s="129">
        <f>P88*0.9</f>
        <v>871200.9</v>
      </c>
      <c r="BO88" s="130">
        <f>P88*0.8</f>
        <v>774400.8</v>
      </c>
      <c r="BP88" s="90">
        <f>IF(Z88="Y",BM88*0.4,BM88*1.05)</f>
        <v>1118041.1550000003</v>
      </c>
      <c r="BQ88" s="90">
        <f>BP88*0.8</f>
        <v>894432.92400000023</v>
      </c>
      <c r="BR88" s="90" t="str">
        <f>IF(ISNUMBER(SEARCH("subrecipient",AI84)),P88*0.6,"")</f>
        <v/>
      </c>
      <c r="BS88" s="90">
        <v>96008</v>
      </c>
      <c r="BT88" s="90" t="str">
        <f>BJ88</f>
        <v>4H57FT87666-30</v>
      </c>
      <c r="BU88" s="127">
        <f>BK88</f>
        <v>43508</v>
      </c>
      <c r="BV88" s="127">
        <f>BL88</f>
        <v>44239</v>
      </c>
      <c r="BW88" s="90" t="str">
        <f>H88</f>
        <v>FDA</v>
      </c>
      <c r="BX88" s="90" t="str">
        <f>IF(H88="NATIONAL HEMOPHILIA FOUNDATION","Non Federal","Federal")</f>
        <v>Federal</v>
      </c>
      <c r="BY88" s="128">
        <f>BM88</f>
        <v>1064801.1000000001</v>
      </c>
      <c r="BZ88" s="90" t="str">
        <f>IF(LEN(BR88)&gt;0,1,"")</f>
        <v/>
      </c>
      <c r="CA88" s="90" t="str">
        <f>IF(LEN(BR88)&gt;0,"VIRAL HEPATITIS PROJECT","")</f>
        <v/>
      </c>
      <c r="CB88" s="129" t="str">
        <f>IF(LEN(BR88)&gt;0,BM88*0.7,"")</f>
        <v/>
      </c>
      <c r="CC88" s="90">
        <f>BP88</f>
        <v>1118041.1550000003</v>
      </c>
      <c r="CD88" s="90" t="str">
        <f>IF(LEN(BR88)&gt;0,"70%","")</f>
        <v/>
      </c>
      <c r="CE88" s="90">
        <f>BS88</f>
        <v>96008</v>
      </c>
      <c r="CF88" s="90" t="str">
        <f>CA88</f>
        <v/>
      </c>
      <c r="CG88" s="90"/>
      <c r="CH88" s="90"/>
      <c r="CI88" s="90"/>
      <c r="CJ88" s="90"/>
      <c r="CK88" s="90"/>
      <c r="CL88" s="90"/>
      <c r="CM88" s="90"/>
      <c r="CN88" s="90"/>
      <c r="CO88" s="90"/>
      <c r="CP88" s="90"/>
      <c r="CQ88" s="90"/>
      <c r="CR88" s="90"/>
      <c r="CS88" s="90"/>
      <c r="CT88" s="137"/>
    </row>
    <row r="89" spans="1:98" ht="75">
      <c r="A89" s="89">
        <v>96008</v>
      </c>
      <c r="B89" s="90">
        <v>2020</v>
      </c>
      <c r="C89" s="90" t="s">
        <v>81</v>
      </c>
      <c r="D89" s="90" t="s">
        <v>413</v>
      </c>
      <c r="E89" s="125" t="s">
        <v>419</v>
      </c>
      <c r="F89" s="24" t="s">
        <v>415</v>
      </c>
      <c r="G89" s="90" t="s">
        <v>85</v>
      </c>
      <c r="H89" s="90" t="s">
        <v>132</v>
      </c>
      <c r="I89" s="90">
        <v>93</v>
      </c>
      <c r="J89" s="90">
        <v>157</v>
      </c>
      <c r="K89" s="90" t="s">
        <v>85</v>
      </c>
      <c r="L89" s="90" t="s">
        <v>416</v>
      </c>
      <c r="M89" s="90" t="s">
        <v>119</v>
      </c>
      <c r="N89" s="24" t="s">
        <v>417</v>
      </c>
      <c r="O89" s="24" t="str">
        <f>IF(ISNUMBER(SEARCH("Cancer",N89)),"Cancer",IF(ISNUMBER(SEARCH("health",N89)),"Public health",IF(ISNUMBER(SEARCH("disabilities",N89)),"Disabilities","Other")))</f>
        <v>Other</v>
      </c>
      <c r="P89" s="126">
        <v>968001</v>
      </c>
      <c r="Q89" s="90" t="s">
        <v>85</v>
      </c>
      <c r="R89" s="90" t="str">
        <f>IF(P89&gt;20000000,"B","A")</f>
        <v>A</v>
      </c>
      <c r="S89" s="90" t="s">
        <v>90</v>
      </c>
      <c r="T89" s="90" t="s">
        <v>119</v>
      </c>
      <c r="U89" s="90" t="s">
        <v>119</v>
      </c>
      <c r="V89" s="90" t="s">
        <v>119</v>
      </c>
      <c r="W89" s="90" t="s">
        <v>119</v>
      </c>
      <c r="X89" s="90" t="s">
        <v>119</v>
      </c>
      <c r="Y89" s="90" t="s">
        <v>119</v>
      </c>
      <c r="Z89" s="90" t="s">
        <v>119</v>
      </c>
      <c r="AA89" s="90" t="s">
        <v>119</v>
      </c>
      <c r="AB89" s="90" t="s">
        <v>119</v>
      </c>
      <c r="AC89" s="90" t="s">
        <v>119</v>
      </c>
      <c r="AD89" s="90" t="s">
        <v>119</v>
      </c>
      <c r="AE89" s="24">
        <v>0</v>
      </c>
      <c r="AF89" s="90">
        <v>0</v>
      </c>
      <c r="AG89" s="24">
        <v>0</v>
      </c>
      <c r="AH89" s="90">
        <v>76243</v>
      </c>
      <c r="AI89" s="24" t="s">
        <v>102</v>
      </c>
      <c r="AJ89" s="24" t="s">
        <v>103</v>
      </c>
      <c r="AK89" s="90" t="s">
        <v>85</v>
      </c>
      <c r="AL89" s="90">
        <v>96008</v>
      </c>
      <c r="AM89" s="90" t="s">
        <v>81</v>
      </c>
      <c r="AN89" s="90" t="s">
        <v>413</v>
      </c>
      <c r="AO89" s="125" t="s">
        <v>419</v>
      </c>
      <c r="AP89" s="24" t="s">
        <v>417</v>
      </c>
      <c r="AQ89" s="90" t="s">
        <v>416</v>
      </c>
      <c r="AR89" s="24" t="s">
        <v>417</v>
      </c>
      <c r="AS89" s="90" t="s">
        <v>119</v>
      </c>
      <c r="AT89" s="24" t="s">
        <v>102</v>
      </c>
      <c r="AU89" s="90" t="s">
        <v>119</v>
      </c>
      <c r="AV89" s="90" t="str">
        <f>IF(ISNUMBER(SEARCH("disagree",AE89)),"N","Y")</f>
        <v>Y</v>
      </c>
      <c r="AW89" s="90" t="s">
        <v>119</v>
      </c>
      <c r="AX89" s="24" t="s">
        <v>119</v>
      </c>
      <c r="AY89" s="90" t="str">
        <f>CONCATENATE(AZ89,BA89,BB89,BC89)</f>
        <v/>
      </c>
      <c r="AZ89" s="90" t="str">
        <f>IF(ISNUMBER(SEARCH("Y",AC89)),"R","")</f>
        <v/>
      </c>
      <c r="BA89" s="90" t="str">
        <f>IF(ISNUMBER(SEARCH("Y",Y89)),"M","")</f>
        <v/>
      </c>
      <c r="BB89" s="90" t="str">
        <f>IF(ISNUMBER(SEARCH("Y",AB89)),"QC","")</f>
        <v/>
      </c>
      <c r="BC89" s="90" t="str">
        <f>IF(ISNUMBER(SEARCH("Y",Z89)),"S","")</f>
        <v/>
      </c>
      <c r="BD89" s="90"/>
      <c r="BE89" s="24" t="s">
        <v>119</v>
      </c>
      <c r="BF89" s="125" t="str">
        <f>IF(AND(AW89&gt;=56543,AW89&lt;=76543,LEN(AW89)&gt;0),"3 Feb 2020",IF(AND(AW89&gt;=66544,AW89&lt;=99999,LEN(AW89)&gt;0),"12 Sep 2020",""))</f>
        <v/>
      </c>
      <c r="BG89" s="125" t="str">
        <f>IF((AND(BF89="3 Feb 2020",LEN(BF89)&gt;0)),"Completed",IF((AND(BF89="12 Sep 2020",LEN(BF89)&gt;0)),"Pending",""))</f>
        <v/>
      </c>
      <c r="BH89" s="90" t="str">
        <f>IF((AND(BF89="3 Feb 2020",LEN(BF89)&gt;0)),"3 Feb 2020","")</f>
        <v/>
      </c>
      <c r="BI89" s="90">
        <v>96008</v>
      </c>
      <c r="BJ89" s="90" t="str">
        <f>L89</f>
        <v>4H57FT87666-30</v>
      </c>
      <c r="BK89" s="127">
        <v>43508</v>
      </c>
      <c r="BL89" s="127">
        <v>44239</v>
      </c>
      <c r="BM89" s="128">
        <f>P89*1.1</f>
        <v>1064801.1000000001</v>
      </c>
      <c r="BN89" s="129">
        <f>P89*0.9</f>
        <v>871200.9</v>
      </c>
      <c r="BO89" s="130">
        <f>P89*0.8</f>
        <v>774400.8</v>
      </c>
      <c r="BP89" s="90">
        <f>IF(Z89="Y",BM89*0.4,BM89*1.05)</f>
        <v>1118041.1550000003</v>
      </c>
      <c r="BQ89" s="90">
        <f>BP89*0.8</f>
        <v>894432.92400000023</v>
      </c>
      <c r="BR89" s="90" t="str">
        <f>IF(ISNUMBER(SEARCH("subrecipient",AI85)),P89*0.6,"")</f>
        <v/>
      </c>
      <c r="BS89" s="90">
        <v>96008</v>
      </c>
      <c r="BT89" s="90" t="str">
        <f>BJ89</f>
        <v>4H57FT87666-30</v>
      </c>
      <c r="BU89" s="127">
        <f>BK89</f>
        <v>43508</v>
      </c>
      <c r="BV89" s="127">
        <f>BL89</f>
        <v>44239</v>
      </c>
      <c r="BW89" s="90" t="str">
        <f>H89</f>
        <v>FDA</v>
      </c>
      <c r="BX89" s="90" t="str">
        <f>IF(H89="NATIONAL HEMOPHILIA FOUNDATION","Non Federal","Federal")</f>
        <v>Federal</v>
      </c>
      <c r="BY89" s="128">
        <f>BM89</f>
        <v>1064801.1000000001</v>
      </c>
      <c r="BZ89" s="90" t="str">
        <f>IF(LEN(BR89)&gt;0,1,"")</f>
        <v/>
      </c>
      <c r="CA89" s="90" t="str">
        <f>IF(LEN(BR89)&gt;0,"VIRAL HEPATITIS PROJECT","")</f>
        <v/>
      </c>
      <c r="CB89" s="129" t="str">
        <f>IF(LEN(BR89)&gt;0,BM89*0.7,"")</f>
        <v/>
      </c>
      <c r="CC89" s="90">
        <f>BP89</f>
        <v>1118041.1550000003</v>
      </c>
      <c r="CD89" s="90" t="str">
        <f>IF(LEN(BR89)&gt;0,"70%","")</f>
        <v/>
      </c>
      <c r="CE89" s="90">
        <f>BS89</f>
        <v>96008</v>
      </c>
      <c r="CF89" s="90" t="str">
        <f>CA89</f>
        <v/>
      </c>
      <c r="CG89" s="90"/>
      <c r="CH89" s="90"/>
      <c r="CI89" s="90"/>
      <c r="CJ89" s="90"/>
      <c r="CK89" s="90"/>
      <c r="CL89" s="90"/>
      <c r="CM89" s="90"/>
      <c r="CN89" s="90"/>
      <c r="CO89" s="90"/>
      <c r="CP89" s="90"/>
      <c r="CQ89" s="90"/>
      <c r="CR89" s="90"/>
      <c r="CS89" s="90"/>
      <c r="CT89" s="137"/>
    </row>
    <row r="90" spans="1:98" ht="210">
      <c r="A90" s="89">
        <v>97793</v>
      </c>
      <c r="B90" s="90">
        <v>2020</v>
      </c>
      <c r="C90" s="90" t="s">
        <v>81</v>
      </c>
      <c r="D90" s="90" t="s">
        <v>420</v>
      </c>
      <c r="E90" s="125" t="s">
        <v>421</v>
      </c>
      <c r="F90" s="24" t="s">
        <v>422</v>
      </c>
      <c r="G90" s="90" t="s">
        <v>85</v>
      </c>
      <c r="H90" s="90" t="s">
        <v>150</v>
      </c>
      <c r="I90" s="90">
        <v>93</v>
      </c>
      <c r="J90" s="90">
        <v>157</v>
      </c>
      <c r="K90" s="90" t="s">
        <v>85</v>
      </c>
      <c r="L90" s="90" t="s">
        <v>423</v>
      </c>
      <c r="M90" s="90" t="s">
        <v>85</v>
      </c>
      <c r="N90" s="24" t="s">
        <v>424</v>
      </c>
      <c r="O90" s="24" t="str">
        <f>IF(ISNUMBER(SEARCH("Cancer",N90)),"Cancer",IF(ISNUMBER(SEARCH("health",N90)),"Public health",IF(ISNUMBER(SEARCH("disabilities",N90)),"Disabilities","Other")))</f>
        <v>Other</v>
      </c>
      <c r="P90" s="126">
        <v>887251</v>
      </c>
      <c r="Q90" s="90" t="s">
        <v>87</v>
      </c>
      <c r="R90" s="90" t="str">
        <f>IF(P90&gt;20000000,"B","A")</f>
        <v>A</v>
      </c>
      <c r="S90" s="90" t="s">
        <v>425</v>
      </c>
      <c r="T90" s="90">
        <v>2583014</v>
      </c>
      <c r="U90" s="90" t="s">
        <v>91</v>
      </c>
      <c r="V90" s="90" t="s">
        <v>426</v>
      </c>
      <c r="W90" s="90" t="s">
        <v>85</v>
      </c>
      <c r="X90" s="90" t="s">
        <v>87</v>
      </c>
      <c r="Y90" s="90" t="s">
        <v>85</v>
      </c>
      <c r="Z90" s="90" t="s">
        <v>85</v>
      </c>
      <c r="AA90" s="90" t="s">
        <v>85</v>
      </c>
      <c r="AB90" s="90" t="s">
        <v>85</v>
      </c>
      <c r="AC90" s="90" t="s">
        <v>85</v>
      </c>
      <c r="AD90" s="90">
        <v>0</v>
      </c>
      <c r="AE90" s="24" t="s">
        <v>427</v>
      </c>
      <c r="AF90" s="90" t="s">
        <v>91</v>
      </c>
      <c r="AG90" s="24" t="s">
        <v>428</v>
      </c>
      <c r="AH90" s="90">
        <v>87666</v>
      </c>
      <c r="AI90" s="24" t="s">
        <v>94</v>
      </c>
      <c r="AJ90" s="24" t="s">
        <v>429</v>
      </c>
      <c r="AK90" s="90" t="s">
        <v>85</v>
      </c>
      <c r="AL90" s="90">
        <v>97793</v>
      </c>
      <c r="AM90" s="90" t="s">
        <v>81</v>
      </c>
      <c r="AN90" s="90" t="s">
        <v>420</v>
      </c>
      <c r="AO90" s="125" t="s">
        <v>421</v>
      </c>
      <c r="AP90" s="24" t="s">
        <v>424</v>
      </c>
      <c r="AQ90" s="90" t="s">
        <v>423</v>
      </c>
      <c r="AR90" s="24" t="s">
        <v>424</v>
      </c>
      <c r="AS90" s="90">
        <v>2583014</v>
      </c>
      <c r="AT90" s="24" t="s">
        <v>94</v>
      </c>
      <c r="AU90" s="90" t="s">
        <v>426</v>
      </c>
      <c r="AV90" s="90" t="str">
        <f>IF(ISNUMBER(SEARCH("disagree",AE90)),"N","Y")</f>
        <v>Y</v>
      </c>
      <c r="AW90" s="90" t="s">
        <v>119</v>
      </c>
      <c r="AX90" s="24" t="s">
        <v>119</v>
      </c>
      <c r="AY90" s="90" t="str">
        <f>CONCATENATE(AZ90,BA90,BB90,BC90)</f>
        <v/>
      </c>
      <c r="AZ90" s="90" t="str">
        <f>IF(ISNUMBER(SEARCH("Y",AC90)),"R","")</f>
        <v/>
      </c>
      <c r="BA90" s="90" t="str">
        <f>IF(ISNUMBER(SEARCH("Y",Y90)),"M","")</f>
        <v/>
      </c>
      <c r="BB90" s="90" t="str">
        <f>IF(ISNUMBER(SEARCH("Y",AB90)),"QC","")</f>
        <v/>
      </c>
      <c r="BC90" s="90" t="str">
        <f>IF(ISNUMBER(SEARCH("Y",Z90)),"S","")</f>
        <v/>
      </c>
      <c r="BD90" s="90"/>
      <c r="BE90" s="24" t="s">
        <v>119</v>
      </c>
      <c r="BF90" s="125" t="str">
        <f>IF(AND(AW90&gt;=56543,AW90&lt;=76543,LEN(AW90)&gt;0),"3 Feb 2020",IF(AND(AW90&gt;=66544,AW90&lt;=99999,LEN(AW90)&gt;0),"12 Sep 2020",""))</f>
        <v/>
      </c>
      <c r="BG90" s="125" t="str">
        <f>IF((AND(BF90="3 Feb 2020",LEN(BF90)&gt;0)),"Completed",IF((AND(BF90="12 Sep 2020",LEN(BF90)&gt;0)),"Pending",""))</f>
        <v/>
      </c>
      <c r="BH90" s="90" t="str">
        <f>IF((AND(BF90="3 Feb 2020",LEN(BF90)&gt;0)),"3 Feb 2020","")</f>
        <v/>
      </c>
      <c r="BI90" s="90">
        <v>97793</v>
      </c>
      <c r="BJ90" s="90" t="str">
        <f>L90</f>
        <v>7H69ET82592-72</v>
      </c>
      <c r="BK90" s="127">
        <v>43508</v>
      </c>
      <c r="BL90" s="127">
        <v>44239</v>
      </c>
      <c r="BM90" s="128">
        <f>P90*1.1</f>
        <v>975976.10000000009</v>
      </c>
      <c r="BN90" s="129">
        <f>P90*0.9</f>
        <v>798525.9</v>
      </c>
      <c r="BO90" s="130">
        <f>P90*0.8</f>
        <v>709800.8</v>
      </c>
      <c r="BP90" s="90">
        <f>IF(Z90="Y",BM90*0.4,BM90*1.05)</f>
        <v>1024774.9050000001</v>
      </c>
      <c r="BQ90" s="90">
        <f>BP90*0.8</f>
        <v>819819.92400000012</v>
      </c>
      <c r="BR90" s="90" t="str">
        <f>IF(ISNUMBER(SEARCH("subrecipient",AI86)),P90*0.6,"")</f>
        <v/>
      </c>
      <c r="BS90" s="90">
        <v>97793</v>
      </c>
      <c r="BT90" s="90" t="str">
        <f>BJ90</f>
        <v>7H69ET82592-72</v>
      </c>
      <c r="BU90" s="127">
        <f>BK90</f>
        <v>43508</v>
      </c>
      <c r="BV90" s="127">
        <f>BL90</f>
        <v>44239</v>
      </c>
      <c r="BW90" s="90" t="str">
        <f>H90</f>
        <v>ACF</v>
      </c>
      <c r="BX90" s="90" t="str">
        <f>IF(H90="NATIONAL HEMOPHILIA FOUNDATION","Non Federal","Federal")</f>
        <v>Federal</v>
      </c>
      <c r="BY90" s="128">
        <f>BM90</f>
        <v>975976.10000000009</v>
      </c>
      <c r="BZ90" s="90" t="str">
        <f>IF(LEN(BR90)&gt;0,1,"")</f>
        <v/>
      </c>
      <c r="CA90" s="90" t="str">
        <f>IF(LEN(BR90)&gt;0,"VIRAL HEPATITIS PROJECT","")</f>
        <v/>
      </c>
      <c r="CB90" s="129" t="str">
        <f>IF(LEN(BR90)&gt;0,BM90*0.7,"")</f>
        <v/>
      </c>
      <c r="CC90" s="90">
        <f>BP90</f>
        <v>1024774.9050000001</v>
      </c>
      <c r="CD90" s="90" t="str">
        <f>IF(LEN(BR90)&gt;0,"70%","")</f>
        <v/>
      </c>
      <c r="CE90" s="90">
        <f>BS90</f>
        <v>97793</v>
      </c>
      <c r="CF90" s="90" t="str">
        <f>CA90</f>
        <v/>
      </c>
      <c r="CG90" s="90"/>
      <c r="CH90" s="90"/>
      <c r="CI90" s="90"/>
      <c r="CJ90" s="90"/>
      <c r="CK90" s="90"/>
      <c r="CL90" s="90"/>
      <c r="CM90" s="90"/>
      <c r="CN90" s="90"/>
      <c r="CO90" s="90"/>
      <c r="CP90" s="90"/>
      <c r="CQ90" s="90"/>
      <c r="CR90" s="90"/>
      <c r="CS90" s="90"/>
      <c r="CT90" s="137"/>
    </row>
    <row r="91" spans="1:98" ht="75">
      <c r="A91" s="89">
        <v>97793</v>
      </c>
      <c r="B91" s="90">
        <v>2020</v>
      </c>
      <c r="C91" s="90" t="s">
        <v>81</v>
      </c>
      <c r="D91" s="90" t="s">
        <v>420</v>
      </c>
      <c r="E91" s="125" t="s">
        <v>430</v>
      </c>
      <c r="F91" s="24" t="s">
        <v>422</v>
      </c>
      <c r="G91" s="90" t="s">
        <v>85</v>
      </c>
      <c r="H91" s="90" t="s">
        <v>150</v>
      </c>
      <c r="I91" s="90">
        <v>93</v>
      </c>
      <c r="J91" s="90">
        <v>157</v>
      </c>
      <c r="K91" s="90" t="s">
        <v>85</v>
      </c>
      <c r="L91" s="90" t="s">
        <v>423</v>
      </c>
      <c r="M91" s="90" t="s">
        <v>85</v>
      </c>
      <c r="N91" s="24" t="s">
        <v>424</v>
      </c>
      <c r="O91" s="24" t="str">
        <f>IF(ISNUMBER(SEARCH("Cancer",N91)),"Cancer",IF(ISNUMBER(SEARCH("health",N91)),"Public health",IF(ISNUMBER(SEARCH("disabilities",N91)),"Disabilities","Other")))</f>
        <v>Other</v>
      </c>
      <c r="P91" s="126">
        <v>887251</v>
      </c>
      <c r="Q91" s="90" t="s">
        <v>85</v>
      </c>
      <c r="R91" s="90" t="str">
        <f>IF(P91&gt;20000000,"B","A")</f>
        <v>A</v>
      </c>
      <c r="S91" s="90" t="s">
        <v>425</v>
      </c>
      <c r="T91" s="90">
        <v>2583014</v>
      </c>
      <c r="U91" s="90" t="s">
        <v>91</v>
      </c>
      <c r="V91" s="90" t="s">
        <v>426</v>
      </c>
      <c r="W91" s="90" t="s">
        <v>85</v>
      </c>
      <c r="X91" s="90" t="s">
        <v>87</v>
      </c>
      <c r="Y91" s="90" t="s">
        <v>85</v>
      </c>
      <c r="Z91" s="90" t="s">
        <v>85</v>
      </c>
      <c r="AA91" s="90" t="s">
        <v>85</v>
      </c>
      <c r="AB91" s="90" t="s">
        <v>85</v>
      </c>
      <c r="AC91" s="90" t="s">
        <v>85</v>
      </c>
      <c r="AD91" s="90">
        <v>0</v>
      </c>
      <c r="AE91" s="24">
        <v>0</v>
      </c>
      <c r="AF91" s="90">
        <v>0</v>
      </c>
      <c r="AG91" s="24">
        <v>0</v>
      </c>
      <c r="AH91" s="90">
        <v>87667</v>
      </c>
      <c r="AI91" s="24" t="s">
        <v>102</v>
      </c>
      <c r="AJ91" s="24" t="s">
        <v>103</v>
      </c>
      <c r="AK91" s="90" t="s">
        <v>85</v>
      </c>
      <c r="AL91" s="90">
        <v>97793</v>
      </c>
      <c r="AM91" s="90" t="s">
        <v>81</v>
      </c>
      <c r="AN91" s="90" t="s">
        <v>420</v>
      </c>
      <c r="AO91" s="125" t="s">
        <v>430</v>
      </c>
      <c r="AP91" s="24" t="s">
        <v>424</v>
      </c>
      <c r="AQ91" s="90" t="s">
        <v>423</v>
      </c>
      <c r="AR91" s="24" t="s">
        <v>424</v>
      </c>
      <c r="AS91" s="90">
        <v>2583014</v>
      </c>
      <c r="AT91" s="24" t="s">
        <v>102</v>
      </c>
      <c r="AU91" s="90" t="s">
        <v>426</v>
      </c>
      <c r="AV91" s="90" t="str">
        <f>IF(ISNUMBER(SEARCH("disagree",AE91)),"N","Y")</f>
        <v>Y</v>
      </c>
      <c r="AW91" s="90" t="s">
        <v>119</v>
      </c>
      <c r="AX91" s="24" t="s">
        <v>119</v>
      </c>
      <c r="AY91" s="90" t="str">
        <f>CONCATENATE(AZ91,BA91,BB91,BC91)</f>
        <v/>
      </c>
      <c r="AZ91" s="90" t="str">
        <f>IF(ISNUMBER(SEARCH("Y",AC91)),"R","")</f>
        <v/>
      </c>
      <c r="BA91" s="90" t="str">
        <f>IF(ISNUMBER(SEARCH("Y",Y91)),"M","")</f>
        <v/>
      </c>
      <c r="BB91" s="90" t="str">
        <f>IF(ISNUMBER(SEARCH("Y",AB91)),"QC","")</f>
        <v/>
      </c>
      <c r="BC91" s="90" t="str">
        <f>IF(ISNUMBER(SEARCH("Y",Z91)),"S","")</f>
        <v/>
      </c>
      <c r="BD91" s="90"/>
      <c r="BE91" s="24" t="s">
        <v>119</v>
      </c>
      <c r="BF91" s="125" t="str">
        <f>IF(AND(AW91&gt;=56543,AW91&lt;=76543,LEN(AW91)&gt;0),"3 Feb 2020",IF(AND(AW91&gt;=66544,AW91&lt;=99999,LEN(AW91)&gt;0),"12 Sep 2020",""))</f>
        <v/>
      </c>
      <c r="BG91" s="125" t="str">
        <f>IF((AND(BF91="3 Feb 2020",LEN(BF91)&gt;0)),"Completed",IF((AND(BF91="12 Sep 2020",LEN(BF91)&gt;0)),"Pending",""))</f>
        <v/>
      </c>
      <c r="BH91" s="90" t="str">
        <f>IF((AND(BF91="3 Feb 2020",LEN(BF91)&gt;0)),"3 Feb 2020","")</f>
        <v/>
      </c>
      <c r="BI91" s="90">
        <v>97793</v>
      </c>
      <c r="BJ91" s="90" t="str">
        <f>L91</f>
        <v>7H69ET82592-72</v>
      </c>
      <c r="BK91" s="127">
        <v>43508</v>
      </c>
      <c r="BL91" s="127">
        <v>44239</v>
      </c>
      <c r="BM91" s="128">
        <f>P91*1.1</f>
        <v>975976.10000000009</v>
      </c>
      <c r="BN91" s="129">
        <f>P91*0.9</f>
        <v>798525.9</v>
      </c>
      <c r="BO91" s="130">
        <f>P91*0.8</f>
        <v>709800.8</v>
      </c>
      <c r="BP91" s="90">
        <f>IF(Z91="Y",BM91*0.4,BM91*1.05)</f>
        <v>1024774.9050000001</v>
      </c>
      <c r="BQ91" s="90">
        <f>BP91*0.8</f>
        <v>819819.92400000012</v>
      </c>
      <c r="BR91" s="90" t="str">
        <f>IF(ISNUMBER(SEARCH("subrecipient",AI87)),P91*0.6,"")</f>
        <v/>
      </c>
      <c r="BS91" s="90">
        <v>97793</v>
      </c>
      <c r="BT91" s="90" t="str">
        <f>BJ91</f>
        <v>7H69ET82592-72</v>
      </c>
      <c r="BU91" s="127">
        <f>BK91</f>
        <v>43508</v>
      </c>
      <c r="BV91" s="127">
        <f>BL91</f>
        <v>44239</v>
      </c>
      <c r="BW91" s="90" t="str">
        <f>H91</f>
        <v>ACF</v>
      </c>
      <c r="BX91" s="90" t="str">
        <f>IF(H91="NATIONAL HEMOPHILIA FOUNDATION","Non Federal","Federal")</f>
        <v>Federal</v>
      </c>
      <c r="BY91" s="128">
        <f>BM91</f>
        <v>975976.10000000009</v>
      </c>
      <c r="BZ91" s="90" t="str">
        <f>IF(LEN(BR91)&gt;0,1,"")</f>
        <v/>
      </c>
      <c r="CA91" s="90" t="str">
        <f>IF(LEN(BR91)&gt;0,"VIRAL HEPATITIS PROJECT","")</f>
        <v/>
      </c>
      <c r="CB91" s="129" t="str">
        <f>IF(LEN(BR91)&gt;0,BM91*0.7,"")</f>
        <v/>
      </c>
      <c r="CC91" s="90">
        <f>BP91</f>
        <v>1024774.9050000001</v>
      </c>
      <c r="CD91" s="90" t="str">
        <f>IF(LEN(BR91)&gt;0,"70%","")</f>
        <v/>
      </c>
      <c r="CE91" s="90">
        <f>BS91</f>
        <v>97793</v>
      </c>
      <c r="CF91" s="90" t="str">
        <f>CA91</f>
        <v/>
      </c>
      <c r="CG91" s="90"/>
      <c r="CH91" s="90"/>
      <c r="CI91" s="90"/>
      <c r="CJ91" s="90"/>
      <c r="CK91" s="90"/>
      <c r="CL91" s="90"/>
      <c r="CM91" s="90"/>
      <c r="CN91" s="90"/>
      <c r="CO91" s="90"/>
      <c r="CP91" s="90"/>
      <c r="CQ91" s="90"/>
      <c r="CR91" s="90"/>
      <c r="CS91" s="90"/>
      <c r="CT91" s="137"/>
    </row>
    <row r="92" spans="1:98" ht="75">
      <c r="A92" s="89">
        <v>98727</v>
      </c>
      <c r="B92" s="90">
        <v>2020</v>
      </c>
      <c r="C92" s="90" t="s">
        <v>81</v>
      </c>
      <c r="D92" s="90" t="s">
        <v>431</v>
      </c>
      <c r="E92" s="125" t="s">
        <v>432</v>
      </c>
      <c r="F92" s="24" t="s">
        <v>433</v>
      </c>
      <c r="G92" s="90" t="s">
        <v>85</v>
      </c>
      <c r="H92" s="90" t="s">
        <v>86</v>
      </c>
      <c r="I92" s="90">
        <v>93</v>
      </c>
      <c r="J92" s="90">
        <v>157</v>
      </c>
      <c r="K92" s="90" t="s">
        <v>85</v>
      </c>
      <c r="L92" s="90" t="s">
        <v>434</v>
      </c>
      <c r="M92" s="90" t="s">
        <v>119</v>
      </c>
      <c r="N92" s="24" t="s">
        <v>435</v>
      </c>
      <c r="O92" s="24" t="str">
        <f>IF(ISNUMBER(SEARCH("Cancer",N92)),"Cancer",IF(ISNUMBER(SEARCH("health",N92)),"Public health",IF(ISNUMBER(SEARCH("disabilities",N92)),"Disabilities","Other")))</f>
        <v>Other</v>
      </c>
      <c r="P92" s="126">
        <v>927564</v>
      </c>
      <c r="Q92" s="90" t="s">
        <v>85</v>
      </c>
      <c r="R92" s="90" t="str">
        <f>IF(P92&gt;20000000,"B","A")</f>
        <v>A</v>
      </c>
      <c r="S92" s="90" t="s">
        <v>90</v>
      </c>
      <c r="T92" s="90" t="s">
        <v>119</v>
      </c>
      <c r="U92" s="90" t="s">
        <v>119</v>
      </c>
      <c r="V92" s="90" t="s">
        <v>119</v>
      </c>
      <c r="W92" s="90" t="s">
        <v>119</v>
      </c>
      <c r="X92" s="90" t="s">
        <v>119</v>
      </c>
      <c r="Y92" s="90" t="s">
        <v>119</v>
      </c>
      <c r="Z92" s="90" t="s">
        <v>119</v>
      </c>
      <c r="AA92" s="90" t="s">
        <v>119</v>
      </c>
      <c r="AB92" s="90" t="s">
        <v>119</v>
      </c>
      <c r="AC92" s="90" t="s">
        <v>119</v>
      </c>
      <c r="AD92" s="90" t="s">
        <v>119</v>
      </c>
      <c r="AE92" s="24">
        <v>0</v>
      </c>
      <c r="AF92" s="90">
        <v>0</v>
      </c>
      <c r="AG92" s="24">
        <v>0</v>
      </c>
      <c r="AH92" s="90">
        <v>82590</v>
      </c>
      <c r="AI92" s="24" t="s">
        <v>94</v>
      </c>
      <c r="AJ92" s="24" t="s">
        <v>436</v>
      </c>
      <c r="AK92" s="90" t="s">
        <v>85</v>
      </c>
      <c r="AL92" s="90">
        <v>98727</v>
      </c>
      <c r="AM92" s="90" t="s">
        <v>81</v>
      </c>
      <c r="AN92" s="90" t="s">
        <v>431</v>
      </c>
      <c r="AO92" s="125" t="s">
        <v>432</v>
      </c>
      <c r="AP92" s="24" t="s">
        <v>435</v>
      </c>
      <c r="AQ92" s="90" t="s">
        <v>434</v>
      </c>
      <c r="AR92" s="24" t="s">
        <v>435</v>
      </c>
      <c r="AS92" s="90" t="s">
        <v>119</v>
      </c>
      <c r="AT92" s="24" t="s">
        <v>94</v>
      </c>
      <c r="AU92" s="90" t="s">
        <v>119</v>
      </c>
      <c r="AV92" s="90" t="str">
        <f>IF(ISNUMBER(SEARCH("disagree",AE92)),"N","Y")</f>
        <v>Y</v>
      </c>
      <c r="AW92" s="90" t="s">
        <v>119</v>
      </c>
      <c r="AX92" s="24" t="s">
        <v>119</v>
      </c>
      <c r="AY92" s="90" t="str">
        <f>CONCATENATE(AZ92,BA92,BB92,BC92)</f>
        <v/>
      </c>
      <c r="AZ92" s="90" t="str">
        <f>IF(ISNUMBER(SEARCH("Y",AC92)),"R","")</f>
        <v/>
      </c>
      <c r="BA92" s="90" t="str">
        <f>IF(ISNUMBER(SEARCH("Y",Y92)),"M","")</f>
        <v/>
      </c>
      <c r="BB92" s="90" t="str">
        <f>IF(ISNUMBER(SEARCH("Y",AB92)),"QC","")</f>
        <v/>
      </c>
      <c r="BC92" s="90" t="str">
        <f>IF(ISNUMBER(SEARCH("Y",Z92)),"S","")</f>
        <v/>
      </c>
      <c r="BD92" s="90"/>
      <c r="BE92" s="24" t="s">
        <v>119</v>
      </c>
      <c r="BF92" s="125" t="str">
        <f>IF(AND(AW92&gt;=56543,AW92&lt;=76543,LEN(AW92)&gt;0),"3 Feb 2020",IF(AND(AW92&gt;=66544,AW92&lt;=99999,LEN(AW92)&gt;0),"12 Sep 2020",""))</f>
        <v/>
      </c>
      <c r="BG92" s="125" t="str">
        <f>IF((AND(BF92="3 Feb 2020",LEN(BF92)&gt;0)),"Completed",IF((AND(BF92="12 Sep 2020",LEN(BF92)&gt;0)),"Pending",""))</f>
        <v/>
      </c>
      <c r="BH92" s="90" t="str">
        <f>IF((AND(BF92="3 Feb 2020",LEN(BF92)&gt;0)),"3 Feb 2020","")</f>
        <v/>
      </c>
      <c r="BI92" s="90">
        <v>98727</v>
      </c>
      <c r="BJ92" s="90" t="str">
        <f>L92</f>
        <v>4R99GR90199-82</v>
      </c>
      <c r="BK92" s="127">
        <v>43508</v>
      </c>
      <c r="BL92" s="127">
        <v>44239</v>
      </c>
      <c r="BM92" s="128">
        <f>P92*1.1</f>
        <v>1020320.4000000001</v>
      </c>
      <c r="BN92" s="129">
        <f>P92*0.9</f>
        <v>834807.6</v>
      </c>
      <c r="BO92" s="130">
        <f>P92*0.8</f>
        <v>742051.20000000007</v>
      </c>
      <c r="BP92" s="90">
        <f>IF(Z92="Y",BM92*0.4,BM92*1.05)</f>
        <v>1071336.4200000002</v>
      </c>
      <c r="BQ92" s="90">
        <f>BP92*0.8</f>
        <v>857069.13600000017</v>
      </c>
      <c r="BR92" s="90" t="str">
        <f>IF(ISNUMBER(SEARCH("subrecipient",AI88)),P92*0.6,"")</f>
        <v/>
      </c>
      <c r="BS92" s="90">
        <v>98727</v>
      </c>
      <c r="BT92" s="90" t="str">
        <f>BJ92</f>
        <v>4R99GR90199-82</v>
      </c>
      <c r="BU92" s="127">
        <f>BK92</f>
        <v>43508</v>
      </c>
      <c r="BV92" s="127">
        <f>BL92</f>
        <v>44239</v>
      </c>
      <c r="BW92" s="90" t="str">
        <f>H92</f>
        <v>CDC</v>
      </c>
      <c r="BX92" s="90" t="str">
        <f>IF(H92="NATIONAL HEMOPHILIA FOUNDATION","Non Federal","Federal")</f>
        <v>Federal</v>
      </c>
      <c r="BY92" s="128">
        <f>BM92</f>
        <v>1020320.4000000001</v>
      </c>
      <c r="BZ92" s="90" t="str">
        <f>IF(LEN(BR92)&gt;0,1,"")</f>
        <v/>
      </c>
      <c r="CA92" s="90" t="str">
        <f>IF(LEN(BR92)&gt;0,"VIRAL HEPATITIS PROJECT","")</f>
        <v/>
      </c>
      <c r="CB92" s="129" t="str">
        <f>IF(LEN(BR92)&gt;0,BM92*0.7,"")</f>
        <v/>
      </c>
      <c r="CC92" s="90">
        <f>BP92</f>
        <v>1071336.4200000002</v>
      </c>
      <c r="CD92" s="90" t="str">
        <f>IF(LEN(BR92)&gt;0,"70%","")</f>
        <v/>
      </c>
      <c r="CE92" s="90">
        <f>BS92</f>
        <v>98727</v>
      </c>
      <c r="CF92" s="90" t="str">
        <f>CA92</f>
        <v/>
      </c>
      <c r="CG92" s="90"/>
      <c r="CH92" s="90"/>
      <c r="CI92" s="90"/>
      <c r="CJ92" s="90"/>
      <c r="CK92" s="90"/>
      <c r="CL92" s="90"/>
      <c r="CM92" s="90"/>
      <c r="CN92" s="90"/>
      <c r="CO92" s="90"/>
      <c r="CP92" s="90"/>
      <c r="CQ92" s="90"/>
      <c r="CR92" s="90"/>
      <c r="CS92" s="90"/>
      <c r="CT92" s="137"/>
    </row>
    <row r="93" spans="1:98" ht="75">
      <c r="A93" s="89">
        <v>98727</v>
      </c>
      <c r="B93" s="90">
        <v>2020</v>
      </c>
      <c r="C93" s="90" t="s">
        <v>81</v>
      </c>
      <c r="D93" s="90" t="s">
        <v>431</v>
      </c>
      <c r="E93" s="125" t="s">
        <v>437</v>
      </c>
      <c r="F93" s="24" t="s">
        <v>433</v>
      </c>
      <c r="G93" s="90" t="s">
        <v>85</v>
      </c>
      <c r="H93" s="90" t="s">
        <v>86</v>
      </c>
      <c r="I93" s="90">
        <v>93</v>
      </c>
      <c r="J93" s="90">
        <v>157</v>
      </c>
      <c r="K93" s="90" t="s">
        <v>85</v>
      </c>
      <c r="L93" s="90" t="s">
        <v>434</v>
      </c>
      <c r="M93" s="90" t="s">
        <v>119</v>
      </c>
      <c r="N93" s="24" t="s">
        <v>435</v>
      </c>
      <c r="O93" s="24" t="str">
        <f>IF(ISNUMBER(SEARCH("Cancer",N93)),"Cancer",IF(ISNUMBER(SEARCH("health",N93)),"Public health",IF(ISNUMBER(SEARCH("disabilities",N93)),"Disabilities","Other")))</f>
        <v>Other</v>
      </c>
      <c r="P93" s="126">
        <v>927564</v>
      </c>
      <c r="Q93" s="90" t="s">
        <v>85</v>
      </c>
      <c r="R93" s="90" t="str">
        <f>IF(P93&gt;20000000,"B","A")</f>
        <v>A</v>
      </c>
      <c r="S93" s="90" t="s">
        <v>90</v>
      </c>
      <c r="T93" s="90" t="s">
        <v>119</v>
      </c>
      <c r="U93" s="90" t="s">
        <v>119</v>
      </c>
      <c r="V93" s="90" t="s">
        <v>119</v>
      </c>
      <c r="W93" s="90" t="s">
        <v>119</v>
      </c>
      <c r="X93" s="90" t="s">
        <v>119</v>
      </c>
      <c r="Y93" s="90" t="s">
        <v>119</v>
      </c>
      <c r="Z93" s="90" t="s">
        <v>119</v>
      </c>
      <c r="AA93" s="90" t="s">
        <v>119</v>
      </c>
      <c r="AB93" s="90" t="s">
        <v>119</v>
      </c>
      <c r="AC93" s="90" t="s">
        <v>119</v>
      </c>
      <c r="AD93" s="90" t="s">
        <v>119</v>
      </c>
      <c r="AE93" s="24">
        <v>0</v>
      </c>
      <c r="AF93" s="90">
        <v>0</v>
      </c>
      <c r="AG93" s="24">
        <v>0</v>
      </c>
      <c r="AH93" s="90">
        <v>82592</v>
      </c>
      <c r="AI93" s="24" t="s">
        <v>102</v>
      </c>
      <c r="AJ93" s="24" t="s">
        <v>103</v>
      </c>
      <c r="AK93" s="90" t="s">
        <v>85</v>
      </c>
      <c r="AL93" s="90">
        <v>98727</v>
      </c>
      <c r="AM93" s="90" t="s">
        <v>81</v>
      </c>
      <c r="AN93" s="90" t="s">
        <v>431</v>
      </c>
      <c r="AO93" s="125" t="s">
        <v>437</v>
      </c>
      <c r="AP93" s="24" t="s">
        <v>435</v>
      </c>
      <c r="AQ93" s="90" t="s">
        <v>434</v>
      </c>
      <c r="AR93" s="24" t="s">
        <v>435</v>
      </c>
      <c r="AS93" s="90" t="s">
        <v>119</v>
      </c>
      <c r="AT93" s="24" t="s">
        <v>102</v>
      </c>
      <c r="AU93" s="90" t="s">
        <v>119</v>
      </c>
      <c r="AV93" s="90" t="str">
        <f>IF(ISNUMBER(SEARCH("disagree",AE93)),"N","Y")</f>
        <v>Y</v>
      </c>
      <c r="AW93" s="90" t="s">
        <v>119</v>
      </c>
      <c r="AX93" s="24" t="s">
        <v>119</v>
      </c>
      <c r="AY93" s="90" t="str">
        <f>CONCATENATE(AZ93,BA93,BB93,BC93)</f>
        <v/>
      </c>
      <c r="AZ93" s="90" t="str">
        <f>IF(ISNUMBER(SEARCH("Y",AC93)),"R","")</f>
        <v/>
      </c>
      <c r="BA93" s="90" t="str">
        <f>IF(ISNUMBER(SEARCH("Y",Y93)),"M","")</f>
        <v/>
      </c>
      <c r="BB93" s="90" t="str">
        <f>IF(ISNUMBER(SEARCH("Y",AB93)),"QC","")</f>
        <v/>
      </c>
      <c r="BC93" s="90" t="str">
        <f>IF(ISNUMBER(SEARCH("Y",Z93)),"S","")</f>
        <v/>
      </c>
      <c r="BD93" s="90"/>
      <c r="BE93" s="24" t="s">
        <v>119</v>
      </c>
      <c r="BF93" s="125" t="str">
        <f>IF(AND(AW93&gt;=56543,AW93&lt;=76543,LEN(AW93)&gt;0),"3 Feb 2020",IF(AND(AW93&gt;=66544,AW93&lt;=99999,LEN(AW93)&gt;0),"12 Sep 2020",""))</f>
        <v/>
      </c>
      <c r="BG93" s="125" t="str">
        <f>IF((AND(BF93="3 Feb 2020",LEN(BF93)&gt;0)),"Completed",IF((AND(BF93="12 Sep 2020",LEN(BF93)&gt;0)),"Pending",""))</f>
        <v/>
      </c>
      <c r="BH93" s="90" t="str">
        <f>IF((AND(BF93="3 Feb 2020",LEN(BF93)&gt;0)),"3 Feb 2020","")</f>
        <v/>
      </c>
      <c r="BI93" s="90">
        <v>98727</v>
      </c>
      <c r="BJ93" s="90" t="str">
        <f>L93</f>
        <v>4R99GR90199-82</v>
      </c>
      <c r="BK93" s="127">
        <v>43508</v>
      </c>
      <c r="BL93" s="127">
        <v>44239</v>
      </c>
      <c r="BM93" s="128">
        <f>P93*1.1</f>
        <v>1020320.4000000001</v>
      </c>
      <c r="BN93" s="129">
        <f>P93*0.9</f>
        <v>834807.6</v>
      </c>
      <c r="BO93" s="130">
        <f>P93*0.8</f>
        <v>742051.20000000007</v>
      </c>
      <c r="BP93" s="90">
        <f>IF(Z93="Y",BM93*0.4,BM93*1.05)</f>
        <v>1071336.4200000002</v>
      </c>
      <c r="BQ93" s="90">
        <f>BP93*0.8</f>
        <v>857069.13600000017</v>
      </c>
      <c r="BR93" s="90" t="str">
        <f>IF(ISNUMBER(SEARCH("subrecipient",AI89)),P93*0.6,"")</f>
        <v/>
      </c>
      <c r="BS93" s="90">
        <v>98727</v>
      </c>
      <c r="BT93" s="90" t="str">
        <f>BJ93</f>
        <v>4R99GR90199-82</v>
      </c>
      <c r="BU93" s="127">
        <f>BK93</f>
        <v>43508</v>
      </c>
      <c r="BV93" s="127">
        <f>BL93</f>
        <v>44239</v>
      </c>
      <c r="BW93" s="90" t="str">
        <f>H93</f>
        <v>CDC</v>
      </c>
      <c r="BX93" s="90" t="str">
        <f>IF(H93="NATIONAL HEMOPHILIA FOUNDATION","Non Federal","Federal")</f>
        <v>Federal</v>
      </c>
      <c r="BY93" s="128">
        <f>BM93</f>
        <v>1020320.4000000001</v>
      </c>
      <c r="BZ93" s="90" t="str">
        <f>IF(LEN(BR93)&gt;0,1,"")</f>
        <v/>
      </c>
      <c r="CA93" s="90" t="str">
        <f>IF(LEN(BR93)&gt;0,"VIRAL HEPATITIS PROJECT","")</f>
        <v/>
      </c>
      <c r="CB93" s="129" t="str">
        <f>IF(LEN(BR93)&gt;0,BM93*0.7,"")</f>
        <v/>
      </c>
      <c r="CC93" s="90">
        <f>BP93</f>
        <v>1071336.4200000002</v>
      </c>
      <c r="CD93" s="90" t="str">
        <f>IF(LEN(BR93)&gt;0,"70%","")</f>
        <v/>
      </c>
      <c r="CE93" s="90">
        <f>BS93</f>
        <v>98727</v>
      </c>
      <c r="CF93" s="90" t="str">
        <f>CA93</f>
        <v/>
      </c>
      <c r="CG93" s="90"/>
      <c r="CH93" s="90"/>
      <c r="CI93" s="90"/>
      <c r="CJ93" s="90"/>
      <c r="CK93" s="90"/>
      <c r="CL93" s="90"/>
      <c r="CM93" s="90"/>
      <c r="CN93" s="90"/>
      <c r="CO93" s="90"/>
      <c r="CP93" s="90"/>
      <c r="CQ93" s="90"/>
      <c r="CR93" s="90"/>
      <c r="CS93" s="90"/>
      <c r="CT93" s="137"/>
    </row>
    <row r="94" spans="1:98" ht="105">
      <c r="A94" s="89">
        <v>98727</v>
      </c>
      <c r="B94" s="90">
        <v>2020</v>
      </c>
      <c r="C94" s="90" t="s">
        <v>81</v>
      </c>
      <c r="D94" s="90" t="s">
        <v>431</v>
      </c>
      <c r="E94" s="125" t="s">
        <v>438</v>
      </c>
      <c r="F94" s="24" t="s">
        <v>433</v>
      </c>
      <c r="G94" s="90" t="s">
        <v>85</v>
      </c>
      <c r="H94" s="90" t="s">
        <v>86</v>
      </c>
      <c r="I94" s="90">
        <v>93</v>
      </c>
      <c r="J94" s="90">
        <v>157</v>
      </c>
      <c r="K94" s="90" t="s">
        <v>85</v>
      </c>
      <c r="L94" s="90" t="s">
        <v>434</v>
      </c>
      <c r="M94" s="90" t="s">
        <v>119</v>
      </c>
      <c r="N94" s="24" t="s">
        <v>435</v>
      </c>
      <c r="O94" s="24" t="str">
        <f>IF(ISNUMBER(SEARCH("Cancer",N94)),"Cancer",IF(ISNUMBER(SEARCH("health",N94)),"Public health",IF(ISNUMBER(SEARCH("disabilities",N94)),"Disabilities","Other")))</f>
        <v>Other</v>
      </c>
      <c r="P94" s="126">
        <v>927564</v>
      </c>
      <c r="Q94" s="90" t="s">
        <v>85</v>
      </c>
      <c r="R94" s="90" t="str">
        <f>IF(P94&gt;20000000,"B","A")</f>
        <v>A</v>
      </c>
      <c r="S94" s="90" t="s">
        <v>90</v>
      </c>
      <c r="T94" s="90" t="s">
        <v>119</v>
      </c>
      <c r="U94" s="90" t="s">
        <v>119</v>
      </c>
      <c r="V94" s="90" t="s">
        <v>119</v>
      </c>
      <c r="W94" s="90" t="s">
        <v>119</v>
      </c>
      <c r="X94" s="90" t="s">
        <v>119</v>
      </c>
      <c r="Y94" s="90" t="s">
        <v>119</v>
      </c>
      <c r="Z94" s="90" t="s">
        <v>119</v>
      </c>
      <c r="AA94" s="90" t="s">
        <v>119</v>
      </c>
      <c r="AB94" s="90" t="s">
        <v>119</v>
      </c>
      <c r="AC94" s="90" t="s">
        <v>119</v>
      </c>
      <c r="AD94" s="90" t="s">
        <v>119</v>
      </c>
      <c r="AE94" s="24">
        <v>0</v>
      </c>
      <c r="AF94" s="90">
        <v>0</v>
      </c>
      <c r="AG94" s="24">
        <v>0</v>
      </c>
      <c r="AH94" s="90">
        <v>82591</v>
      </c>
      <c r="AI94" s="24" t="s">
        <v>269</v>
      </c>
      <c r="AJ94" s="24" t="s">
        <v>439</v>
      </c>
      <c r="AK94" s="90" t="s">
        <v>85</v>
      </c>
      <c r="AL94" s="90">
        <v>98727</v>
      </c>
      <c r="AM94" s="90" t="s">
        <v>81</v>
      </c>
      <c r="AN94" s="90" t="s">
        <v>431</v>
      </c>
      <c r="AO94" s="125" t="s">
        <v>438</v>
      </c>
      <c r="AP94" s="24" t="s">
        <v>435</v>
      </c>
      <c r="AQ94" s="90" t="s">
        <v>434</v>
      </c>
      <c r="AR94" s="24" t="s">
        <v>435</v>
      </c>
      <c r="AS94" s="90" t="s">
        <v>119</v>
      </c>
      <c r="AT94" s="24" t="s">
        <v>269</v>
      </c>
      <c r="AU94" s="90" t="s">
        <v>119</v>
      </c>
      <c r="AV94" s="90" t="str">
        <f>IF(ISNUMBER(SEARCH("disagree",AE94)),"N","Y")</f>
        <v>Y</v>
      </c>
      <c r="AW94" s="90" t="s">
        <v>119</v>
      </c>
      <c r="AX94" s="24" t="s">
        <v>119</v>
      </c>
      <c r="AY94" s="90" t="str">
        <f>CONCATENATE(AZ94,BA94,BB94,BC94)</f>
        <v/>
      </c>
      <c r="AZ94" s="90" t="str">
        <f>IF(ISNUMBER(SEARCH("Y",AC94)),"R","")</f>
        <v/>
      </c>
      <c r="BA94" s="90" t="str">
        <f>IF(ISNUMBER(SEARCH("Y",Y94)),"M","")</f>
        <v/>
      </c>
      <c r="BB94" s="90" t="str">
        <f>IF(ISNUMBER(SEARCH("Y",AB94)),"QC","")</f>
        <v/>
      </c>
      <c r="BC94" s="90" t="str">
        <f>IF(ISNUMBER(SEARCH("Y",Z94)),"S","")</f>
        <v/>
      </c>
      <c r="BD94" s="90"/>
      <c r="BE94" s="24" t="s">
        <v>119</v>
      </c>
      <c r="BF94" s="125" t="str">
        <f>IF(AND(AW94&gt;=56543,AW94&lt;=76543,LEN(AW94)&gt;0),"3 Feb 2020",IF(AND(AW94&gt;=66544,AW94&lt;=99999,LEN(AW94)&gt;0),"12 Sep 2020",""))</f>
        <v/>
      </c>
      <c r="BG94" s="125" t="str">
        <f>IF((AND(BF94="3 Feb 2020",LEN(BF94)&gt;0)),"Completed",IF((AND(BF94="12 Sep 2020",LEN(BF94)&gt;0)),"Pending",""))</f>
        <v/>
      </c>
      <c r="BH94" s="90" t="str">
        <f>IF((AND(BF94="3 Feb 2020",LEN(BF94)&gt;0)),"3 Feb 2020","")</f>
        <v/>
      </c>
      <c r="BI94" s="90">
        <v>98727</v>
      </c>
      <c r="BJ94" s="90" t="str">
        <f>L94</f>
        <v>4R99GR90199-82</v>
      </c>
      <c r="BK94" s="127">
        <v>43508</v>
      </c>
      <c r="BL94" s="127">
        <v>44239</v>
      </c>
      <c r="BM94" s="128">
        <f>P94*1.1</f>
        <v>1020320.4000000001</v>
      </c>
      <c r="BN94" s="129">
        <f>P94*0.9</f>
        <v>834807.6</v>
      </c>
      <c r="BO94" s="130">
        <f>P94*0.8</f>
        <v>742051.20000000007</v>
      </c>
      <c r="BP94" s="90">
        <f>IF(Z94="Y",BM94*0.4,BM94*1.05)</f>
        <v>1071336.4200000002</v>
      </c>
      <c r="BQ94" s="90">
        <f>BP94*0.8</f>
        <v>857069.13600000017</v>
      </c>
      <c r="BR94" s="90" t="str">
        <f>IF(ISNUMBER(SEARCH("subrecipient",AI90)),P94*0.6,"")</f>
        <v/>
      </c>
      <c r="BS94" s="90">
        <v>98727</v>
      </c>
      <c r="BT94" s="90" t="str">
        <f>BJ94</f>
        <v>4R99GR90199-82</v>
      </c>
      <c r="BU94" s="127">
        <f>BK94</f>
        <v>43508</v>
      </c>
      <c r="BV94" s="127">
        <f>BL94</f>
        <v>44239</v>
      </c>
      <c r="BW94" s="90" t="str">
        <f>H94</f>
        <v>CDC</v>
      </c>
      <c r="BX94" s="90" t="str">
        <f>IF(H94="NATIONAL HEMOPHILIA FOUNDATION","Non Federal","Federal")</f>
        <v>Federal</v>
      </c>
      <c r="BY94" s="128">
        <f>BM94</f>
        <v>1020320.4000000001</v>
      </c>
      <c r="BZ94" s="90" t="str">
        <f>IF(LEN(BR94)&gt;0,1,"")</f>
        <v/>
      </c>
      <c r="CA94" s="90" t="str">
        <f>IF(LEN(BR94)&gt;0,"VIRAL HEPATITIS PROJECT","")</f>
        <v/>
      </c>
      <c r="CB94" s="129" t="str">
        <f>IF(LEN(BR94)&gt;0,BM94*0.7,"")</f>
        <v/>
      </c>
      <c r="CC94" s="90">
        <f>BP94</f>
        <v>1071336.4200000002</v>
      </c>
      <c r="CD94" s="90" t="str">
        <f>IF(LEN(BR94)&gt;0,"70%","")</f>
        <v/>
      </c>
      <c r="CE94" s="90">
        <f>BS94</f>
        <v>98727</v>
      </c>
      <c r="CF94" s="90" t="str">
        <f>CA94</f>
        <v/>
      </c>
      <c r="CG94" s="90"/>
      <c r="CH94" s="90"/>
      <c r="CI94" s="90"/>
      <c r="CJ94" s="90"/>
      <c r="CK94" s="90"/>
      <c r="CL94" s="90"/>
      <c r="CM94" s="90"/>
      <c r="CN94" s="90"/>
      <c r="CO94" s="90"/>
      <c r="CP94" s="90"/>
      <c r="CQ94" s="90"/>
      <c r="CR94" s="90"/>
      <c r="CS94" s="90"/>
      <c r="CT94" s="137"/>
    </row>
    <row r="95" spans="1:98" ht="240">
      <c r="A95" s="89">
        <v>98877</v>
      </c>
      <c r="B95" s="90">
        <v>2020</v>
      </c>
      <c r="C95" s="90" t="s">
        <v>81</v>
      </c>
      <c r="D95" s="90" t="s">
        <v>440</v>
      </c>
      <c r="E95" s="125" t="s">
        <v>441</v>
      </c>
      <c r="F95" s="24" t="s">
        <v>442</v>
      </c>
      <c r="G95" s="90" t="s">
        <v>85</v>
      </c>
      <c r="H95" s="90" t="s">
        <v>117</v>
      </c>
      <c r="I95" s="90">
        <v>93</v>
      </c>
      <c r="J95" s="90">
        <v>157</v>
      </c>
      <c r="K95" s="90" t="s">
        <v>85</v>
      </c>
      <c r="L95" s="90" t="s">
        <v>443</v>
      </c>
      <c r="M95" s="90" t="s">
        <v>85</v>
      </c>
      <c r="N95" s="24" t="s">
        <v>444</v>
      </c>
      <c r="O95" s="24" t="str">
        <f>IF(ISNUMBER(SEARCH("Cancer",N95)),"Cancer",IF(ISNUMBER(SEARCH("health",N95)),"Public health",IF(ISNUMBER(SEARCH("disabilities",N95)),"Disabilities","Other")))</f>
        <v>Cancer</v>
      </c>
      <c r="P95" s="126">
        <v>949577</v>
      </c>
      <c r="Q95" s="90" t="s">
        <v>85</v>
      </c>
      <c r="R95" s="90" t="str">
        <f>IF(P95&gt;20000000,"B","A")</f>
        <v>A</v>
      </c>
      <c r="S95" s="90" t="s">
        <v>90</v>
      </c>
      <c r="T95" s="90">
        <v>2585700</v>
      </c>
      <c r="U95" s="90" t="s">
        <v>91</v>
      </c>
      <c r="V95" s="90" t="s">
        <v>445</v>
      </c>
      <c r="W95" s="90" t="s">
        <v>85</v>
      </c>
      <c r="X95" s="90" t="s">
        <v>87</v>
      </c>
      <c r="Y95" s="90" t="s">
        <v>85</v>
      </c>
      <c r="Z95" s="90" t="s">
        <v>85</v>
      </c>
      <c r="AA95" s="90" t="s">
        <v>85</v>
      </c>
      <c r="AB95" s="90" t="s">
        <v>85</v>
      </c>
      <c r="AC95" s="90" t="s">
        <v>85</v>
      </c>
      <c r="AD95" s="90">
        <v>0</v>
      </c>
      <c r="AE95" s="24" t="s">
        <v>446</v>
      </c>
      <c r="AF95" s="90" t="s">
        <v>91</v>
      </c>
      <c r="AG95" s="24" t="s">
        <v>447</v>
      </c>
      <c r="AH95" s="90">
        <v>90198</v>
      </c>
      <c r="AI95" s="24" t="s">
        <v>94</v>
      </c>
      <c r="AJ95" s="24" t="s">
        <v>448</v>
      </c>
      <c r="AK95" s="90" t="s">
        <v>85</v>
      </c>
      <c r="AL95" s="90">
        <v>98877</v>
      </c>
      <c r="AM95" s="90" t="s">
        <v>81</v>
      </c>
      <c r="AN95" s="90" t="s">
        <v>440</v>
      </c>
      <c r="AO95" s="125" t="s">
        <v>441</v>
      </c>
      <c r="AP95" s="24" t="s">
        <v>444</v>
      </c>
      <c r="AQ95" s="90" t="s">
        <v>443</v>
      </c>
      <c r="AR95" s="24" t="s">
        <v>444</v>
      </c>
      <c r="AS95" s="90">
        <v>2585700</v>
      </c>
      <c r="AT95" s="24" t="s">
        <v>94</v>
      </c>
      <c r="AU95" s="90" t="s">
        <v>445</v>
      </c>
      <c r="AV95" s="90" t="str">
        <f>IF(ISNUMBER(SEARCH("disagree",AE95)),"N","Y")</f>
        <v>Y</v>
      </c>
      <c r="AW95" s="90" t="s">
        <v>119</v>
      </c>
      <c r="AX95" s="24" t="s">
        <v>119</v>
      </c>
      <c r="AY95" s="90" t="str">
        <f>CONCATENATE(AZ95,BA95,BB95,BC95)</f>
        <v/>
      </c>
      <c r="AZ95" s="90" t="str">
        <f>IF(ISNUMBER(SEARCH("Y",AC95)),"R","")</f>
        <v/>
      </c>
      <c r="BA95" s="90" t="str">
        <f>IF(ISNUMBER(SEARCH("Y",Y95)),"M","")</f>
        <v/>
      </c>
      <c r="BB95" s="90" t="str">
        <f>IF(ISNUMBER(SEARCH("Y",AB95)),"QC","")</f>
        <v/>
      </c>
      <c r="BC95" s="90" t="str">
        <f>IF(ISNUMBER(SEARCH("Y",Z95)),"S","")</f>
        <v/>
      </c>
      <c r="BD95" s="90"/>
      <c r="BE95" s="24" t="s">
        <v>119</v>
      </c>
      <c r="BF95" s="125" t="str">
        <f>IF(AND(AW95&gt;=56543,AW95&lt;=76543,LEN(AW95)&gt;0),"3 Feb 2020",IF(AND(AW95&gt;=66544,AW95&lt;=99999,LEN(AW95)&gt;0),"12 Sep 2020",""))</f>
        <v/>
      </c>
      <c r="BG95" s="125" t="str">
        <f>IF((AND(BF95="3 Feb 2020",LEN(BF95)&gt;0)),"Completed",IF((AND(BF95="12 Sep 2020",LEN(BF95)&gt;0)),"Pending",""))</f>
        <v/>
      </c>
      <c r="BH95" s="90" t="str">
        <f>IF((AND(BF95="3 Feb 2020",LEN(BF95)&gt;0)),"3 Feb 2020","")</f>
        <v/>
      </c>
      <c r="BI95" s="90">
        <v>98877</v>
      </c>
      <c r="BJ95" s="90" t="str">
        <f>L95</f>
        <v>1H78AT90194-36</v>
      </c>
      <c r="BK95" s="127">
        <v>43508</v>
      </c>
      <c r="BL95" s="127">
        <v>44239</v>
      </c>
      <c r="BM95" s="128">
        <f>P95*1.1</f>
        <v>1044534.7000000001</v>
      </c>
      <c r="BN95" s="129">
        <f>P95*0.9</f>
        <v>854619.3</v>
      </c>
      <c r="BO95" s="130">
        <f>P95*0.8</f>
        <v>759661.60000000009</v>
      </c>
      <c r="BP95" s="90">
        <f>IF(Z95="Y",BM95*0.4,BM95*1.05)</f>
        <v>1096761.4350000001</v>
      </c>
      <c r="BQ95" s="90">
        <f>BP95*0.8</f>
        <v>877409.14800000004</v>
      </c>
      <c r="BR95" s="90" t="str">
        <f>IF(ISNUMBER(SEARCH("subrecipient",AI91)),P95*0.6,"")</f>
        <v/>
      </c>
      <c r="BS95" s="90">
        <v>98877</v>
      </c>
      <c r="BT95" s="90" t="str">
        <f>BJ95</f>
        <v>1H78AT90194-36</v>
      </c>
      <c r="BU95" s="127">
        <f>BK95</f>
        <v>43508</v>
      </c>
      <c r="BV95" s="127">
        <f>BL95</f>
        <v>44239</v>
      </c>
      <c r="BW95" s="90" t="str">
        <f>H95</f>
        <v>NIH</v>
      </c>
      <c r="BX95" s="90" t="str">
        <f>IF(H95="NATIONAL HEMOPHILIA FOUNDATION","Non Federal","Federal")</f>
        <v>Federal</v>
      </c>
      <c r="BY95" s="128">
        <f>BM95</f>
        <v>1044534.7000000001</v>
      </c>
      <c r="BZ95" s="90" t="str">
        <f>IF(LEN(BR95)&gt;0,1,"")</f>
        <v/>
      </c>
      <c r="CA95" s="90" t="str">
        <f>IF(LEN(BR95)&gt;0,"VIRAL HEPATITIS PROJECT","")</f>
        <v/>
      </c>
      <c r="CB95" s="129" t="str">
        <f>IF(LEN(BR95)&gt;0,BM95*0.7,"")</f>
        <v/>
      </c>
      <c r="CC95" s="90">
        <f>BP95</f>
        <v>1096761.4350000001</v>
      </c>
      <c r="CD95" s="90" t="str">
        <f>IF(LEN(BR95)&gt;0,"70%","")</f>
        <v/>
      </c>
      <c r="CE95" s="90">
        <f>BS95</f>
        <v>98877</v>
      </c>
      <c r="CF95" s="90" t="str">
        <f>CA95</f>
        <v/>
      </c>
      <c r="CG95" s="90"/>
      <c r="CH95" s="90"/>
      <c r="CI95" s="90"/>
      <c r="CJ95" s="90"/>
      <c r="CK95" s="90"/>
      <c r="CL95" s="90"/>
      <c r="CM95" s="90"/>
      <c r="CN95" s="90"/>
      <c r="CO95" s="90"/>
      <c r="CP95" s="90"/>
      <c r="CQ95" s="90"/>
      <c r="CR95" s="90"/>
      <c r="CS95" s="90"/>
      <c r="CT95" s="137"/>
    </row>
    <row r="96" spans="1:98" ht="75">
      <c r="A96" s="89">
        <v>98877</v>
      </c>
      <c r="B96" s="90">
        <v>2020</v>
      </c>
      <c r="C96" s="90" t="s">
        <v>81</v>
      </c>
      <c r="D96" s="90" t="s">
        <v>440</v>
      </c>
      <c r="E96" s="125" t="s">
        <v>449</v>
      </c>
      <c r="F96" s="24" t="s">
        <v>442</v>
      </c>
      <c r="G96" s="90" t="s">
        <v>85</v>
      </c>
      <c r="H96" s="90" t="s">
        <v>117</v>
      </c>
      <c r="I96" s="90">
        <v>93</v>
      </c>
      <c r="J96" s="90">
        <v>157</v>
      </c>
      <c r="K96" s="90" t="s">
        <v>85</v>
      </c>
      <c r="L96" s="90" t="s">
        <v>443</v>
      </c>
      <c r="M96" s="90" t="s">
        <v>85</v>
      </c>
      <c r="N96" s="24" t="s">
        <v>444</v>
      </c>
      <c r="O96" s="24" t="str">
        <f>IF(ISNUMBER(SEARCH("Cancer",N96)),"Cancer",IF(ISNUMBER(SEARCH("health",N96)),"Public health",IF(ISNUMBER(SEARCH("disabilities",N96)),"Disabilities","Other")))</f>
        <v>Cancer</v>
      </c>
      <c r="P96" s="126">
        <v>949577</v>
      </c>
      <c r="Q96" s="90" t="s">
        <v>85</v>
      </c>
      <c r="R96" s="90" t="str">
        <f>IF(P96&gt;20000000,"B","A")</f>
        <v>A</v>
      </c>
      <c r="S96" s="90" t="s">
        <v>90</v>
      </c>
      <c r="T96" s="90">
        <v>2585700</v>
      </c>
      <c r="U96" s="90" t="s">
        <v>91</v>
      </c>
      <c r="V96" s="90" t="s">
        <v>445</v>
      </c>
      <c r="W96" s="90" t="s">
        <v>85</v>
      </c>
      <c r="X96" s="90" t="s">
        <v>87</v>
      </c>
      <c r="Y96" s="90" t="s">
        <v>85</v>
      </c>
      <c r="Z96" s="90" t="s">
        <v>85</v>
      </c>
      <c r="AA96" s="90" t="s">
        <v>85</v>
      </c>
      <c r="AB96" s="90" t="s">
        <v>85</v>
      </c>
      <c r="AC96" s="90" t="s">
        <v>85</v>
      </c>
      <c r="AD96" s="90">
        <v>0</v>
      </c>
      <c r="AE96" s="24">
        <v>0</v>
      </c>
      <c r="AF96" s="90">
        <v>0</v>
      </c>
      <c r="AG96" s="24">
        <v>0</v>
      </c>
      <c r="AH96" s="90">
        <v>90200</v>
      </c>
      <c r="AI96" s="24" t="s">
        <v>102</v>
      </c>
      <c r="AJ96" s="24" t="s">
        <v>103</v>
      </c>
      <c r="AK96" s="90" t="s">
        <v>85</v>
      </c>
      <c r="AL96" s="90">
        <v>98877</v>
      </c>
      <c r="AM96" s="90" t="s">
        <v>81</v>
      </c>
      <c r="AN96" s="90" t="s">
        <v>440</v>
      </c>
      <c r="AO96" s="125" t="s">
        <v>449</v>
      </c>
      <c r="AP96" s="24" t="s">
        <v>444</v>
      </c>
      <c r="AQ96" s="90" t="s">
        <v>443</v>
      </c>
      <c r="AR96" s="24" t="s">
        <v>444</v>
      </c>
      <c r="AS96" s="90">
        <v>2585700</v>
      </c>
      <c r="AT96" s="24" t="s">
        <v>102</v>
      </c>
      <c r="AU96" s="90" t="s">
        <v>445</v>
      </c>
      <c r="AV96" s="90" t="str">
        <f>IF(ISNUMBER(SEARCH("disagree",AE96)),"N","Y")</f>
        <v>Y</v>
      </c>
      <c r="AW96" s="90" t="s">
        <v>119</v>
      </c>
      <c r="AX96" s="24" t="s">
        <v>119</v>
      </c>
      <c r="AY96" s="90" t="str">
        <f>CONCATENATE(AZ96,BA96,BB96,BC96)</f>
        <v/>
      </c>
      <c r="AZ96" s="90" t="str">
        <f>IF(ISNUMBER(SEARCH("Y",AC96)),"R","")</f>
        <v/>
      </c>
      <c r="BA96" s="90" t="str">
        <f>IF(ISNUMBER(SEARCH("Y",Y96)),"M","")</f>
        <v/>
      </c>
      <c r="BB96" s="90" t="str">
        <f>IF(ISNUMBER(SEARCH("Y",AB96)),"QC","")</f>
        <v/>
      </c>
      <c r="BC96" s="90" t="str">
        <f>IF(ISNUMBER(SEARCH("Y",Z96)),"S","")</f>
        <v/>
      </c>
      <c r="BD96" s="90"/>
      <c r="BE96" s="24" t="s">
        <v>119</v>
      </c>
      <c r="BF96" s="125" t="str">
        <f>IF(AND(AW96&gt;=56543,AW96&lt;=76543,LEN(AW96)&gt;0),"3 Feb 2020",IF(AND(AW96&gt;=66544,AW96&lt;=99999,LEN(AW96)&gt;0),"12 Sep 2020",""))</f>
        <v/>
      </c>
      <c r="BG96" s="125" t="str">
        <f>IF((AND(BF96="3 Feb 2020",LEN(BF96)&gt;0)),"Completed",IF((AND(BF96="12 Sep 2020",LEN(BF96)&gt;0)),"Pending",""))</f>
        <v/>
      </c>
      <c r="BH96" s="90" t="str">
        <f>IF((AND(BF96="3 Feb 2020",LEN(BF96)&gt;0)),"3 Feb 2020","")</f>
        <v/>
      </c>
      <c r="BI96" s="90">
        <v>98877</v>
      </c>
      <c r="BJ96" s="90" t="str">
        <f>L96</f>
        <v>1H78AT90194-36</v>
      </c>
      <c r="BK96" s="127">
        <v>43508</v>
      </c>
      <c r="BL96" s="127">
        <v>44239</v>
      </c>
      <c r="BM96" s="128">
        <f>P96*1.1</f>
        <v>1044534.7000000001</v>
      </c>
      <c r="BN96" s="129">
        <f>P96*0.9</f>
        <v>854619.3</v>
      </c>
      <c r="BO96" s="130">
        <f>P96*0.8</f>
        <v>759661.60000000009</v>
      </c>
      <c r="BP96" s="90">
        <f>IF(Z96="Y",BM96*0.4,BM96*1.05)</f>
        <v>1096761.4350000001</v>
      </c>
      <c r="BQ96" s="90">
        <f>BP96*0.8</f>
        <v>877409.14800000004</v>
      </c>
      <c r="BR96" s="90" t="str">
        <f>IF(ISNUMBER(SEARCH("subrecipient",AI92)),P96*0.6,"")</f>
        <v/>
      </c>
      <c r="BS96" s="90">
        <v>98877</v>
      </c>
      <c r="BT96" s="90" t="str">
        <f>BJ96</f>
        <v>1H78AT90194-36</v>
      </c>
      <c r="BU96" s="127">
        <f>BK96</f>
        <v>43508</v>
      </c>
      <c r="BV96" s="127">
        <f>BL96</f>
        <v>44239</v>
      </c>
      <c r="BW96" s="90" t="str">
        <f>H96</f>
        <v>NIH</v>
      </c>
      <c r="BX96" s="90" t="str">
        <f>IF(H96="NATIONAL HEMOPHILIA FOUNDATION","Non Federal","Federal")</f>
        <v>Federal</v>
      </c>
      <c r="BY96" s="128">
        <f>BM96</f>
        <v>1044534.7000000001</v>
      </c>
      <c r="BZ96" s="90" t="str">
        <f>IF(LEN(BR96)&gt;0,1,"")</f>
        <v/>
      </c>
      <c r="CA96" s="90" t="str">
        <f>IF(LEN(BR96)&gt;0,"VIRAL HEPATITIS PROJECT","")</f>
        <v/>
      </c>
      <c r="CB96" s="129" t="str">
        <f>IF(LEN(BR96)&gt;0,BM96*0.7,"")</f>
        <v/>
      </c>
      <c r="CC96" s="90">
        <f>BP96</f>
        <v>1096761.4350000001</v>
      </c>
      <c r="CD96" s="90" t="str">
        <f>IF(LEN(BR96)&gt;0,"70%","")</f>
        <v/>
      </c>
      <c r="CE96" s="90">
        <f>BS96</f>
        <v>98877</v>
      </c>
      <c r="CF96" s="90" t="str">
        <f>CA96</f>
        <v/>
      </c>
      <c r="CG96" s="90"/>
      <c r="CH96" s="90"/>
      <c r="CI96" s="90"/>
      <c r="CJ96" s="90"/>
      <c r="CK96" s="90"/>
      <c r="CL96" s="90"/>
      <c r="CM96" s="90"/>
      <c r="CN96" s="90"/>
      <c r="CO96" s="90"/>
      <c r="CP96" s="90"/>
      <c r="CQ96" s="90"/>
      <c r="CR96" s="90"/>
      <c r="CS96" s="90"/>
      <c r="CT96" s="137"/>
    </row>
    <row r="97" spans="1:98" ht="75">
      <c r="A97" s="89">
        <v>98877</v>
      </c>
      <c r="B97" s="90">
        <v>2020</v>
      </c>
      <c r="C97" s="90" t="s">
        <v>81</v>
      </c>
      <c r="D97" s="90" t="s">
        <v>440</v>
      </c>
      <c r="E97" s="125" t="s">
        <v>450</v>
      </c>
      <c r="F97" s="24" t="s">
        <v>442</v>
      </c>
      <c r="G97" s="90" t="s">
        <v>85</v>
      </c>
      <c r="H97" s="90" t="s">
        <v>117</v>
      </c>
      <c r="I97" s="90">
        <v>93</v>
      </c>
      <c r="J97" s="90">
        <v>157</v>
      </c>
      <c r="K97" s="90" t="s">
        <v>85</v>
      </c>
      <c r="L97" s="90" t="s">
        <v>443</v>
      </c>
      <c r="M97" s="90" t="s">
        <v>85</v>
      </c>
      <c r="N97" s="24" t="s">
        <v>444</v>
      </c>
      <c r="O97" s="24" t="str">
        <f>IF(ISNUMBER(SEARCH("Cancer",N97)),"Cancer",IF(ISNUMBER(SEARCH("health",N97)),"Public health",IF(ISNUMBER(SEARCH("disabilities",N97)),"Disabilities","Other")))</f>
        <v>Cancer</v>
      </c>
      <c r="P97" s="126">
        <v>949577</v>
      </c>
      <c r="Q97" s="90" t="s">
        <v>85</v>
      </c>
      <c r="R97" s="90" t="str">
        <f>IF(P97&gt;20000000,"B","A")</f>
        <v>A</v>
      </c>
      <c r="S97" s="90" t="s">
        <v>90</v>
      </c>
      <c r="T97" s="90">
        <v>2585700</v>
      </c>
      <c r="U97" s="90" t="s">
        <v>91</v>
      </c>
      <c r="V97" s="90" t="s">
        <v>445</v>
      </c>
      <c r="W97" s="90" t="s">
        <v>85</v>
      </c>
      <c r="X97" s="90" t="s">
        <v>87</v>
      </c>
      <c r="Y97" s="90" t="s">
        <v>85</v>
      </c>
      <c r="Z97" s="90" t="s">
        <v>85</v>
      </c>
      <c r="AA97" s="90" t="s">
        <v>85</v>
      </c>
      <c r="AB97" s="90" t="s">
        <v>85</v>
      </c>
      <c r="AC97" s="90" t="s">
        <v>85</v>
      </c>
      <c r="AD97" s="90">
        <v>0</v>
      </c>
      <c r="AE97" s="24">
        <v>0</v>
      </c>
      <c r="AF97" s="90">
        <v>0</v>
      </c>
      <c r="AG97" s="24">
        <v>0</v>
      </c>
      <c r="AH97" s="90">
        <v>90199</v>
      </c>
      <c r="AI97" s="24" t="s">
        <v>110</v>
      </c>
      <c r="AJ97" s="24" t="s">
        <v>451</v>
      </c>
      <c r="AK97" s="90" t="s">
        <v>85</v>
      </c>
      <c r="AL97" s="90">
        <v>98877</v>
      </c>
      <c r="AM97" s="90" t="s">
        <v>81</v>
      </c>
      <c r="AN97" s="90" t="s">
        <v>440</v>
      </c>
      <c r="AO97" s="125" t="s">
        <v>450</v>
      </c>
      <c r="AP97" s="24" t="s">
        <v>444</v>
      </c>
      <c r="AQ97" s="90" t="s">
        <v>443</v>
      </c>
      <c r="AR97" s="24" t="s">
        <v>444</v>
      </c>
      <c r="AS97" s="90">
        <v>2585700</v>
      </c>
      <c r="AT97" s="24" t="s">
        <v>110</v>
      </c>
      <c r="AU97" s="90" t="s">
        <v>445</v>
      </c>
      <c r="AV97" s="90" t="str">
        <f>IF(ISNUMBER(SEARCH("disagree",AE97)),"N","Y")</f>
        <v>Y</v>
      </c>
      <c r="AW97" s="90" t="s">
        <v>119</v>
      </c>
      <c r="AX97" s="24" t="s">
        <v>119</v>
      </c>
      <c r="AY97" s="90" t="str">
        <f>CONCATENATE(AZ97,BA97,BB97,BC97)</f>
        <v/>
      </c>
      <c r="AZ97" s="90" t="str">
        <f>IF(ISNUMBER(SEARCH("Y",AC97)),"R","")</f>
        <v/>
      </c>
      <c r="BA97" s="90" t="str">
        <f>IF(ISNUMBER(SEARCH("Y",Y97)),"M","")</f>
        <v/>
      </c>
      <c r="BB97" s="90" t="str">
        <f>IF(ISNUMBER(SEARCH("Y",AB97)),"QC","")</f>
        <v/>
      </c>
      <c r="BC97" s="90" t="str">
        <f>IF(ISNUMBER(SEARCH("Y",Z97)),"S","")</f>
        <v/>
      </c>
      <c r="BD97" s="90"/>
      <c r="BE97" s="24" t="s">
        <v>119</v>
      </c>
      <c r="BF97" s="125" t="str">
        <f>IF(AND(AW97&gt;=56543,AW97&lt;=76543,LEN(AW97)&gt;0),"3 Feb 2020",IF(AND(AW97&gt;=66544,AW97&lt;=99999,LEN(AW97)&gt;0),"12 Sep 2020",""))</f>
        <v/>
      </c>
      <c r="BG97" s="125" t="str">
        <f>IF((AND(BF97="3 Feb 2020",LEN(BF97)&gt;0)),"Completed",IF((AND(BF97="12 Sep 2020",LEN(BF97)&gt;0)),"Pending",""))</f>
        <v/>
      </c>
      <c r="BH97" s="90" t="str">
        <f>IF((AND(BF97="3 Feb 2020",LEN(BF97)&gt;0)),"3 Feb 2020","")</f>
        <v/>
      </c>
      <c r="BI97" s="90">
        <v>98877</v>
      </c>
      <c r="BJ97" s="90" t="str">
        <f>L97</f>
        <v>1H78AT90194-36</v>
      </c>
      <c r="BK97" s="127">
        <v>43508</v>
      </c>
      <c r="BL97" s="127">
        <v>44239</v>
      </c>
      <c r="BM97" s="128">
        <f>P97*1.1</f>
        <v>1044534.7000000001</v>
      </c>
      <c r="BN97" s="129">
        <f>P97*0.9</f>
        <v>854619.3</v>
      </c>
      <c r="BO97" s="130">
        <f>P97*0.8</f>
        <v>759661.60000000009</v>
      </c>
      <c r="BP97" s="90">
        <f>IF(Z97="Y",BM97*0.4,BM97*1.05)</f>
        <v>1096761.4350000001</v>
      </c>
      <c r="BQ97" s="90">
        <f>BP97*0.8</f>
        <v>877409.14800000004</v>
      </c>
      <c r="BR97" s="90" t="str">
        <f>IF(ISNUMBER(SEARCH("subrecipient",AI93)),P97*0.6,"")</f>
        <v/>
      </c>
      <c r="BS97" s="90">
        <v>98877</v>
      </c>
      <c r="BT97" s="90" t="str">
        <f>BJ97</f>
        <v>1H78AT90194-36</v>
      </c>
      <c r="BU97" s="127">
        <f>BK97</f>
        <v>43508</v>
      </c>
      <c r="BV97" s="127">
        <f>BL97</f>
        <v>44239</v>
      </c>
      <c r="BW97" s="90" t="str">
        <f>H97</f>
        <v>NIH</v>
      </c>
      <c r="BX97" s="90" t="str">
        <f>IF(H97="NATIONAL HEMOPHILIA FOUNDATION","Non Federal","Federal")</f>
        <v>Federal</v>
      </c>
      <c r="BY97" s="128">
        <f>BM97</f>
        <v>1044534.7000000001</v>
      </c>
      <c r="BZ97" s="90" t="str">
        <f>IF(LEN(BR97)&gt;0,1,"")</f>
        <v/>
      </c>
      <c r="CA97" s="90" t="str">
        <f>IF(LEN(BR97)&gt;0,"VIRAL HEPATITIS PROJECT","")</f>
        <v/>
      </c>
      <c r="CB97" s="129" t="str">
        <f>IF(LEN(BR97)&gt;0,BM97*0.7,"")</f>
        <v/>
      </c>
      <c r="CC97" s="90">
        <f>BP97</f>
        <v>1096761.4350000001</v>
      </c>
      <c r="CD97" s="90" t="str">
        <f>IF(LEN(BR97)&gt;0,"70%","")</f>
        <v/>
      </c>
      <c r="CE97" s="90">
        <f>BS97</f>
        <v>98877</v>
      </c>
      <c r="CF97" s="90" t="str">
        <f>CA97</f>
        <v/>
      </c>
      <c r="CG97" s="90"/>
      <c r="CH97" s="90"/>
      <c r="CI97" s="90"/>
      <c r="CJ97" s="90"/>
      <c r="CK97" s="90"/>
      <c r="CL97" s="90"/>
      <c r="CM97" s="90"/>
      <c r="CN97" s="90"/>
      <c r="CO97" s="90"/>
      <c r="CP97" s="90"/>
      <c r="CQ97" s="90"/>
      <c r="CR97" s="90"/>
      <c r="CS97" s="90"/>
      <c r="CT97" s="137"/>
    </row>
    <row r="98" spans="1:98" ht="240">
      <c r="A98" s="89">
        <v>99302</v>
      </c>
      <c r="B98" s="90">
        <v>2020</v>
      </c>
      <c r="C98" s="90" t="s">
        <v>81</v>
      </c>
      <c r="D98" s="90" t="s">
        <v>452</v>
      </c>
      <c r="E98" s="125" t="s">
        <v>453</v>
      </c>
      <c r="F98" s="24" t="s">
        <v>454</v>
      </c>
      <c r="G98" s="90" t="s">
        <v>85</v>
      </c>
      <c r="H98" s="90" t="s">
        <v>132</v>
      </c>
      <c r="I98" s="90">
        <v>93</v>
      </c>
      <c r="J98" s="90">
        <v>157</v>
      </c>
      <c r="K98" s="90" t="s">
        <v>85</v>
      </c>
      <c r="L98" s="90" t="s">
        <v>455</v>
      </c>
      <c r="M98" s="90" t="s">
        <v>85</v>
      </c>
      <c r="N98" s="24" t="s">
        <v>456</v>
      </c>
      <c r="O98" s="24" t="str">
        <f>IF(ISNUMBER(SEARCH("Cancer",N98)),"Cancer",IF(ISNUMBER(SEARCH("health",N98)),"Public health",IF(ISNUMBER(SEARCH("disabilities",N98)),"Disabilities","Other")))</f>
        <v>Other</v>
      </c>
      <c r="P98" s="126">
        <v>764454</v>
      </c>
      <c r="Q98" s="90" t="s">
        <v>85</v>
      </c>
      <c r="R98" s="90" t="str">
        <f>IF(P98&gt;20000000,"B","A")</f>
        <v>A</v>
      </c>
      <c r="S98" s="90" t="s">
        <v>90</v>
      </c>
      <c r="T98" s="90">
        <v>2585703</v>
      </c>
      <c r="U98" s="90" t="s">
        <v>91</v>
      </c>
      <c r="V98" s="90" t="s">
        <v>445</v>
      </c>
      <c r="W98" s="90" t="s">
        <v>85</v>
      </c>
      <c r="X98" s="90" t="s">
        <v>87</v>
      </c>
      <c r="Y98" s="90" t="s">
        <v>85</v>
      </c>
      <c r="Z98" s="90" t="s">
        <v>85</v>
      </c>
      <c r="AA98" s="90" t="s">
        <v>85</v>
      </c>
      <c r="AB98" s="90" t="s">
        <v>85</v>
      </c>
      <c r="AC98" s="90" t="s">
        <v>87</v>
      </c>
      <c r="AD98" s="90" t="s">
        <v>457</v>
      </c>
      <c r="AE98" s="24" t="s">
        <v>458</v>
      </c>
      <c r="AF98" s="90" t="s">
        <v>91</v>
      </c>
      <c r="AG98" s="24" t="s">
        <v>459</v>
      </c>
      <c r="AH98" s="90">
        <v>90193</v>
      </c>
      <c r="AI98" s="24" t="s">
        <v>94</v>
      </c>
      <c r="AJ98" s="24" t="s">
        <v>448</v>
      </c>
      <c r="AK98" s="90" t="s">
        <v>85</v>
      </c>
      <c r="AL98" s="90">
        <v>99302</v>
      </c>
      <c r="AM98" s="90" t="s">
        <v>81</v>
      </c>
      <c r="AN98" s="90" t="s">
        <v>452</v>
      </c>
      <c r="AO98" s="125" t="s">
        <v>453</v>
      </c>
      <c r="AP98" s="24" t="s">
        <v>456</v>
      </c>
      <c r="AQ98" s="90" t="s">
        <v>455</v>
      </c>
      <c r="AR98" s="24" t="s">
        <v>456</v>
      </c>
      <c r="AS98" s="90">
        <v>2585703</v>
      </c>
      <c r="AT98" s="24" t="s">
        <v>94</v>
      </c>
      <c r="AU98" s="90" t="s">
        <v>445</v>
      </c>
      <c r="AV98" s="90" t="str">
        <f>IF(ISNUMBER(SEARCH("disagree",AE98)),"N","Y")</f>
        <v>Y</v>
      </c>
      <c r="AW98" s="90">
        <v>65967</v>
      </c>
      <c r="AX98" s="24" t="s">
        <v>96</v>
      </c>
      <c r="AY98" s="90" t="str">
        <f>CONCATENATE(AZ98,BA98,BB98,BC98)</f>
        <v>R</v>
      </c>
      <c r="AZ98" s="90" t="str">
        <f>IF(ISNUMBER(SEARCH("Y",AC98)),"R","")</f>
        <v>R</v>
      </c>
      <c r="BA98" s="90" t="str">
        <f>IF(ISNUMBER(SEARCH("Y",Y98)),"M","")</f>
        <v/>
      </c>
      <c r="BB98" s="90" t="str">
        <f>IF(ISNUMBER(SEARCH("Y",AB98)),"QC","")</f>
        <v/>
      </c>
      <c r="BC98" s="90" t="str">
        <f>IF(ISNUMBER(SEARCH("Y",Z98)),"S","")</f>
        <v/>
      </c>
      <c r="BD98" s="90"/>
      <c r="BE98" s="24" t="s">
        <v>97</v>
      </c>
      <c r="BF98" s="125" t="str">
        <f>IF(AND(AW98&gt;=56543,AW98&lt;=76543,LEN(AW98)&gt;0),"3 Feb 2020",IF(AND(AW98&gt;=66544,AW98&lt;=99999,LEN(AW98)&gt;0),"12 Sep 2020",""))</f>
        <v>3 Feb 2020</v>
      </c>
      <c r="BG98" s="125" t="str">
        <f>IF((AND(BF98="3 Feb 2020",LEN(BF98)&gt;0)),"Completed",IF((AND(BF98="12 Sep 2020",LEN(BF98)&gt;0)),"Pending",""))</f>
        <v>Completed</v>
      </c>
      <c r="BH98" s="90" t="str">
        <f>IF((AND(BF98="3 Feb 2020",LEN(BF98)&gt;0)),"3 Feb 2020","")</f>
        <v>3 Feb 2020</v>
      </c>
      <c r="BI98" s="90">
        <v>99302</v>
      </c>
      <c r="BJ98" s="90" t="str">
        <f>L98</f>
        <v>4S62HS90893-93</v>
      </c>
      <c r="BK98" s="127">
        <v>43508</v>
      </c>
      <c r="BL98" s="127">
        <v>44239</v>
      </c>
      <c r="BM98" s="128">
        <f>P98*1.1</f>
        <v>840899.4</v>
      </c>
      <c r="BN98" s="129">
        <f>P98*0.9</f>
        <v>688008.6</v>
      </c>
      <c r="BO98" s="130">
        <f>P98*0.8</f>
        <v>611563.20000000007</v>
      </c>
      <c r="BP98" s="90">
        <f>IF(Z98="Y",BM98*0.4,BM98*1.05)</f>
        <v>882944.37000000011</v>
      </c>
      <c r="BQ98" s="90">
        <f>BP98*0.8</f>
        <v>706355.49600000016</v>
      </c>
      <c r="BR98" s="90" t="str">
        <f>IF(ISNUMBER(SEARCH("subrecipient",AI94)),P98*0.6,"")</f>
        <v/>
      </c>
      <c r="BS98" s="90">
        <v>99302</v>
      </c>
      <c r="BT98" s="90" t="str">
        <f>BJ98</f>
        <v>4S62HS90893-93</v>
      </c>
      <c r="BU98" s="127">
        <f>BK98</f>
        <v>43508</v>
      </c>
      <c r="BV98" s="127">
        <f>BL98</f>
        <v>44239</v>
      </c>
      <c r="BW98" s="90" t="str">
        <f>H98</f>
        <v>FDA</v>
      </c>
      <c r="BX98" s="90" t="str">
        <f>IF(H98="NATIONAL HEMOPHILIA FOUNDATION","Non Federal","Federal")</f>
        <v>Federal</v>
      </c>
      <c r="BY98" s="128">
        <f>BM98</f>
        <v>840899.4</v>
      </c>
      <c r="BZ98" s="90" t="str">
        <f>IF(LEN(BR98)&gt;0,1,"")</f>
        <v/>
      </c>
      <c r="CA98" s="90" t="str">
        <f>IF(LEN(BR98)&gt;0,"VIRAL HEPATITIS PROJECT","")</f>
        <v/>
      </c>
      <c r="CB98" s="129" t="str">
        <f>IF(LEN(BR98)&gt;0,BM98*0.7,"")</f>
        <v/>
      </c>
      <c r="CC98" s="90">
        <f>BP98</f>
        <v>882944.37000000011</v>
      </c>
      <c r="CD98" s="90" t="str">
        <f>IF(LEN(BR98)&gt;0,"70%","")</f>
        <v/>
      </c>
      <c r="CE98" s="90">
        <f>BS98</f>
        <v>99302</v>
      </c>
      <c r="CF98" s="90" t="str">
        <f>CA98</f>
        <v/>
      </c>
      <c r="CG98" s="90"/>
      <c r="CH98" s="90"/>
      <c r="CI98" s="90"/>
      <c r="CJ98" s="90"/>
      <c r="CK98" s="90"/>
      <c r="CL98" s="90"/>
      <c r="CM98" s="90"/>
      <c r="CN98" s="90"/>
      <c r="CO98" s="90"/>
      <c r="CP98" s="90"/>
      <c r="CQ98" s="90"/>
      <c r="CR98" s="90"/>
      <c r="CS98" s="90"/>
      <c r="CT98" s="137"/>
    </row>
    <row r="99" spans="1:98" ht="75">
      <c r="A99" s="89">
        <v>99302</v>
      </c>
      <c r="B99" s="90">
        <v>2020</v>
      </c>
      <c r="C99" s="90" t="s">
        <v>81</v>
      </c>
      <c r="D99" s="90" t="s">
        <v>452</v>
      </c>
      <c r="E99" s="125" t="s">
        <v>460</v>
      </c>
      <c r="F99" s="24" t="s">
        <v>454</v>
      </c>
      <c r="G99" s="90" t="s">
        <v>85</v>
      </c>
      <c r="H99" s="90" t="s">
        <v>132</v>
      </c>
      <c r="I99" s="90">
        <v>93</v>
      </c>
      <c r="J99" s="90">
        <v>157</v>
      </c>
      <c r="K99" s="90" t="s">
        <v>85</v>
      </c>
      <c r="L99" s="90" t="s">
        <v>455</v>
      </c>
      <c r="M99" s="90" t="s">
        <v>85</v>
      </c>
      <c r="N99" s="24" t="s">
        <v>456</v>
      </c>
      <c r="O99" s="24" t="str">
        <f>IF(ISNUMBER(SEARCH("Cancer",N99)),"Cancer",IF(ISNUMBER(SEARCH("health",N99)),"Public health",IF(ISNUMBER(SEARCH("disabilities",N99)),"Disabilities","Other")))</f>
        <v>Other</v>
      </c>
      <c r="P99" s="126">
        <v>764454</v>
      </c>
      <c r="Q99" s="90" t="s">
        <v>85</v>
      </c>
      <c r="R99" s="90" t="str">
        <f>IF(P99&gt;20000000,"B","A")</f>
        <v>A</v>
      </c>
      <c r="S99" s="90" t="s">
        <v>90</v>
      </c>
      <c r="T99" s="90">
        <v>2585703</v>
      </c>
      <c r="U99" s="90" t="s">
        <v>91</v>
      </c>
      <c r="V99" s="90" t="s">
        <v>445</v>
      </c>
      <c r="W99" s="90" t="s">
        <v>85</v>
      </c>
      <c r="X99" s="90" t="s">
        <v>87</v>
      </c>
      <c r="Y99" s="90" t="s">
        <v>85</v>
      </c>
      <c r="Z99" s="90" t="s">
        <v>85</v>
      </c>
      <c r="AA99" s="90" t="s">
        <v>85</v>
      </c>
      <c r="AB99" s="90" t="s">
        <v>85</v>
      </c>
      <c r="AC99" s="90" t="s">
        <v>87</v>
      </c>
      <c r="AD99" s="90" t="s">
        <v>457</v>
      </c>
      <c r="AE99" s="24">
        <v>0</v>
      </c>
      <c r="AF99" s="90">
        <v>0</v>
      </c>
      <c r="AG99" s="24">
        <v>0</v>
      </c>
      <c r="AH99" s="90">
        <v>90194</v>
      </c>
      <c r="AI99" s="24" t="s">
        <v>102</v>
      </c>
      <c r="AJ99" s="24" t="s">
        <v>103</v>
      </c>
      <c r="AK99" s="90" t="s">
        <v>85</v>
      </c>
      <c r="AL99" s="90">
        <v>99302</v>
      </c>
      <c r="AM99" s="90" t="s">
        <v>81</v>
      </c>
      <c r="AN99" s="90" t="s">
        <v>452</v>
      </c>
      <c r="AO99" s="125" t="s">
        <v>460</v>
      </c>
      <c r="AP99" s="24" t="s">
        <v>456</v>
      </c>
      <c r="AQ99" s="90" t="s">
        <v>455</v>
      </c>
      <c r="AR99" s="24" t="s">
        <v>456</v>
      </c>
      <c r="AS99" s="90">
        <v>2585703</v>
      </c>
      <c r="AT99" s="24" t="s">
        <v>102</v>
      </c>
      <c r="AU99" s="90" t="s">
        <v>445</v>
      </c>
      <c r="AV99" s="90" t="str">
        <f>IF(ISNUMBER(SEARCH("disagree",AE99)),"N","Y")</f>
        <v>Y</v>
      </c>
      <c r="AW99" s="90">
        <v>94617</v>
      </c>
      <c r="AX99" s="24" t="s">
        <v>104</v>
      </c>
      <c r="AY99" s="90" t="str">
        <f>CONCATENATE(AZ99,BA99,BB99,BC99)</f>
        <v>R</v>
      </c>
      <c r="AZ99" s="90" t="str">
        <f>IF(ISNUMBER(SEARCH("Y",AC99)),"R","")</f>
        <v>R</v>
      </c>
      <c r="BA99" s="90" t="str">
        <f>IF(ISNUMBER(SEARCH("Y",Y99)),"M","")</f>
        <v/>
      </c>
      <c r="BB99" s="90" t="str">
        <f>IF(ISNUMBER(SEARCH("Y",AB99)),"QC","")</f>
        <v/>
      </c>
      <c r="BC99" s="90" t="str">
        <f>IF(ISNUMBER(SEARCH("Y",Z99)),"S","")</f>
        <v/>
      </c>
      <c r="BD99" s="90"/>
      <c r="BE99" s="24" t="s">
        <v>105</v>
      </c>
      <c r="BF99" s="125" t="str">
        <f>IF(AND(AW99&gt;=56543,AW99&lt;=76543,LEN(AW99)&gt;0),"3 Feb 2020",IF(AND(AW99&gt;=66544,AW99&lt;=99999,LEN(AW99)&gt;0),"12 Sep 2020",""))</f>
        <v>12 Sep 2020</v>
      </c>
      <c r="BG99" s="125" t="str">
        <f>IF((AND(BF99="3 Feb 2020",LEN(BF99)&gt;0)),"Completed",IF((AND(BF99="12 Sep 2020",LEN(BF99)&gt;0)),"Pending",""))</f>
        <v>Pending</v>
      </c>
      <c r="BH99" s="90" t="str">
        <f>IF((AND(BF99="3 Feb 2020",LEN(BF99)&gt;0)),"3 Feb 2020","")</f>
        <v/>
      </c>
      <c r="BI99" s="90">
        <v>99302</v>
      </c>
      <c r="BJ99" s="90" t="str">
        <f>L99</f>
        <v>4S62HS90893-93</v>
      </c>
      <c r="BK99" s="127">
        <v>43508</v>
      </c>
      <c r="BL99" s="127">
        <v>44239</v>
      </c>
      <c r="BM99" s="128">
        <f>P99*1.1</f>
        <v>840899.4</v>
      </c>
      <c r="BN99" s="129">
        <f>P99*0.9</f>
        <v>688008.6</v>
      </c>
      <c r="BO99" s="130">
        <f>P99*0.8</f>
        <v>611563.20000000007</v>
      </c>
      <c r="BP99" s="90">
        <f>IF(Z99="Y",BM99*0.4,BM99*1.05)</f>
        <v>882944.37000000011</v>
      </c>
      <c r="BQ99" s="90">
        <f>BP99*0.8</f>
        <v>706355.49600000016</v>
      </c>
      <c r="BR99" s="90" t="str">
        <f>IF(ISNUMBER(SEARCH("subrecipient",AI95)),P99*0.6,"")</f>
        <v/>
      </c>
      <c r="BS99" s="90">
        <v>99302</v>
      </c>
      <c r="BT99" s="90" t="str">
        <f>BJ99</f>
        <v>4S62HS90893-93</v>
      </c>
      <c r="BU99" s="127">
        <f>BK99</f>
        <v>43508</v>
      </c>
      <c r="BV99" s="127">
        <f>BL99</f>
        <v>44239</v>
      </c>
      <c r="BW99" s="90" t="str">
        <f>H99</f>
        <v>FDA</v>
      </c>
      <c r="BX99" s="90" t="str">
        <f>IF(H99="NATIONAL HEMOPHILIA FOUNDATION","Non Federal","Federal")</f>
        <v>Federal</v>
      </c>
      <c r="BY99" s="128">
        <f>BM99</f>
        <v>840899.4</v>
      </c>
      <c r="BZ99" s="90" t="str">
        <f>IF(LEN(BR99)&gt;0,1,"")</f>
        <v/>
      </c>
      <c r="CA99" s="90" t="str">
        <f>IF(LEN(BR99)&gt;0,"VIRAL HEPATITIS PROJECT","")</f>
        <v/>
      </c>
      <c r="CB99" s="129" t="str">
        <f>IF(LEN(BR99)&gt;0,BM99*0.7,"")</f>
        <v/>
      </c>
      <c r="CC99" s="90">
        <f>BP99</f>
        <v>882944.37000000011</v>
      </c>
      <c r="CD99" s="90" t="str">
        <f>IF(LEN(BR99)&gt;0,"70%","")</f>
        <v/>
      </c>
      <c r="CE99" s="90">
        <f>BS99</f>
        <v>99302</v>
      </c>
      <c r="CF99" s="90" t="str">
        <f>CA99</f>
        <v/>
      </c>
      <c r="CG99" s="90"/>
      <c r="CH99" s="90"/>
      <c r="CI99" s="90"/>
      <c r="CJ99" s="90"/>
      <c r="CK99" s="90"/>
      <c r="CL99" s="90"/>
      <c r="CM99" s="90"/>
      <c r="CN99" s="90"/>
      <c r="CO99" s="90"/>
      <c r="CP99" s="90"/>
      <c r="CQ99" s="90"/>
      <c r="CR99" s="90"/>
      <c r="CS99" s="90"/>
      <c r="CT99" s="137"/>
    </row>
    <row r="100" spans="1:98" ht="45">
      <c r="A100" s="89">
        <v>99302</v>
      </c>
      <c r="B100" s="90">
        <v>2020</v>
      </c>
      <c r="C100" s="90" t="s">
        <v>81</v>
      </c>
      <c r="D100" s="90" t="s">
        <v>452</v>
      </c>
      <c r="E100" s="125" t="s">
        <v>461</v>
      </c>
      <c r="F100" s="24" t="s">
        <v>454</v>
      </c>
      <c r="G100" s="90" t="s">
        <v>85</v>
      </c>
      <c r="H100" s="90" t="s">
        <v>132</v>
      </c>
      <c r="I100" s="90">
        <v>93</v>
      </c>
      <c r="J100" s="90">
        <v>157</v>
      </c>
      <c r="K100" s="90" t="s">
        <v>85</v>
      </c>
      <c r="L100" s="90" t="s">
        <v>455</v>
      </c>
      <c r="M100" s="90" t="s">
        <v>85</v>
      </c>
      <c r="N100" s="24" t="s">
        <v>456</v>
      </c>
      <c r="O100" s="24" t="str">
        <f>IF(ISNUMBER(SEARCH("Cancer",N100)),"Cancer",IF(ISNUMBER(SEARCH("health",N100)),"Public health",IF(ISNUMBER(SEARCH("disabilities",N100)),"Disabilities","Other")))</f>
        <v>Other</v>
      </c>
      <c r="P100" s="126">
        <v>764454</v>
      </c>
      <c r="Q100" s="90" t="s">
        <v>85</v>
      </c>
      <c r="R100" s="90" t="str">
        <f>IF(P100&gt;20000000,"B","A")</f>
        <v>A</v>
      </c>
      <c r="S100" s="90" t="s">
        <v>90</v>
      </c>
      <c r="T100" s="90">
        <v>2585703</v>
      </c>
      <c r="U100" s="90" t="s">
        <v>91</v>
      </c>
      <c r="V100" s="90" t="s">
        <v>445</v>
      </c>
      <c r="W100" s="90" t="s">
        <v>85</v>
      </c>
      <c r="X100" s="90" t="s">
        <v>87</v>
      </c>
      <c r="Y100" s="90" t="s">
        <v>85</v>
      </c>
      <c r="Z100" s="90" t="s">
        <v>85</v>
      </c>
      <c r="AA100" s="90" t="s">
        <v>85</v>
      </c>
      <c r="AB100" s="90" t="s">
        <v>85</v>
      </c>
      <c r="AC100" s="90" t="s">
        <v>87</v>
      </c>
      <c r="AD100" s="90" t="s">
        <v>457</v>
      </c>
      <c r="AE100" s="24">
        <v>0</v>
      </c>
      <c r="AF100" s="90">
        <v>0</v>
      </c>
      <c r="AG100" s="24">
        <v>0</v>
      </c>
      <c r="AH100" s="90">
        <v>90195</v>
      </c>
      <c r="AI100" s="24" t="s">
        <v>110</v>
      </c>
      <c r="AJ100" s="24" t="s">
        <v>462</v>
      </c>
      <c r="AK100" s="90" t="s">
        <v>85</v>
      </c>
      <c r="AL100" s="90">
        <v>99302</v>
      </c>
      <c r="AM100" s="90" t="s">
        <v>81</v>
      </c>
      <c r="AN100" s="90" t="s">
        <v>452</v>
      </c>
      <c r="AO100" s="125" t="s">
        <v>461</v>
      </c>
      <c r="AP100" s="24" t="s">
        <v>456</v>
      </c>
      <c r="AQ100" s="90" t="s">
        <v>455</v>
      </c>
      <c r="AR100" s="24" t="s">
        <v>456</v>
      </c>
      <c r="AS100" s="90">
        <v>2585703</v>
      </c>
      <c r="AT100" s="24" t="s">
        <v>110</v>
      </c>
      <c r="AU100" s="90" t="s">
        <v>445</v>
      </c>
      <c r="AV100" s="90" t="str">
        <f>IF(ISNUMBER(SEARCH("disagree",AE100)),"N","Y")</f>
        <v>Y</v>
      </c>
      <c r="AW100" s="90">
        <v>92486</v>
      </c>
      <c r="AX100" s="24" t="s">
        <v>112</v>
      </c>
      <c r="AY100" s="90" t="str">
        <f>CONCATENATE(AZ100,BA100,BB100,BC100)</f>
        <v>R</v>
      </c>
      <c r="AZ100" s="90" t="str">
        <f>IF(ISNUMBER(SEARCH("Y",AC100)),"R","")</f>
        <v>R</v>
      </c>
      <c r="BA100" s="90" t="str">
        <f>IF(ISNUMBER(SEARCH("Y",Y100)),"M","")</f>
        <v/>
      </c>
      <c r="BB100" s="90" t="str">
        <f>IF(ISNUMBER(SEARCH("Y",AB100)),"QC","")</f>
        <v/>
      </c>
      <c r="BC100" s="90" t="str">
        <f>IF(ISNUMBER(SEARCH("Y",Z100)),"S","")</f>
        <v/>
      </c>
      <c r="BD100" s="90"/>
      <c r="BE100" s="24" t="s">
        <v>113</v>
      </c>
      <c r="BF100" s="125" t="str">
        <f>IF(AND(AW100&gt;=56543,AW100&lt;=76543,LEN(AW100)&gt;0),"3 Feb 2020",IF(AND(AW100&gt;=66544,AW100&lt;=99999,LEN(AW100)&gt;0),"12 Sep 2020",""))</f>
        <v>12 Sep 2020</v>
      </c>
      <c r="BG100" s="125" t="str">
        <f>IF((AND(BF100="3 Feb 2020",LEN(BF100)&gt;0)),"Completed",IF((AND(BF100="12 Sep 2020",LEN(BF100)&gt;0)),"Pending",""))</f>
        <v>Pending</v>
      </c>
      <c r="BH100" s="90" t="str">
        <f>IF((AND(BF100="3 Feb 2020",LEN(BF100)&gt;0)),"3 Feb 2020","")</f>
        <v/>
      </c>
      <c r="BI100" s="90">
        <v>99302</v>
      </c>
      <c r="BJ100" s="90" t="str">
        <f>L100</f>
        <v>4S62HS90893-93</v>
      </c>
      <c r="BK100" s="127">
        <v>43508</v>
      </c>
      <c r="BL100" s="127">
        <v>44239</v>
      </c>
      <c r="BM100" s="128">
        <f>P100*1.1</f>
        <v>840899.4</v>
      </c>
      <c r="BN100" s="129">
        <f>P100*0.9</f>
        <v>688008.6</v>
      </c>
      <c r="BO100" s="130">
        <f>P100*0.8</f>
        <v>611563.20000000007</v>
      </c>
      <c r="BP100" s="90">
        <f>IF(Z100="Y",BM100*0.4,BM100*1.05)</f>
        <v>882944.37000000011</v>
      </c>
      <c r="BQ100" s="90">
        <f>BP100*0.8</f>
        <v>706355.49600000016</v>
      </c>
      <c r="BR100" s="90" t="str">
        <f>IF(ISNUMBER(SEARCH("subrecipient",AI96)),P100*0.6,"")</f>
        <v/>
      </c>
      <c r="BS100" s="90">
        <v>99302</v>
      </c>
      <c r="BT100" s="90" t="str">
        <f>BJ100</f>
        <v>4S62HS90893-93</v>
      </c>
      <c r="BU100" s="127">
        <f>BK100</f>
        <v>43508</v>
      </c>
      <c r="BV100" s="127">
        <f>BL100</f>
        <v>44239</v>
      </c>
      <c r="BW100" s="90" t="str">
        <f>H100</f>
        <v>FDA</v>
      </c>
      <c r="BX100" s="90" t="str">
        <f>IF(H100="NATIONAL HEMOPHILIA FOUNDATION","Non Federal","Federal")</f>
        <v>Federal</v>
      </c>
      <c r="BY100" s="128">
        <f>BM100</f>
        <v>840899.4</v>
      </c>
      <c r="BZ100" s="90" t="str">
        <f>IF(LEN(BR100)&gt;0,1,"")</f>
        <v/>
      </c>
      <c r="CA100" s="90" t="str">
        <f>IF(LEN(BR100)&gt;0,"VIRAL HEPATITIS PROJECT","")</f>
        <v/>
      </c>
      <c r="CB100" s="129" t="str">
        <f>IF(LEN(BR100)&gt;0,BM100*0.7,"")</f>
        <v/>
      </c>
      <c r="CC100" s="90">
        <f>BP100</f>
        <v>882944.37000000011</v>
      </c>
      <c r="CD100" s="90" t="str">
        <f>IF(LEN(BR100)&gt;0,"70%","")</f>
        <v/>
      </c>
      <c r="CE100" s="90">
        <f>BS100</f>
        <v>99302</v>
      </c>
      <c r="CF100" s="90" t="str">
        <f>CA100</f>
        <v/>
      </c>
      <c r="CG100" s="90"/>
      <c r="CH100" s="90"/>
      <c r="CI100" s="90"/>
      <c r="CJ100" s="90"/>
      <c r="CK100" s="90"/>
      <c r="CL100" s="90"/>
      <c r="CM100" s="90"/>
      <c r="CN100" s="90"/>
      <c r="CO100" s="90"/>
      <c r="CP100" s="90"/>
      <c r="CQ100" s="90"/>
      <c r="CR100" s="90"/>
      <c r="CS100" s="90"/>
      <c r="CT100" s="137"/>
    </row>
    <row r="101" spans="1:98" ht="165">
      <c r="A101" s="89">
        <v>101896</v>
      </c>
      <c r="B101" s="90">
        <v>2020</v>
      </c>
      <c r="C101" s="90" t="s">
        <v>283</v>
      </c>
      <c r="D101" s="90" t="s">
        <v>463</v>
      </c>
      <c r="E101" s="125" t="s">
        <v>464</v>
      </c>
      <c r="F101" s="24" t="s">
        <v>465</v>
      </c>
      <c r="G101" s="90" t="s">
        <v>85</v>
      </c>
      <c r="H101" s="90" t="s">
        <v>150</v>
      </c>
      <c r="I101" s="90">
        <v>93</v>
      </c>
      <c r="J101" s="90">
        <v>157</v>
      </c>
      <c r="K101" s="90" t="s">
        <v>85</v>
      </c>
      <c r="L101" s="90" t="s">
        <v>466</v>
      </c>
      <c r="M101" s="90" t="s">
        <v>119</v>
      </c>
      <c r="N101" s="24" t="s">
        <v>467</v>
      </c>
      <c r="O101" s="24" t="str">
        <f>IF(ISNUMBER(SEARCH("Cancer",N101)),"Cancer",IF(ISNUMBER(SEARCH("health",N101)),"Public health",IF(ISNUMBER(SEARCH("disabilities",N101)),"Disabilities","Other")))</f>
        <v>Public health</v>
      </c>
      <c r="P101" s="126">
        <v>946224</v>
      </c>
      <c r="Q101" s="90" t="s">
        <v>85</v>
      </c>
      <c r="R101" s="90" t="str">
        <f>IF(P101&gt;20000000,"B","A")</f>
        <v>A</v>
      </c>
      <c r="S101" s="90" t="s">
        <v>90</v>
      </c>
      <c r="T101" s="90" t="s">
        <v>119</v>
      </c>
      <c r="U101" s="90" t="s">
        <v>119</v>
      </c>
      <c r="V101" s="90" t="s">
        <v>119</v>
      </c>
      <c r="W101" s="90" t="s">
        <v>119</v>
      </c>
      <c r="X101" s="90" t="s">
        <v>119</v>
      </c>
      <c r="Y101" s="90" t="s">
        <v>119</v>
      </c>
      <c r="Z101" s="90" t="s">
        <v>119</v>
      </c>
      <c r="AA101" s="90" t="s">
        <v>119</v>
      </c>
      <c r="AB101" s="90" t="s">
        <v>119</v>
      </c>
      <c r="AC101" s="90" t="s">
        <v>119</v>
      </c>
      <c r="AD101" s="90" t="s">
        <v>119</v>
      </c>
      <c r="AE101" s="24">
        <v>0</v>
      </c>
      <c r="AF101" s="90">
        <v>0</v>
      </c>
      <c r="AG101" s="24">
        <v>0</v>
      </c>
      <c r="AH101" s="90">
        <v>90893</v>
      </c>
      <c r="AI101" s="24" t="s">
        <v>94</v>
      </c>
      <c r="AJ101" s="24" t="s">
        <v>468</v>
      </c>
      <c r="AK101" s="90" t="s">
        <v>85</v>
      </c>
      <c r="AL101" s="90">
        <v>101896</v>
      </c>
      <c r="AM101" s="90" t="s">
        <v>283</v>
      </c>
      <c r="AN101" s="90" t="s">
        <v>463</v>
      </c>
      <c r="AO101" s="125" t="s">
        <v>464</v>
      </c>
      <c r="AP101" s="24" t="s">
        <v>467</v>
      </c>
      <c r="AQ101" s="90" t="s">
        <v>466</v>
      </c>
      <c r="AR101" s="24" t="s">
        <v>467</v>
      </c>
      <c r="AS101" s="90" t="s">
        <v>119</v>
      </c>
      <c r="AT101" s="24" t="s">
        <v>94</v>
      </c>
      <c r="AU101" s="90" t="s">
        <v>119</v>
      </c>
      <c r="AV101" s="90" t="str">
        <f>IF(ISNUMBER(SEARCH("disagree",AE101)),"N","Y")</f>
        <v>Y</v>
      </c>
      <c r="AW101" s="90" t="s">
        <v>119</v>
      </c>
      <c r="AX101" s="24" t="s">
        <v>119</v>
      </c>
      <c r="AY101" s="90" t="str">
        <f>CONCATENATE(AZ101,BA101,BB101,BC101)</f>
        <v/>
      </c>
      <c r="AZ101" s="90" t="str">
        <f>IF(ISNUMBER(SEARCH("Y",AC101)),"R","")</f>
        <v/>
      </c>
      <c r="BA101" s="90" t="str">
        <f>IF(ISNUMBER(SEARCH("Y",Y101)),"M","")</f>
        <v/>
      </c>
      <c r="BB101" s="90" t="str">
        <f>IF(ISNUMBER(SEARCH("Y",AB101)),"QC","")</f>
        <v/>
      </c>
      <c r="BC101" s="90" t="str">
        <f>IF(ISNUMBER(SEARCH("Y",Z101)),"S","")</f>
        <v/>
      </c>
      <c r="BD101" s="90"/>
      <c r="BE101" s="24" t="s">
        <v>119</v>
      </c>
      <c r="BF101" s="125" t="str">
        <f>IF(AND(AW101&gt;=56543,AW101&lt;=76543,LEN(AW101)&gt;0),"3 Feb 2020",IF(AND(AW101&gt;=66544,AW101&lt;=99999,LEN(AW101)&gt;0),"12 Sep 2020",""))</f>
        <v/>
      </c>
      <c r="BG101" s="125" t="str">
        <f>IF((AND(BF101="3 Feb 2020",LEN(BF101)&gt;0)),"Completed",IF((AND(BF101="12 Sep 2020",LEN(BF101)&gt;0)),"Pending",""))</f>
        <v/>
      </c>
      <c r="BH101" s="90" t="str">
        <f>IF((AND(BF101="3 Feb 2020",LEN(BF101)&gt;0)),"3 Feb 2020","")</f>
        <v/>
      </c>
      <c r="BI101" s="90">
        <v>101896</v>
      </c>
      <c r="BJ101" s="90" t="str">
        <f>L101</f>
        <v>2R75CR90891-89</v>
      </c>
      <c r="BK101" s="127">
        <v>43508</v>
      </c>
      <c r="BL101" s="127">
        <v>44239</v>
      </c>
      <c r="BM101" s="128">
        <f>P101*1.1</f>
        <v>1040846.4000000001</v>
      </c>
      <c r="BN101" s="129">
        <f>P101*0.9</f>
        <v>851601.6</v>
      </c>
      <c r="BO101" s="130">
        <f>P101*0.8</f>
        <v>756979.20000000007</v>
      </c>
      <c r="BP101" s="90">
        <f>IF(Z101="Y",BM101*0.4,BM101*1.05)</f>
        <v>1092888.7200000002</v>
      </c>
      <c r="BQ101" s="90">
        <f>BP101*0.8</f>
        <v>874310.97600000026</v>
      </c>
      <c r="BR101" s="90" t="str">
        <f>IF(ISNUMBER(SEARCH("subrecipient",AI97)),P101*0.6,"")</f>
        <v/>
      </c>
      <c r="BS101" s="90">
        <v>101896</v>
      </c>
      <c r="BT101" s="90" t="str">
        <f>BJ101</f>
        <v>2R75CR90891-89</v>
      </c>
      <c r="BU101" s="127">
        <f>BK101</f>
        <v>43508</v>
      </c>
      <c r="BV101" s="127">
        <f>BL101</f>
        <v>44239</v>
      </c>
      <c r="BW101" s="90" t="str">
        <f>H101</f>
        <v>ACF</v>
      </c>
      <c r="BX101" s="90" t="str">
        <f>IF(H101="NATIONAL HEMOPHILIA FOUNDATION","Non Federal","Federal")</f>
        <v>Federal</v>
      </c>
      <c r="BY101" s="128">
        <f>BM101</f>
        <v>1040846.4000000001</v>
      </c>
      <c r="BZ101" s="90" t="str">
        <f>IF(LEN(BR101)&gt;0,1,"")</f>
        <v/>
      </c>
      <c r="CA101" s="90" t="str">
        <f>IF(LEN(BR101)&gt;0,"VIRAL HEPATITIS PROJECT","")</f>
        <v/>
      </c>
      <c r="CB101" s="129" t="str">
        <f>IF(LEN(BR101)&gt;0,BM101*0.7,"")</f>
        <v/>
      </c>
      <c r="CC101" s="90">
        <f>BP101</f>
        <v>1092888.7200000002</v>
      </c>
      <c r="CD101" s="90" t="str">
        <f>IF(LEN(BR101)&gt;0,"70%","")</f>
        <v/>
      </c>
      <c r="CE101" s="90">
        <f>BS101</f>
        <v>101896</v>
      </c>
      <c r="CF101" s="90" t="str">
        <f>CA101</f>
        <v/>
      </c>
      <c r="CG101" s="90"/>
      <c r="CH101" s="90"/>
      <c r="CI101" s="90"/>
      <c r="CJ101" s="90"/>
      <c r="CK101" s="90"/>
      <c r="CL101" s="90"/>
      <c r="CM101" s="90"/>
      <c r="CN101" s="90"/>
      <c r="CO101" s="90"/>
      <c r="CP101" s="90"/>
      <c r="CQ101" s="90"/>
      <c r="CR101" s="90"/>
      <c r="CS101" s="90"/>
      <c r="CT101" s="137"/>
    </row>
    <row r="102" spans="1:98" ht="165">
      <c r="A102" s="89">
        <v>101896</v>
      </c>
      <c r="B102" s="90">
        <v>2020</v>
      </c>
      <c r="C102" s="90" t="s">
        <v>283</v>
      </c>
      <c r="D102" s="90" t="s">
        <v>463</v>
      </c>
      <c r="E102" s="125" t="s">
        <v>469</v>
      </c>
      <c r="F102" s="24" t="s">
        <v>465</v>
      </c>
      <c r="G102" s="90" t="s">
        <v>85</v>
      </c>
      <c r="H102" s="90" t="s">
        <v>150</v>
      </c>
      <c r="I102" s="90">
        <v>93</v>
      </c>
      <c r="J102" s="90">
        <v>157</v>
      </c>
      <c r="K102" s="90" t="s">
        <v>85</v>
      </c>
      <c r="L102" s="90" t="s">
        <v>466</v>
      </c>
      <c r="M102" s="90" t="s">
        <v>119</v>
      </c>
      <c r="N102" s="24" t="s">
        <v>467</v>
      </c>
      <c r="O102" s="24" t="str">
        <f>IF(ISNUMBER(SEARCH("Cancer",N102)),"Cancer",IF(ISNUMBER(SEARCH("health",N102)),"Public health",IF(ISNUMBER(SEARCH("disabilities",N102)),"Disabilities","Other")))</f>
        <v>Public health</v>
      </c>
      <c r="P102" s="126">
        <v>946224</v>
      </c>
      <c r="Q102" s="90" t="s">
        <v>85</v>
      </c>
      <c r="R102" s="90" t="str">
        <f>IF(P102&gt;20000000,"B","A")</f>
        <v>A</v>
      </c>
      <c r="S102" s="90" t="s">
        <v>90</v>
      </c>
      <c r="T102" s="90" t="s">
        <v>119</v>
      </c>
      <c r="U102" s="90" t="s">
        <v>119</v>
      </c>
      <c r="V102" s="90" t="s">
        <v>119</v>
      </c>
      <c r="W102" s="90" t="s">
        <v>119</v>
      </c>
      <c r="X102" s="90" t="s">
        <v>119</v>
      </c>
      <c r="Y102" s="90" t="s">
        <v>119</v>
      </c>
      <c r="Z102" s="90" t="s">
        <v>119</v>
      </c>
      <c r="AA102" s="90" t="s">
        <v>119</v>
      </c>
      <c r="AB102" s="90" t="s">
        <v>119</v>
      </c>
      <c r="AC102" s="90" t="s">
        <v>119</v>
      </c>
      <c r="AD102" s="90" t="s">
        <v>119</v>
      </c>
      <c r="AE102" s="24">
        <v>0</v>
      </c>
      <c r="AF102" s="90">
        <v>0</v>
      </c>
      <c r="AG102" s="24">
        <v>0</v>
      </c>
      <c r="AH102" s="90">
        <v>90892</v>
      </c>
      <c r="AI102" s="24" t="s">
        <v>102</v>
      </c>
      <c r="AJ102" s="24" t="s">
        <v>103</v>
      </c>
      <c r="AK102" s="90" t="s">
        <v>85</v>
      </c>
      <c r="AL102" s="90">
        <v>101896</v>
      </c>
      <c r="AM102" s="90" t="s">
        <v>283</v>
      </c>
      <c r="AN102" s="90" t="s">
        <v>463</v>
      </c>
      <c r="AO102" s="125" t="s">
        <v>469</v>
      </c>
      <c r="AP102" s="24" t="s">
        <v>467</v>
      </c>
      <c r="AQ102" s="90" t="s">
        <v>466</v>
      </c>
      <c r="AR102" s="24" t="s">
        <v>467</v>
      </c>
      <c r="AS102" s="90" t="s">
        <v>119</v>
      </c>
      <c r="AT102" s="24" t="s">
        <v>102</v>
      </c>
      <c r="AU102" s="90" t="s">
        <v>119</v>
      </c>
      <c r="AV102" s="90" t="str">
        <f>IF(ISNUMBER(SEARCH("disagree",AE102)),"N","Y")</f>
        <v>Y</v>
      </c>
      <c r="AW102" s="90" t="s">
        <v>119</v>
      </c>
      <c r="AX102" s="24" t="s">
        <v>119</v>
      </c>
      <c r="AY102" s="90" t="str">
        <f>CONCATENATE(AZ102,BA102,BB102,BC102)</f>
        <v/>
      </c>
      <c r="AZ102" s="90" t="str">
        <f>IF(ISNUMBER(SEARCH("Y",AC102)),"R","")</f>
        <v/>
      </c>
      <c r="BA102" s="90" t="str">
        <f>IF(ISNUMBER(SEARCH("Y",Y102)),"M","")</f>
        <v/>
      </c>
      <c r="BB102" s="90" t="str">
        <f>IF(ISNUMBER(SEARCH("Y",AB102)),"QC","")</f>
        <v/>
      </c>
      <c r="BC102" s="90" t="str">
        <f>IF(ISNUMBER(SEARCH("Y",Z102)),"S","")</f>
        <v/>
      </c>
      <c r="BD102" s="90"/>
      <c r="BE102" s="24" t="s">
        <v>119</v>
      </c>
      <c r="BF102" s="125" t="str">
        <f>IF(AND(AW102&gt;=56543,AW102&lt;=76543,LEN(AW102)&gt;0),"3 Feb 2020",IF(AND(AW102&gt;=66544,AW102&lt;=99999,LEN(AW102)&gt;0),"12 Sep 2020",""))</f>
        <v/>
      </c>
      <c r="BG102" s="125" t="str">
        <f>IF((AND(BF102="3 Feb 2020",LEN(BF102)&gt;0)),"Completed",IF((AND(BF102="12 Sep 2020",LEN(BF102)&gt;0)),"Pending",""))</f>
        <v/>
      </c>
      <c r="BH102" s="90" t="str">
        <f>IF((AND(BF102="3 Feb 2020",LEN(BF102)&gt;0)),"3 Feb 2020","")</f>
        <v/>
      </c>
      <c r="BI102" s="90">
        <v>101896</v>
      </c>
      <c r="BJ102" s="90" t="str">
        <f>L102</f>
        <v>2R75CR90891-89</v>
      </c>
      <c r="BK102" s="127">
        <v>43508</v>
      </c>
      <c r="BL102" s="127">
        <v>44239</v>
      </c>
      <c r="BM102" s="128">
        <f>P102*1.1</f>
        <v>1040846.4000000001</v>
      </c>
      <c r="BN102" s="129">
        <f>P102*0.9</f>
        <v>851601.6</v>
      </c>
      <c r="BO102" s="130">
        <f>P102*0.8</f>
        <v>756979.20000000007</v>
      </c>
      <c r="BP102" s="90">
        <f>IF(Z102="Y",BM102*0.4,BM102*1.05)</f>
        <v>1092888.7200000002</v>
      </c>
      <c r="BQ102" s="90">
        <f>BP102*0.8</f>
        <v>874310.97600000026</v>
      </c>
      <c r="BR102" s="90" t="str">
        <f>IF(ISNUMBER(SEARCH("subrecipient",AI98)),P102*0.6,"")</f>
        <v/>
      </c>
      <c r="BS102" s="90">
        <v>101896</v>
      </c>
      <c r="BT102" s="90" t="str">
        <f>BJ102</f>
        <v>2R75CR90891-89</v>
      </c>
      <c r="BU102" s="127">
        <f>BK102</f>
        <v>43508</v>
      </c>
      <c r="BV102" s="127">
        <f>BL102</f>
        <v>44239</v>
      </c>
      <c r="BW102" s="90" t="str">
        <f>H102</f>
        <v>ACF</v>
      </c>
      <c r="BX102" s="90" t="str">
        <f>IF(H102="NATIONAL HEMOPHILIA FOUNDATION","Non Federal","Federal")</f>
        <v>Federal</v>
      </c>
      <c r="BY102" s="128">
        <f>BM102</f>
        <v>1040846.4000000001</v>
      </c>
      <c r="BZ102" s="90" t="str">
        <f>IF(LEN(BR102)&gt;0,1,"")</f>
        <v/>
      </c>
      <c r="CA102" s="90" t="str">
        <f>IF(LEN(BR102)&gt;0,"VIRAL HEPATITIS PROJECT","")</f>
        <v/>
      </c>
      <c r="CB102" s="129" t="str">
        <f>IF(LEN(BR102)&gt;0,BM102*0.7,"")</f>
        <v/>
      </c>
      <c r="CC102" s="90">
        <f>BP102</f>
        <v>1092888.7200000002</v>
      </c>
      <c r="CD102" s="90" t="str">
        <f>IF(LEN(BR102)&gt;0,"70%","")</f>
        <v/>
      </c>
      <c r="CE102" s="90">
        <f>BS102</f>
        <v>101896</v>
      </c>
      <c r="CF102" s="90" t="str">
        <f>CA102</f>
        <v/>
      </c>
      <c r="CG102" s="90"/>
      <c r="CH102" s="90"/>
      <c r="CI102" s="90"/>
      <c r="CJ102" s="90"/>
      <c r="CK102" s="90"/>
      <c r="CL102" s="90"/>
      <c r="CM102" s="90"/>
      <c r="CN102" s="90"/>
      <c r="CO102" s="90"/>
      <c r="CP102" s="90"/>
      <c r="CQ102" s="90"/>
      <c r="CR102" s="90"/>
      <c r="CS102" s="90"/>
      <c r="CT102" s="137"/>
    </row>
    <row r="103" spans="1:98" ht="165">
      <c r="A103" s="89">
        <v>101896</v>
      </c>
      <c r="B103" s="90">
        <v>2020</v>
      </c>
      <c r="C103" s="90" t="s">
        <v>283</v>
      </c>
      <c r="D103" s="90" t="s">
        <v>463</v>
      </c>
      <c r="E103" s="125" t="s">
        <v>470</v>
      </c>
      <c r="F103" s="24" t="s">
        <v>465</v>
      </c>
      <c r="G103" s="90" t="s">
        <v>85</v>
      </c>
      <c r="H103" s="90" t="s">
        <v>150</v>
      </c>
      <c r="I103" s="90">
        <v>93</v>
      </c>
      <c r="J103" s="90">
        <v>157</v>
      </c>
      <c r="K103" s="90" t="s">
        <v>85</v>
      </c>
      <c r="L103" s="90" t="s">
        <v>466</v>
      </c>
      <c r="M103" s="90" t="s">
        <v>119</v>
      </c>
      <c r="N103" s="24" t="s">
        <v>467</v>
      </c>
      <c r="O103" s="24" t="str">
        <f>IF(ISNUMBER(SEARCH("Cancer",N103)),"Cancer",IF(ISNUMBER(SEARCH("health",N103)),"Public health",IF(ISNUMBER(SEARCH("disabilities",N103)),"Disabilities","Other")))</f>
        <v>Public health</v>
      </c>
      <c r="P103" s="126">
        <v>946224</v>
      </c>
      <c r="Q103" s="90" t="s">
        <v>85</v>
      </c>
      <c r="R103" s="90" t="str">
        <f>IF(P103&gt;20000000,"B","A")</f>
        <v>A</v>
      </c>
      <c r="S103" s="90" t="s">
        <v>90</v>
      </c>
      <c r="T103" s="90" t="s">
        <v>119</v>
      </c>
      <c r="U103" s="90" t="s">
        <v>119</v>
      </c>
      <c r="V103" s="90" t="s">
        <v>119</v>
      </c>
      <c r="W103" s="90" t="s">
        <v>119</v>
      </c>
      <c r="X103" s="90" t="s">
        <v>119</v>
      </c>
      <c r="Y103" s="90" t="s">
        <v>119</v>
      </c>
      <c r="Z103" s="90" t="s">
        <v>119</v>
      </c>
      <c r="AA103" s="90" t="s">
        <v>119</v>
      </c>
      <c r="AB103" s="90" t="s">
        <v>119</v>
      </c>
      <c r="AC103" s="90" t="s">
        <v>119</v>
      </c>
      <c r="AD103" s="90" t="s">
        <v>119</v>
      </c>
      <c r="AE103" s="24">
        <v>0</v>
      </c>
      <c r="AF103" s="90">
        <v>0</v>
      </c>
      <c r="AG103" s="24">
        <v>0</v>
      </c>
      <c r="AH103" s="90">
        <v>90891</v>
      </c>
      <c r="AI103" s="24" t="s">
        <v>124</v>
      </c>
      <c r="AJ103" s="24" t="s">
        <v>471</v>
      </c>
      <c r="AK103" s="90" t="s">
        <v>85</v>
      </c>
      <c r="AL103" s="90">
        <v>101896</v>
      </c>
      <c r="AM103" s="90" t="s">
        <v>283</v>
      </c>
      <c r="AN103" s="90" t="s">
        <v>463</v>
      </c>
      <c r="AO103" s="125" t="s">
        <v>470</v>
      </c>
      <c r="AP103" s="24" t="s">
        <v>467</v>
      </c>
      <c r="AQ103" s="90" t="s">
        <v>466</v>
      </c>
      <c r="AR103" s="24" t="s">
        <v>467</v>
      </c>
      <c r="AS103" s="90" t="s">
        <v>119</v>
      </c>
      <c r="AT103" s="24" t="s">
        <v>124</v>
      </c>
      <c r="AU103" s="90" t="s">
        <v>119</v>
      </c>
      <c r="AV103" s="90" t="str">
        <f>IF(ISNUMBER(SEARCH("disagree",AE103)),"N","Y")</f>
        <v>Y</v>
      </c>
      <c r="AW103" s="90" t="s">
        <v>119</v>
      </c>
      <c r="AX103" s="24" t="s">
        <v>119</v>
      </c>
      <c r="AY103" s="90" t="str">
        <f>CONCATENATE(AZ103,BA103,BB103,BC103)</f>
        <v/>
      </c>
      <c r="AZ103" s="90" t="str">
        <f>IF(ISNUMBER(SEARCH("Y",AC103)),"R","")</f>
        <v/>
      </c>
      <c r="BA103" s="90" t="str">
        <f>IF(ISNUMBER(SEARCH("Y",Y103)),"M","")</f>
        <v/>
      </c>
      <c r="BB103" s="90" t="str">
        <f>IF(ISNUMBER(SEARCH("Y",AB103)),"QC","")</f>
        <v/>
      </c>
      <c r="BC103" s="90" t="str">
        <f>IF(ISNUMBER(SEARCH("Y",Z103)),"S","")</f>
        <v/>
      </c>
      <c r="BD103" s="90"/>
      <c r="BE103" s="24" t="s">
        <v>119</v>
      </c>
      <c r="BF103" s="125" t="str">
        <f>IF(AND(AW103&gt;=56543,AW103&lt;=76543,LEN(AW103)&gt;0),"3 Feb 2020",IF(AND(AW103&gt;=66544,AW103&lt;=99999,LEN(AW103)&gt;0),"12 Sep 2020",""))</f>
        <v/>
      </c>
      <c r="BG103" s="125" t="str">
        <f>IF((AND(BF103="3 Feb 2020",LEN(BF103)&gt;0)),"Completed",IF((AND(BF103="12 Sep 2020",LEN(BF103)&gt;0)),"Pending",""))</f>
        <v/>
      </c>
      <c r="BH103" s="90" t="str">
        <f>IF((AND(BF103="3 Feb 2020",LEN(BF103)&gt;0)),"3 Feb 2020","")</f>
        <v/>
      </c>
      <c r="BI103" s="90">
        <v>101896</v>
      </c>
      <c r="BJ103" s="90" t="str">
        <f>L103</f>
        <v>2R75CR90891-89</v>
      </c>
      <c r="BK103" s="127">
        <v>43508</v>
      </c>
      <c r="BL103" s="127">
        <v>44239</v>
      </c>
      <c r="BM103" s="128">
        <f>P103*1.1</f>
        <v>1040846.4000000001</v>
      </c>
      <c r="BN103" s="129">
        <f>P103*0.9</f>
        <v>851601.6</v>
      </c>
      <c r="BO103" s="130">
        <f>P103*0.8</f>
        <v>756979.20000000007</v>
      </c>
      <c r="BP103" s="90">
        <f>IF(Z103="Y",BM103*0.4,BM103*1.05)</f>
        <v>1092888.7200000002</v>
      </c>
      <c r="BQ103" s="90">
        <f>BP103*0.8</f>
        <v>874310.97600000026</v>
      </c>
      <c r="BR103" s="90" t="str">
        <f>IF(ISNUMBER(SEARCH("subrecipient",AI99)),P103*0.6,"")</f>
        <v/>
      </c>
      <c r="BS103" s="90">
        <v>101896</v>
      </c>
      <c r="BT103" s="90" t="str">
        <f>BJ103</f>
        <v>2R75CR90891-89</v>
      </c>
      <c r="BU103" s="127">
        <f>BK103</f>
        <v>43508</v>
      </c>
      <c r="BV103" s="127">
        <f>BL103</f>
        <v>44239</v>
      </c>
      <c r="BW103" s="90" t="str">
        <f>H103</f>
        <v>ACF</v>
      </c>
      <c r="BX103" s="90" t="str">
        <f>IF(H103="NATIONAL HEMOPHILIA FOUNDATION","Non Federal","Federal")</f>
        <v>Federal</v>
      </c>
      <c r="BY103" s="128">
        <f>BM103</f>
        <v>1040846.4000000001</v>
      </c>
      <c r="BZ103" s="90" t="str">
        <f>IF(LEN(BR103)&gt;0,1,"")</f>
        <v/>
      </c>
      <c r="CA103" s="90" t="str">
        <f>IF(LEN(BR103)&gt;0,"VIRAL HEPATITIS PROJECT","")</f>
        <v/>
      </c>
      <c r="CB103" s="129" t="str">
        <f>IF(LEN(BR103)&gt;0,BM103*0.7,"")</f>
        <v/>
      </c>
      <c r="CC103" s="90">
        <f>BP103</f>
        <v>1092888.7200000002</v>
      </c>
      <c r="CD103" s="90" t="str">
        <f>IF(LEN(BR103)&gt;0,"70%","")</f>
        <v/>
      </c>
      <c r="CE103" s="90">
        <f>BS103</f>
        <v>101896</v>
      </c>
      <c r="CF103" s="90" t="str">
        <f>CA103</f>
        <v/>
      </c>
      <c r="CG103" s="90"/>
      <c r="CH103" s="90"/>
      <c r="CI103" s="90"/>
      <c r="CJ103" s="90"/>
      <c r="CK103" s="90"/>
      <c r="CL103" s="90"/>
      <c r="CM103" s="90"/>
      <c r="CN103" s="90"/>
      <c r="CO103" s="90"/>
      <c r="CP103" s="90"/>
      <c r="CQ103" s="90"/>
      <c r="CR103" s="90"/>
      <c r="CS103" s="90"/>
      <c r="CT103" s="137"/>
    </row>
    <row r="104" spans="1:98" ht="165">
      <c r="A104" s="89">
        <v>101896</v>
      </c>
      <c r="B104" s="90">
        <v>2020</v>
      </c>
      <c r="C104" s="90" t="s">
        <v>283</v>
      </c>
      <c r="D104" s="90" t="s">
        <v>463</v>
      </c>
      <c r="E104" s="125" t="s">
        <v>472</v>
      </c>
      <c r="F104" s="24" t="s">
        <v>465</v>
      </c>
      <c r="G104" s="90" t="s">
        <v>85</v>
      </c>
      <c r="H104" s="90" t="s">
        <v>150</v>
      </c>
      <c r="I104" s="90">
        <v>93</v>
      </c>
      <c r="J104" s="90">
        <v>157</v>
      </c>
      <c r="K104" s="90" t="s">
        <v>85</v>
      </c>
      <c r="L104" s="90" t="s">
        <v>466</v>
      </c>
      <c r="M104" s="90" t="s">
        <v>119</v>
      </c>
      <c r="N104" s="24" t="s">
        <v>467</v>
      </c>
      <c r="O104" s="24" t="str">
        <f>IF(ISNUMBER(SEARCH("Cancer",N104)),"Cancer",IF(ISNUMBER(SEARCH("health",N104)),"Public health",IF(ISNUMBER(SEARCH("disabilities",N104)),"Disabilities","Other")))</f>
        <v>Public health</v>
      </c>
      <c r="P104" s="126">
        <v>946224</v>
      </c>
      <c r="Q104" s="90" t="s">
        <v>85</v>
      </c>
      <c r="R104" s="90" t="str">
        <f>IF(P104&gt;20000000,"B","A")</f>
        <v>A</v>
      </c>
      <c r="S104" s="90" t="s">
        <v>90</v>
      </c>
      <c r="T104" s="90" t="s">
        <v>119</v>
      </c>
      <c r="U104" s="90" t="s">
        <v>119</v>
      </c>
      <c r="V104" s="90" t="s">
        <v>119</v>
      </c>
      <c r="W104" s="90" t="s">
        <v>119</v>
      </c>
      <c r="X104" s="90" t="s">
        <v>119</v>
      </c>
      <c r="Y104" s="90" t="s">
        <v>119</v>
      </c>
      <c r="Z104" s="90" t="s">
        <v>119</v>
      </c>
      <c r="AA104" s="90" t="s">
        <v>119</v>
      </c>
      <c r="AB104" s="90" t="s">
        <v>119</v>
      </c>
      <c r="AC104" s="90" t="s">
        <v>119</v>
      </c>
      <c r="AD104" s="90" t="s">
        <v>119</v>
      </c>
      <c r="AE104" s="24">
        <v>0</v>
      </c>
      <c r="AF104" s="90">
        <v>0</v>
      </c>
      <c r="AG104" s="24">
        <v>0</v>
      </c>
      <c r="AH104" s="90">
        <v>90894</v>
      </c>
      <c r="AI104" s="24" t="s">
        <v>473</v>
      </c>
      <c r="AJ104" s="24" t="s">
        <v>474</v>
      </c>
      <c r="AK104" s="90" t="s">
        <v>85</v>
      </c>
      <c r="AL104" s="90">
        <v>101896</v>
      </c>
      <c r="AM104" s="90" t="s">
        <v>283</v>
      </c>
      <c r="AN104" s="90" t="s">
        <v>463</v>
      </c>
      <c r="AO104" s="125" t="s">
        <v>472</v>
      </c>
      <c r="AP104" s="24" t="s">
        <v>467</v>
      </c>
      <c r="AQ104" s="90" t="s">
        <v>466</v>
      </c>
      <c r="AR104" s="24" t="s">
        <v>467</v>
      </c>
      <c r="AS104" s="90" t="s">
        <v>119</v>
      </c>
      <c r="AT104" s="24" t="s">
        <v>473</v>
      </c>
      <c r="AU104" s="90" t="s">
        <v>119</v>
      </c>
      <c r="AV104" s="90" t="str">
        <f>IF(ISNUMBER(SEARCH("disagree",AE104)),"N","Y")</f>
        <v>Y</v>
      </c>
      <c r="AW104" s="90" t="s">
        <v>119</v>
      </c>
      <c r="AX104" s="24" t="s">
        <v>119</v>
      </c>
      <c r="AY104" s="90" t="str">
        <f>CONCATENATE(AZ104,BA104,BB104,BC104)</f>
        <v/>
      </c>
      <c r="AZ104" s="90" t="str">
        <f>IF(ISNUMBER(SEARCH("Y",AC104)),"R","")</f>
        <v/>
      </c>
      <c r="BA104" s="90" t="str">
        <f>IF(ISNUMBER(SEARCH("Y",Y104)),"M","")</f>
        <v/>
      </c>
      <c r="BB104" s="90" t="str">
        <f>IF(ISNUMBER(SEARCH("Y",AB104)),"QC","")</f>
        <v/>
      </c>
      <c r="BC104" s="90" t="str">
        <f>IF(ISNUMBER(SEARCH("Y",Z104)),"S","")</f>
        <v/>
      </c>
      <c r="BD104" s="90"/>
      <c r="BE104" s="24" t="s">
        <v>119</v>
      </c>
      <c r="BF104" s="125" t="str">
        <f>IF(AND(AW104&gt;=56543,AW104&lt;=76543,LEN(AW104)&gt;0),"3 Feb 2020",IF(AND(AW104&gt;=66544,AW104&lt;=99999,LEN(AW104)&gt;0),"12 Sep 2020",""))</f>
        <v/>
      </c>
      <c r="BG104" s="125" t="str">
        <f>IF((AND(BF104="3 Feb 2020",LEN(BF104)&gt;0)),"Completed",IF((AND(BF104="12 Sep 2020",LEN(BF104)&gt;0)),"Pending",""))</f>
        <v/>
      </c>
      <c r="BH104" s="90" t="str">
        <f>IF((AND(BF104="3 Feb 2020",LEN(BF104)&gt;0)),"3 Feb 2020","")</f>
        <v/>
      </c>
      <c r="BI104" s="90">
        <v>101896</v>
      </c>
      <c r="BJ104" s="90" t="str">
        <f>L104</f>
        <v>2R75CR90891-89</v>
      </c>
      <c r="BK104" s="127">
        <v>43508</v>
      </c>
      <c r="BL104" s="127">
        <v>44239</v>
      </c>
      <c r="BM104" s="128">
        <f>P104*1.1</f>
        <v>1040846.4000000001</v>
      </c>
      <c r="BN104" s="129">
        <f>P104*0.9</f>
        <v>851601.6</v>
      </c>
      <c r="BO104" s="130">
        <f>P104*0.8</f>
        <v>756979.20000000007</v>
      </c>
      <c r="BP104" s="90">
        <f>IF(Z104="Y",BM104*0.4,BM104*1.05)</f>
        <v>1092888.7200000002</v>
      </c>
      <c r="BQ104" s="90">
        <f>BP104*0.8</f>
        <v>874310.97600000026</v>
      </c>
      <c r="BR104" s="90" t="str">
        <f>IF(ISNUMBER(SEARCH("subrecipient",AI100)),P104*0.6,"")</f>
        <v/>
      </c>
      <c r="BS104" s="90">
        <v>101896</v>
      </c>
      <c r="BT104" s="90" t="str">
        <f>BJ104</f>
        <v>2R75CR90891-89</v>
      </c>
      <c r="BU104" s="127">
        <f>BK104</f>
        <v>43508</v>
      </c>
      <c r="BV104" s="127">
        <f>BL104</f>
        <v>44239</v>
      </c>
      <c r="BW104" s="90" t="str">
        <f>H104</f>
        <v>ACF</v>
      </c>
      <c r="BX104" s="90" t="str">
        <f>IF(H104="NATIONAL HEMOPHILIA FOUNDATION","Non Federal","Federal")</f>
        <v>Federal</v>
      </c>
      <c r="BY104" s="128">
        <f>BM104</f>
        <v>1040846.4000000001</v>
      </c>
      <c r="BZ104" s="90" t="str">
        <f>IF(LEN(BR104)&gt;0,1,"")</f>
        <v/>
      </c>
      <c r="CA104" s="90" t="str">
        <f>IF(LEN(BR104)&gt;0,"VIRAL HEPATITIS PROJECT","")</f>
        <v/>
      </c>
      <c r="CB104" s="129" t="str">
        <f>IF(LEN(BR104)&gt;0,BM104*0.7,"")</f>
        <v/>
      </c>
      <c r="CC104" s="90">
        <f>BP104</f>
        <v>1092888.7200000002</v>
      </c>
      <c r="CD104" s="90" t="str">
        <f>IF(LEN(BR104)&gt;0,"70%","")</f>
        <v/>
      </c>
      <c r="CE104" s="90">
        <f>BS104</f>
        <v>101896</v>
      </c>
      <c r="CF104" s="90" t="str">
        <f>CA104</f>
        <v/>
      </c>
      <c r="CG104" s="90"/>
      <c r="CH104" s="90"/>
      <c r="CI104" s="90"/>
      <c r="CJ104" s="90"/>
      <c r="CK104" s="90"/>
      <c r="CL104" s="90"/>
      <c r="CM104" s="90"/>
      <c r="CN104" s="90"/>
      <c r="CO104" s="90"/>
      <c r="CP104" s="90"/>
      <c r="CQ104" s="90"/>
      <c r="CR104" s="90"/>
      <c r="CS104" s="90"/>
      <c r="CT104" s="137"/>
    </row>
    <row r="105" spans="1:98" ht="195">
      <c r="A105" s="89">
        <v>102138</v>
      </c>
      <c r="B105" s="90">
        <v>2020</v>
      </c>
      <c r="C105" s="90" t="s">
        <v>81</v>
      </c>
      <c r="D105" s="90" t="s">
        <v>475</v>
      </c>
      <c r="E105" s="125" t="s">
        <v>476</v>
      </c>
      <c r="F105" s="24" t="s">
        <v>477</v>
      </c>
      <c r="G105" s="90" t="s">
        <v>85</v>
      </c>
      <c r="H105" s="90" t="s">
        <v>86</v>
      </c>
      <c r="I105" s="90">
        <v>93</v>
      </c>
      <c r="J105" s="90">
        <v>157</v>
      </c>
      <c r="K105" s="90" t="s">
        <v>85</v>
      </c>
      <c r="L105" s="90" t="s">
        <v>478</v>
      </c>
      <c r="M105" s="90" t="s">
        <v>119</v>
      </c>
      <c r="N105" s="24" t="s">
        <v>479</v>
      </c>
      <c r="O105" s="24" t="str">
        <f>IF(ISNUMBER(SEARCH("Cancer",N105)),"Cancer",IF(ISNUMBER(SEARCH("health",N105)),"Public health",IF(ISNUMBER(SEARCH("disabilities",N105)),"Disabilities","Other")))</f>
        <v>Public health</v>
      </c>
      <c r="P105" s="126">
        <v>921625</v>
      </c>
      <c r="Q105" s="90" t="s">
        <v>85</v>
      </c>
      <c r="R105" s="90" t="str">
        <f>IF(P105&gt;20000000,"B","A")</f>
        <v>A</v>
      </c>
      <c r="S105" s="90" t="s">
        <v>90</v>
      </c>
      <c r="T105" s="90" t="s">
        <v>119</v>
      </c>
      <c r="U105" s="90" t="s">
        <v>119</v>
      </c>
      <c r="V105" s="90" t="s">
        <v>119</v>
      </c>
      <c r="W105" s="90" t="s">
        <v>119</v>
      </c>
      <c r="X105" s="90" t="s">
        <v>119</v>
      </c>
      <c r="Y105" s="90" t="s">
        <v>119</v>
      </c>
      <c r="Z105" s="90" t="s">
        <v>119</v>
      </c>
      <c r="AA105" s="90" t="s">
        <v>119</v>
      </c>
      <c r="AB105" s="90" t="s">
        <v>119</v>
      </c>
      <c r="AC105" s="90" t="s">
        <v>119</v>
      </c>
      <c r="AD105" s="90" t="s">
        <v>119</v>
      </c>
      <c r="AE105" s="24">
        <v>0</v>
      </c>
      <c r="AF105" s="90">
        <v>0</v>
      </c>
      <c r="AG105" s="24">
        <v>0</v>
      </c>
      <c r="AH105" s="90">
        <v>86452</v>
      </c>
      <c r="AI105" s="24" t="s">
        <v>94</v>
      </c>
      <c r="AJ105" s="24" t="s">
        <v>480</v>
      </c>
      <c r="AK105" s="90" t="s">
        <v>85</v>
      </c>
      <c r="AL105" s="90">
        <v>102138</v>
      </c>
      <c r="AM105" s="90" t="s">
        <v>81</v>
      </c>
      <c r="AN105" s="90" t="s">
        <v>475</v>
      </c>
      <c r="AO105" s="125" t="s">
        <v>476</v>
      </c>
      <c r="AP105" s="24" t="s">
        <v>479</v>
      </c>
      <c r="AQ105" s="90" t="s">
        <v>478</v>
      </c>
      <c r="AR105" s="24" t="s">
        <v>479</v>
      </c>
      <c r="AS105" s="90" t="s">
        <v>119</v>
      </c>
      <c r="AT105" s="24" t="s">
        <v>94</v>
      </c>
      <c r="AU105" s="90" t="s">
        <v>119</v>
      </c>
      <c r="AV105" s="90" t="str">
        <f>IF(ISNUMBER(SEARCH("disagree",AE105)),"N","Y")</f>
        <v>Y</v>
      </c>
      <c r="AW105" s="90" t="s">
        <v>119</v>
      </c>
      <c r="AX105" s="24" t="s">
        <v>119</v>
      </c>
      <c r="AY105" s="90" t="str">
        <f>CONCATENATE(AZ105,BA105,BB105,BC105)</f>
        <v/>
      </c>
      <c r="AZ105" s="90" t="str">
        <f>IF(ISNUMBER(SEARCH("Y",AC105)),"R","")</f>
        <v/>
      </c>
      <c r="BA105" s="90" t="str">
        <f>IF(ISNUMBER(SEARCH("Y",Y105)),"M","")</f>
        <v/>
      </c>
      <c r="BB105" s="90" t="str">
        <f>IF(ISNUMBER(SEARCH("Y",AB105)),"QC","")</f>
        <v/>
      </c>
      <c r="BC105" s="90" t="str">
        <f>IF(ISNUMBER(SEARCH("Y",Z105)),"S","")</f>
        <v/>
      </c>
      <c r="BD105" s="90"/>
      <c r="BE105" s="24" t="s">
        <v>119</v>
      </c>
      <c r="BF105" s="125" t="str">
        <f>IF(AND(AW105&gt;=56543,AW105&lt;=76543,LEN(AW105)&gt;0),"3 Feb 2020",IF(AND(AW105&gt;=66544,AW105&lt;=99999,LEN(AW105)&gt;0),"12 Sep 2020",""))</f>
        <v/>
      </c>
      <c r="BG105" s="125" t="str">
        <f>IF((AND(BF105="3 Feb 2020",LEN(BF105)&gt;0)),"Completed",IF((AND(BF105="12 Sep 2020",LEN(BF105)&gt;0)),"Pending",""))</f>
        <v/>
      </c>
      <c r="BH105" s="90" t="str">
        <f>IF((AND(BF105="3 Feb 2020",LEN(BF105)&gt;0)),"3 Feb 2020","")</f>
        <v/>
      </c>
      <c r="BI105" s="90">
        <v>102138</v>
      </c>
      <c r="BJ105" s="90" t="str">
        <f>L105</f>
        <v>4S35HS90894-69</v>
      </c>
      <c r="BK105" s="127">
        <v>43508</v>
      </c>
      <c r="BL105" s="127">
        <v>44239</v>
      </c>
      <c r="BM105" s="128">
        <f>P105*1.1</f>
        <v>1013787.5000000001</v>
      </c>
      <c r="BN105" s="129">
        <f>P105*0.9</f>
        <v>829462.5</v>
      </c>
      <c r="BO105" s="130">
        <f>P105*0.8</f>
        <v>737300</v>
      </c>
      <c r="BP105" s="90">
        <f>IF(Z105="Y",BM105*0.4,BM105*1.05)</f>
        <v>1064476.8750000002</v>
      </c>
      <c r="BQ105" s="90">
        <f>BP105*0.8</f>
        <v>851581.50000000023</v>
      </c>
      <c r="BR105" s="90" t="str">
        <f>IF(ISNUMBER(SEARCH("subrecipient",AI101)),P105*0.6,"")</f>
        <v/>
      </c>
      <c r="BS105" s="90">
        <v>102138</v>
      </c>
      <c r="BT105" s="90" t="str">
        <f>BJ105</f>
        <v>4S35HS90894-69</v>
      </c>
      <c r="BU105" s="127">
        <f>BK105</f>
        <v>43508</v>
      </c>
      <c r="BV105" s="127">
        <f>BL105</f>
        <v>44239</v>
      </c>
      <c r="BW105" s="90" t="str">
        <f>H105</f>
        <v>CDC</v>
      </c>
      <c r="BX105" s="90" t="str">
        <f>IF(H105="NATIONAL HEMOPHILIA FOUNDATION","Non Federal","Federal")</f>
        <v>Federal</v>
      </c>
      <c r="BY105" s="128">
        <f>BM105</f>
        <v>1013787.5000000001</v>
      </c>
      <c r="BZ105" s="90" t="str">
        <f>IF(LEN(BR105)&gt;0,1,"")</f>
        <v/>
      </c>
      <c r="CA105" s="90" t="str">
        <f>IF(LEN(BR105)&gt;0,"VIRAL HEPATITIS PROJECT","")</f>
        <v/>
      </c>
      <c r="CB105" s="129" t="str">
        <f>IF(LEN(BR105)&gt;0,BM105*0.7,"")</f>
        <v/>
      </c>
      <c r="CC105" s="90">
        <f>BP105</f>
        <v>1064476.8750000002</v>
      </c>
      <c r="CD105" s="90" t="str">
        <f>IF(LEN(BR105)&gt;0,"70%","")</f>
        <v/>
      </c>
      <c r="CE105" s="90">
        <f>BS105</f>
        <v>102138</v>
      </c>
      <c r="CF105" s="90" t="str">
        <f>CA105</f>
        <v/>
      </c>
      <c r="CG105" s="90"/>
      <c r="CH105" s="90"/>
      <c r="CI105" s="90"/>
      <c r="CJ105" s="90"/>
      <c r="CK105" s="90"/>
      <c r="CL105" s="90"/>
      <c r="CM105" s="90"/>
      <c r="CN105" s="90"/>
      <c r="CO105" s="90"/>
      <c r="CP105" s="90"/>
      <c r="CQ105" s="90"/>
      <c r="CR105" s="90"/>
      <c r="CS105" s="90"/>
      <c r="CT105" s="137"/>
    </row>
    <row r="106" spans="1:98" ht="150">
      <c r="A106" s="89">
        <v>102138</v>
      </c>
      <c r="B106" s="90">
        <v>2020</v>
      </c>
      <c r="C106" s="90" t="s">
        <v>81</v>
      </c>
      <c r="D106" s="90" t="s">
        <v>475</v>
      </c>
      <c r="E106" s="125" t="s">
        <v>481</v>
      </c>
      <c r="F106" s="24" t="s">
        <v>477</v>
      </c>
      <c r="G106" s="90" t="s">
        <v>85</v>
      </c>
      <c r="H106" s="90" t="s">
        <v>86</v>
      </c>
      <c r="I106" s="90">
        <v>93</v>
      </c>
      <c r="J106" s="90">
        <v>157</v>
      </c>
      <c r="K106" s="90" t="s">
        <v>85</v>
      </c>
      <c r="L106" s="90" t="s">
        <v>478</v>
      </c>
      <c r="M106" s="90" t="s">
        <v>119</v>
      </c>
      <c r="N106" s="24" t="s">
        <v>479</v>
      </c>
      <c r="O106" s="24" t="str">
        <f>IF(ISNUMBER(SEARCH("Cancer",N106)),"Cancer",IF(ISNUMBER(SEARCH("health",N106)),"Public health",IF(ISNUMBER(SEARCH("disabilities",N106)),"Disabilities","Other")))</f>
        <v>Public health</v>
      </c>
      <c r="P106" s="126">
        <v>921625</v>
      </c>
      <c r="Q106" s="90" t="s">
        <v>85</v>
      </c>
      <c r="R106" s="90" t="str">
        <f>IF(P106&gt;20000000,"B","A")</f>
        <v>A</v>
      </c>
      <c r="S106" s="90" t="s">
        <v>90</v>
      </c>
      <c r="T106" s="90" t="s">
        <v>119</v>
      </c>
      <c r="U106" s="90" t="s">
        <v>119</v>
      </c>
      <c r="V106" s="90" t="s">
        <v>119</v>
      </c>
      <c r="W106" s="90" t="s">
        <v>119</v>
      </c>
      <c r="X106" s="90" t="s">
        <v>119</v>
      </c>
      <c r="Y106" s="90" t="s">
        <v>119</v>
      </c>
      <c r="Z106" s="90" t="s">
        <v>119</v>
      </c>
      <c r="AA106" s="90" t="s">
        <v>119</v>
      </c>
      <c r="AB106" s="90" t="s">
        <v>119</v>
      </c>
      <c r="AC106" s="90" t="s">
        <v>119</v>
      </c>
      <c r="AD106" s="90" t="s">
        <v>119</v>
      </c>
      <c r="AE106" s="24">
        <v>0</v>
      </c>
      <c r="AF106" s="90">
        <v>0</v>
      </c>
      <c r="AG106" s="24">
        <v>0</v>
      </c>
      <c r="AH106" s="90">
        <v>86455</v>
      </c>
      <c r="AI106" s="24" t="s">
        <v>102</v>
      </c>
      <c r="AJ106" s="24" t="s">
        <v>103</v>
      </c>
      <c r="AK106" s="90" t="s">
        <v>85</v>
      </c>
      <c r="AL106" s="90">
        <v>102138</v>
      </c>
      <c r="AM106" s="90" t="s">
        <v>81</v>
      </c>
      <c r="AN106" s="90" t="s">
        <v>475</v>
      </c>
      <c r="AO106" s="125" t="s">
        <v>481</v>
      </c>
      <c r="AP106" s="24" t="s">
        <v>479</v>
      </c>
      <c r="AQ106" s="90" t="s">
        <v>478</v>
      </c>
      <c r="AR106" s="24" t="s">
        <v>479</v>
      </c>
      <c r="AS106" s="90" t="s">
        <v>119</v>
      </c>
      <c r="AT106" s="24" t="s">
        <v>102</v>
      </c>
      <c r="AU106" s="90" t="s">
        <v>119</v>
      </c>
      <c r="AV106" s="90" t="str">
        <f>IF(ISNUMBER(SEARCH("disagree",AE106)),"N","Y")</f>
        <v>Y</v>
      </c>
      <c r="AW106" s="90" t="s">
        <v>119</v>
      </c>
      <c r="AX106" s="24" t="s">
        <v>119</v>
      </c>
      <c r="AY106" s="90" t="str">
        <f>CONCATENATE(AZ106,BA106,BB106,BC106)</f>
        <v/>
      </c>
      <c r="AZ106" s="90" t="str">
        <f>IF(ISNUMBER(SEARCH("Y",AC106)),"R","")</f>
        <v/>
      </c>
      <c r="BA106" s="90" t="str">
        <f>IF(ISNUMBER(SEARCH("Y",Y106)),"M","")</f>
        <v/>
      </c>
      <c r="BB106" s="90" t="str">
        <f>IF(ISNUMBER(SEARCH("Y",AB106)),"QC","")</f>
        <v/>
      </c>
      <c r="BC106" s="90" t="str">
        <f>IF(ISNUMBER(SEARCH("Y",Z106)),"S","")</f>
        <v/>
      </c>
      <c r="BD106" s="90"/>
      <c r="BE106" s="24" t="s">
        <v>119</v>
      </c>
      <c r="BF106" s="125" t="str">
        <f>IF(AND(AW106&gt;=56543,AW106&lt;=76543,LEN(AW106)&gt;0),"3 Feb 2020",IF(AND(AW106&gt;=66544,AW106&lt;=99999,LEN(AW106)&gt;0),"12 Sep 2020",""))</f>
        <v/>
      </c>
      <c r="BG106" s="125" t="str">
        <f>IF((AND(BF106="3 Feb 2020",LEN(BF106)&gt;0)),"Completed",IF((AND(BF106="12 Sep 2020",LEN(BF106)&gt;0)),"Pending",""))</f>
        <v/>
      </c>
      <c r="BH106" s="90" t="str">
        <f>IF((AND(BF106="3 Feb 2020",LEN(BF106)&gt;0)),"3 Feb 2020","")</f>
        <v/>
      </c>
      <c r="BI106" s="90">
        <v>102138</v>
      </c>
      <c r="BJ106" s="90" t="str">
        <f>L106</f>
        <v>4S35HS90894-69</v>
      </c>
      <c r="BK106" s="127">
        <v>43508</v>
      </c>
      <c r="BL106" s="127">
        <v>44239</v>
      </c>
      <c r="BM106" s="128">
        <f>P106*1.1</f>
        <v>1013787.5000000001</v>
      </c>
      <c r="BN106" s="129">
        <f>P106*0.9</f>
        <v>829462.5</v>
      </c>
      <c r="BO106" s="130">
        <f>P106*0.8</f>
        <v>737300</v>
      </c>
      <c r="BP106" s="90">
        <f>IF(Z106="Y",BM106*0.4,BM106*1.05)</f>
        <v>1064476.8750000002</v>
      </c>
      <c r="BQ106" s="90">
        <f>BP106*0.8</f>
        <v>851581.50000000023</v>
      </c>
      <c r="BR106" s="90" t="str">
        <f>IF(ISNUMBER(SEARCH("subrecipient",AI102)),P106*0.6,"")</f>
        <v/>
      </c>
      <c r="BS106" s="90">
        <v>102138</v>
      </c>
      <c r="BT106" s="90" t="str">
        <f>BJ106</f>
        <v>4S35HS90894-69</v>
      </c>
      <c r="BU106" s="127">
        <f>BK106</f>
        <v>43508</v>
      </c>
      <c r="BV106" s="127">
        <f>BL106</f>
        <v>44239</v>
      </c>
      <c r="BW106" s="90" t="str">
        <f>H106</f>
        <v>CDC</v>
      </c>
      <c r="BX106" s="90" t="str">
        <f>IF(H106="NATIONAL HEMOPHILIA FOUNDATION","Non Federal","Federal")</f>
        <v>Federal</v>
      </c>
      <c r="BY106" s="128">
        <f>BM106</f>
        <v>1013787.5000000001</v>
      </c>
      <c r="BZ106" s="90" t="str">
        <f>IF(LEN(BR106)&gt;0,1,"")</f>
        <v/>
      </c>
      <c r="CA106" s="90" t="str">
        <f>IF(LEN(BR106)&gt;0,"VIRAL HEPATITIS PROJECT","")</f>
        <v/>
      </c>
      <c r="CB106" s="129" t="str">
        <f>IF(LEN(BR106)&gt;0,BM106*0.7,"")</f>
        <v/>
      </c>
      <c r="CC106" s="90">
        <f>BP106</f>
        <v>1064476.8750000002</v>
      </c>
      <c r="CD106" s="90" t="str">
        <f>IF(LEN(BR106)&gt;0,"70%","")</f>
        <v/>
      </c>
      <c r="CE106" s="90">
        <f>BS106</f>
        <v>102138</v>
      </c>
      <c r="CF106" s="90" t="str">
        <f>CA106</f>
        <v/>
      </c>
      <c r="CG106" s="90"/>
      <c r="CH106" s="90"/>
      <c r="CI106" s="90"/>
      <c r="CJ106" s="90"/>
      <c r="CK106" s="90"/>
      <c r="CL106" s="90"/>
      <c r="CM106" s="90"/>
      <c r="CN106" s="90"/>
      <c r="CO106" s="90"/>
      <c r="CP106" s="90"/>
      <c r="CQ106" s="90"/>
      <c r="CR106" s="90"/>
      <c r="CS106" s="90"/>
      <c r="CT106" s="137"/>
    </row>
    <row r="107" spans="1:98" ht="150">
      <c r="A107" s="89">
        <v>102138</v>
      </c>
      <c r="B107" s="90">
        <v>2020</v>
      </c>
      <c r="C107" s="90" t="s">
        <v>81</v>
      </c>
      <c r="D107" s="90" t="s">
        <v>475</v>
      </c>
      <c r="E107" s="125" t="s">
        <v>482</v>
      </c>
      <c r="F107" s="24" t="s">
        <v>477</v>
      </c>
      <c r="G107" s="90" t="s">
        <v>85</v>
      </c>
      <c r="H107" s="90" t="s">
        <v>86</v>
      </c>
      <c r="I107" s="90">
        <v>93</v>
      </c>
      <c r="J107" s="90">
        <v>157</v>
      </c>
      <c r="K107" s="90" t="s">
        <v>85</v>
      </c>
      <c r="L107" s="90" t="s">
        <v>478</v>
      </c>
      <c r="M107" s="90" t="s">
        <v>119</v>
      </c>
      <c r="N107" s="24" t="s">
        <v>479</v>
      </c>
      <c r="O107" s="24" t="str">
        <f>IF(ISNUMBER(SEARCH("Cancer",N107)),"Cancer",IF(ISNUMBER(SEARCH("health",N107)),"Public health",IF(ISNUMBER(SEARCH("disabilities",N107)),"Disabilities","Other")))</f>
        <v>Public health</v>
      </c>
      <c r="P107" s="126">
        <v>921625</v>
      </c>
      <c r="Q107" s="90" t="s">
        <v>85</v>
      </c>
      <c r="R107" s="90" t="str">
        <f>IF(P107&gt;20000000,"B","A")</f>
        <v>A</v>
      </c>
      <c r="S107" s="90" t="s">
        <v>90</v>
      </c>
      <c r="T107" s="90" t="s">
        <v>119</v>
      </c>
      <c r="U107" s="90" t="s">
        <v>119</v>
      </c>
      <c r="V107" s="90" t="s">
        <v>119</v>
      </c>
      <c r="W107" s="90" t="s">
        <v>119</v>
      </c>
      <c r="X107" s="90" t="s">
        <v>119</v>
      </c>
      <c r="Y107" s="90" t="s">
        <v>119</v>
      </c>
      <c r="Z107" s="90" t="s">
        <v>119</v>
      </c>
      <c r="AA107" s="90" t="s">
        <v>119</v>
      </c>
      <c r="AB107" s="90" t="s">
        <v>119</v>
      </c>
      <c r="AC107" s="90" t="s">
        <v>119</v>
      </c>
      <c r="AD107" s="90" t="s">
        <v>119</v>
      </c>
      <c r="AE107" s="24">
        <v>0</v>
      </c>
      <c r="AF107" s="90">
        <v>0</v>
      </c>
      <c r="AG107" s="24">
        <v>0</v>
      </c>
      <c r="AH107" s="90">
        <v>86454</v>
      </c>
      <c r="AI107" s="24" t="s">
        <v>110</v>
      </c>
      <c r="AJ107" s="24" t="s">
        <v>483</v>
      </c>
      <c r="AK107" s="90" t="s">
        <v>85</v>
      </c>
      <c r="AL107" s="90">
        <v>102138</v>
      </c>
      <c r="AM107" s="90" t="s">
        <v>81</v>
      </c>
      <c r="AN107" s="90" t="s">
        <v>475</v>
      </c>
      <c r="AO107" s="125" t="s">
        <v>482</v>
      </c>
      <c r="AP107" s="24" t="s">
        <v>479</v>
      </c>
      <c r="AQ107" s="90" t="s">
        <v>478</v>
      </c>
      <c r="AR107" s="24" t="s">
        <v>479</v>
      </c>
      <c r="AS107" s="90" t="s">
        <v>119</v>
      </c>
      <c r="AT107" s="24" t="s">
        <v>110</v>
      </c>
      <c r="AU107" s="90" t="s">
        <v>119</v>
      </c>
      <c r="AV107" s="90" t="str">
        <f>IF(ISNUMBER(SEARCH("disagree",AE107)),"N","Y")</f>
        <v>Y</v>
      </c>
      <c r="AW107" s="90" t="s">
        <v>119</v>
      </c>
      <c r="AX107" s="24" t="s">
        <v>119</v>
      </c>
      <c r="AY107" s="90" t="str">
        <f>CONCATENATE(AZ107,BA107,BB107,BC107)</f>
        <v/>
      </c>
      <c r="AZ107" s="90" t="str">
        <f>IF(ISNUMBER(SEARCH("Y",AC107)),"R","")</f>
        <v/>
      </c>
      <c r="BA107" s="90" t="str">
        <f>IF(ISNUMBER(SEARCH("Y",Y107)),"M","")</f>
        <v/>
      </c>
      <c r="BB107" s="90" t="str">
        <f>IF(ISNUMBER(SEARCH("Y",AB107)),"QC","")</f>
        <v/>
      </c>
      <c r="BC107" s="90" t="str">
        <f>IF(ISNUMBER(SEARCH("Y",Z107)),"S","")</f>
        <v/>
      </c>
      <c r="BD107" s="90"/>
      <c r="BE107" s="24" t="s">
        <v>119</v>
      </c>
      <c r="BF107" s="125" t="str">
        <f>IF(AND(AW107&gt;=56543,AW107&lt;=76543,LEN(AW107)&gt;0),"3 Feb 2020",IF(AND(AW107&gt;=66544,AW107&lt;=99999,LEN(AW107)&gt;0),"12 Sep 2020",""))</f>
        <v/>
      </c>
      <c r="BG107" s="125" t="str">
        <f>IF((AND(BF107="3 Feb 2020",LEN(BF107)&gt;0)),"Completed",IF((AND(BF107="12 Sep 2020",LEN(BF107)&gt;0)),"Pending",""))</f>
        <v/>
      </c>
      <c r="BH107" s="90" t="str">
        <f>IF((AND(BF107="3 Feb 2020",LEN(BF107)&gt;0)),"3 Feb 2020","")</f>
        <v/>
      </c>
      <c r="BI107" s="90">
        <v>102138</v>
      </c>
      <c r="BJ107" s="90" t="str">
        <f>L107</f>
        <v>4S35HS90894-69</v>
      </c>
      <c r="BK107" s="127">
        <v>43508</v>
      </c>
      <c r="BL107" s="127">
        <v>44239</v>
      </c>
      <c r="BM107" s="128">
        <f>P107*1.1</f>
        <v>1013787.5000000001</v>
      </c>
      <c r="BN107" s="129">
        <f>P107*0.9</f>
        <v>829462.5</v>
      </c>
      <c r="BO107" s="130">
        <f>P107*0.8</f>
        <v>737300</v>
      </c>
      <c r="BP107" s="90">
        <f>IF(Z107="Y",BM107*0.4,BM107*1.05)</f>
        <v>1064476.8750000002</v>
      </c>
      <c r="BQ107" s="90">
        <f>BP107*0.8</f>
        <v>851581.50000000023</v>
      </c>
      <c r="BR107" s="90" t="str">
        <f>IF(ISNUMBER(SEARCH("subrecipient",AI103)),P107*0.6,"")</f>
        <v/>
      </c>
      <c r="BS107" s="90">
        <v>102138</v>
      </c>
      <c r="BT107" s="90" t="str">
        <f>BJ107</f>
        <v>4S35HS90894-69</v>
      </c>
      <c r="BU107" s="127">
        <f>BK107</f>
        <v>43508</v>
      </c>
      <c r="BV107" s="127">
        <f>BL107</f>
        <v>44239</v>
      </c>
      <c r="BW107" s="90" t="str">
        <f>H107</f>
        <v>CDC</v>
      </c>
      <c r="BX107" s="90" t="str">
        <f>IF(H107="NATIONAL HEMOPHILIA FOUNDATION","Non Federal","Federal")</f>
        <v>Federal</v>
      </c>
      <c r="BY107" s="128">
        <f>BM107</f>
        <v>1013787.5000000001</v>
      </c>
      <c r="BZ107" s="90" t="str">
        <f>IF(LEN(BR107)&gt;0,1,"")</f>
        <v/>
      </c>
      <c r="CA107" s="90" t="str">
        <f>IF(LEN(BR107)&gt;0,"VIRAL HEPATITIS PROJECT","")</f>
        <v/>
      </c>
      <c r="CB107" s="129" t="str">
        <f>IF(LEN(BR107)&gt;0,BM107*0.7,"")</f>
        <v/>
      </c>
      <c r="CC107" s="90">
        <f>BP107</f>
        <v>1064476.8750000002</v>
      </c>
      <c r="CD107" s="90" t="str">
        <f>IF(LEN(BR107)&gt;0,"70%","")</f>
        <v/>
      </c>
      <c r="CE107" s="90">
        <f>BS107</f>
        <v>102138</v>
      </c>
      <c r="CF107" s="90" t="str">
        <f>CA107</f>
        <v/>
      </c>
      <c r="CG107" s="90"/>
      <c r="CH107" s="90"/>
      <c r="CI107" s="90"/>
      <c r="CJ107" s="90"/>
      <c r="CK107" s="90"/>
      <c r="CL107" s="90"/>
      <c r="CM107" s="90"/>
      <c r="CN107" s="90"/>
      <c r="CO107" s="90"/>
      <c r="CP107" s="90"/>
      <c r="CQ107" s="90"/>
      <c r="CR107" s="90"/>
      <c r="CS107" s="90"/>
      <c r="CT107" s="137"/>
    </row>
    <row r="108" spans="1:98" ht="150">
      <c r="A108" s="89">
        <v>102138</v>
      </c>
      <c r="B108" s="90">
        <v>2020</v>
      </c>
      <c r="C108" s="90" t="s">
        <v>81</v>
      </c>
      <c r="D108" s="90" t="s">
        <v>475</v>
      </c>
      <c r="E108" s="125" t="s">
        <v>484</v>
      </c>
      <c r="F108" s="24" t="s">
        <v>477</v>
      </c>
      <c r="G108" s="90" t="s">
        <v>85</v>
      </c>
      <c r="H108" s="90" t="s">
        <v>86</v>
      </c>
      <c r="I108" s="90">
        <v>93</v>
      </c>
      <c r="J108" s="90">
        <v>157</v>
      </c>
      <c r="K108" s="90" t="s">
        <v>85</v>
      </c>
      <c r="L108" s="90" t="s">
        <v>478</v>
      </c>
      <c r="M108" s="90" t="s">
        <v>119</v>
      </c>
      <c r="N108" s="24" t="s">
        <v>479</v>
      </c>
      <c r="O108" s="24" t="str">
        <f>IF(ISNUMBER(SEARCH("Cancer",N108)),"Cancer",IF(ISNUMBER(SEARCH("health",N108)),"Public health",IF(ISNUMBER(SEARCH("disabilities",N108)),"Disabilities","Other")))</f>
        <v>Public health</v>
      </c>
      <c r="P108" s="126">
        <v>921625</v>
      </c>
      <c r="Q108" s="90" t="s">
        <v>85</v>
      </c>
      <c r="R108" s="90" t="str">
        <f>IF(P108&gt;20000000,"B","A")</f>
        <v>A</v>
      </c>
      <c r="S108" s="90" t="s">
        <v>90</v>
      </c>
      <c r="T108" s="90" t="s">
        <v>119</v>
      </c>
      <c r="U108" s="90" t="s">
        <v>119</v>
      </c>
      <c r="V108" s="90" t="s">
        <v>119</v>
      </c>
      <c r="W108" s="90" t="s">
        <v>119</v>
      </c>
      <c r="X108" s="90" t="s">
        <v>119</v>
      </c>
      <c r="Y108" s="90" t="s">
        <v>119</v>
      </c>
      <c r="Z108" s="90" t="s">
        <v>119</v>
      </c>
      <c r="AA108" s="90" t="s">
        <v>119</v>
      </c>
      <c r="AB108" s="90" t="s">
        <v>119</v>
      </c>
      <c r="AC108" s="90" t="s">
        <v>119</v>
      </c>
      <c r="AD108" s="90" t="s">
        <v>119</v>
      </c>
      <c r="AE108" s="24">
        <v>0</v>
      </c>
      <c r="AF108" s="90">
        <v>0</v>
      </c>
      <c r="AG108" s="24">
        <v>0</v>
      </c>
      <c r="AH108" s="90">
        <v>86453</v>
      </c>
      <c r="AI108" s="24" t="s">
        <v>485</v>
      </c>
      <c r="AJ108" s="24" t="s">
        <v>486</v>
      </c>
      <c r="AK108" s="90" t="s">
        <v>85</v>
      </c>
      <c r="AL108" s="90">
        <v>102138</v>
      </c>
      <c r="AM108" s="90" t="s">
        <v>81</v>
      </c>
      <c r="AN108" s="90" t="s">
        <v>475</v>
      </c>
      <c r="AO108" s="125" t="s">
        <v>484</v>
      </c>
      <c r="AP108" s="24" t="s">
        <v>479</v>
      </c>
      <c r="AQ108" s="90" t="s">
        <v>478</v>
      </c>
      <c r="AR108" s="24" t="s">
        <v>479</v>
      </c>
      <c r="AS108" s="90" t="s">
        <v>119</v>
      </c>
      <c r="AT108" s="24" t="s">
        <v>485</v>
      </c>
      <c r="AU108" s="90" t="s">
        <v>119</v>
      </c>
      <c r="AV108" s="90" t="str">
        <f>IF(ISNUMBER(SEARCH("disagree",AE108)),"N","Y")</f>
        <v>Y</v>
      </c>
      <c r="AW108" s="90" t="s">
        <v>119</v>
      </c>
      <c r="AX108" s="24" t="s">
        <v>119</v>
      </c>
      <c r="AY108" s="90" t="str">
        <f>CONCATENATE(AZ108,BA108,BB108,BC108)</f>
        <v/>
      </c>
      <c r="AZ108" s="90" t="str">
        <f>IF(ISNUMBER(SEARCH("Y",AC108)),"R","")</f>
        <v/>
      </c>
      <c r="BA108" s="90" t="str">
        <f>IF(ISNUMBER(SEARCH("Y",Y108)),"M","")</f>
        <v/>
      </c>
      <c r="BB108" s="90" t="str">
        <f>IF(ISNUMBER(SEARCH("Y",AB108)),"QC","")</f>
        <v/>
      </c>
      <c r="BC108" s="90" t="str">
        <f>IF(ISNUMBER(SEARCH("Y",Z108)),"S","")</f>
        <v/>
      </c>
      <c r="BD108" s="90"/>
      <c r="BE108" s="24" t="s">
        <v>119</v>
      </c>
      <c r="BF108" s="125" t="str">
        <f>IF(AND(AW108&gt;=56543,AW108&lt;=76543,LEN(AW108)&gt;0),"3 Feb 2020",IF(AND(AW108&gt;=66544,AW108&lt;=99999,LEN(AW108)&gt;0),"12 Sep 2020",""))</f>
        <v/>
      </c>
      <c r="BG108" s="125" t="str">
        <f>IF((AND(BF108="3 Feb 2020",LEN(BF108)&gt;0)),"Completed",IF((AND(BF108="12 Sep 2020",LEN(BF108)&gt;0)),"Pending",""))</f>
        <v/>
      </c>
      <c r="BH108" s="90" t="str">
        <f>IF((AND(BF108="3 Feb 2020",LEN(BF108)&gt;0)),"3 Feb 2020","")</f>
        <v/>
      </c>
      <c r="BI108" s="90">
        <v>102138</v>
      </c>
      <c r="BJ108" s="90" t="str">
        <f>L108</f>
        <v>4S35HS90894-69</v>
      </c>
      <c r="BK108" s="127">
        <v>43508</v>
      </c>
      <c r="BL108" s="127">
        <v>44239</v>
      </c>
      <c r="BM108" s="128">
        <f>P108*1.1</f>
        <v>1013787.5000000001</v>
      </c>
      <c r="BN108" s="129">
        <f>P108*0.9</f>
        <v>829462.5</v>
      </c>
      <c r="BO108" s="130">
        <f>P108*0.8</f>
        <v>737300</v>
      </c>
      <c r="BP108" s="90">
        <f>IF(Z108="Y",BM108*0.4,BM108*1.05)</f>
        <v>1064476.8750000002</v>
      </c>
      <c r="BQ108" s="90">
        <f>BP108*0.8</f>
        <v>851581.50000000023</v>
      </c>
      <c r="BR108" s="90" t="str">
        <f>IF(ISNUMBER(SEARCH("subrecipient",AI104)),P108*0.6,"")</f>
        <v/>
      </c>
      <c r="BS108" s="90">
        <v>102138</v>
      </c>
      <c r="BT108" s="90" t="str">
        <f>BJ108</f>
        <v>4S35HS90894-69</v>
      </c>
      <c r="BU108" s="127">
        <f>BK108</f>
        <v>43508</v>
      </c>
      <c r="BV108" s="127">
        <f>BL108</f>
        <v>44239</v>
      </c>
      <c r="BW108" s="90" t="str">
        <f>H108</f>
        <v>CDC</v>
      </c>
      <c r="BX108" s="90" t="str">
        <f>IF(H108="NATIONAL HEMOPHILIA FOUNDATION","Non Federal","Federal")</f>
        <v>Federal</v>
      </c>
      <c r="BY108" s="128">
        <f>BM108</f>
        <v>1013787.5000000001</v>
      </c>
      <c r="BZ108" s="90" t="str">
        <f>IF(LEN(BR108)&gt;0,1,"")</f>
        <v/>
      </c>
      <c r="CA108" s="90" t="str">
        <f>IF(LEN(BR108)&gt;0,"VIRAL HEPATITIS PROJECT","")</f>
        <v/>
      </c>
      <c r="CB108" s="129" t="str">
        <f>IF(LEN(BR108)&gt;0,BM108*0.7,"")</f>
        <v/>
      </c>
      <c r="CC108" s="90">
        <f>BP108</f>
        <v>1064476.8750000002</v>
      </c>
      <c r="CD108" s="90" t="str">
        <f>IF(LEN(BR108)&gt;0,"70%","")</f>
        <v/>
      </c>
      <c r="CE108" s="90">
        <f>BS108</f>
        <v>102138</v>
      </c>
      <c r="CF108" s="90" t="str">
        <f>CA108</f>
        <v/>
      </c>
      <c r="CG108" s="90"/>
      <c r="CH108" s="90"/>
      <c r="CI108" s="90"/>
      <c r="CJ108" s="90"/>
      <c r="CK108" s="90"/>
      <c r="CL108" s="90"/>
      <c r="CM108" s="90"/>
      <c r="CN108" s="90"/>
      <c r="CO108" s="90"/>
      <c r="CP108" s="90"/>
      <c r="CQ108" s="90"/>
      <c r="CR108" s="90"/>
      <c r="CS108" s="90"/>
      <c r="CT108" s="137"/>
    </row>
    <row r="109" spans="1:98" ht="60">
      <c r="A109" s="89">
        <v>102309</v>
      </c>
      <c r="B109" s="90">
        <v>2020</v>
      </c>
      <c r="C109" s="90" t="s">
        <v>81</v>
      </c>
      <c r="D109" s="90" t="s">
        <v>487</v>
      </c>
      <c r="E109" s="125" t="s">
        <v>488</v>
      </c>
      <c r="F109" s="24" t="s">
        <v>489</v>
      </c>
      <c r="G109" s="90" t="s">
        <v>85</v>
      </c>
      <c r="H109" s="90" t="s">
        <v>117</v>
      </c>
      <c r="I109" s="90">
        <v>93</v>
      </c>
      <c r="J109" s="90">
        <v>157</v>
      </c>
      <c r="K109" s="90" t="s">
        <v>85</v>
      </c>
      <c r="L109" s="90" t="s">
        <v>490</v>
      </c>
      <c r="M109" s="90" t="s">
        <v>119</v>
      </c>
      <c r="N109" s="24" t="s">
        <v>491</v>
      </c>
      <c r="O109" s="24" t="str">
        <f>IF(ISNUMBER(SEARCH("Cancer",N109)),"Cancer",IF(ISNUMBER(SEARCH("health",N109)),"Public health",IF(ISNUMBER(SEARCH("disabilities",N109)),"Disabilities","Other")))</f>
        <v>Other</v>
      </c>
      <c r="P109" s="126">
        <v>889612</v>
      </c>
      <c r="Q109" s="90" t="s">
        <v>85</v>
      </c>
      <c r="R109" s="90" t="str">
        <f>IF(P109&gt;20000000,"B","A")</f>
        <v>A</v>
      </c>
      <c r="S109" s="90" t="s">
        <v>90</v>
      </c>
      <c r="T109" s="90" t="s">
        <v>119</v>
      </c>
      <c r="U109" s="90" t="s">
        <v>119</v>
      </c>
      <c r="V109" s="90" t="s">
        <v>119</v>
      </c>
      <c r="W109" s="90" t="s">
        <v>119</v>
      </c>
      <c r="X109" s="90" t="s">
        <v>119</v>
      </c>
      <c r="Y109" s="90" t="s">
        <v>119</v>
      </c>
      <c r="Z109" s="90" t="s">
        <v>119</v>
      </c>
      <c r="AA109" s="90" t="s">
        <v>119</v>
      </c>
      <c r="AB109" s="90" t="s">
        <v>119</v>
      </c>
      <c r="AC109" s="90" t="s">
        <v>119</v>
      </c>
      <c r="AD109" s="90" t="s">
        <v>119</v>
      </c>
      <c r="AE109" s="24">
        <v>0</v>
      </c>
      <c r="AF109" s="90">
        <v>0</v>
      </c>
      <c r="AG109" s="24">
        <v>0</v>
      </c>
      <c r="AH109" s="90">
        <v>85032</v>
      </c>
      <c r="AI109" s="24" t="s">
        <v>94</v>
      </c>
      <c r="AJ109" s="24" t="s">
        <v>492</v>
      </c>
      <c r="AK109" s="90" t="s">
        <v>85</v>
      </c>
      <c r="AL109" s="90">
        <v>102309</v>
      </c>
      <c r="AM109" s="90" t="s">
        <v>81</v>
      </c>
      <c r="AN109" s="90" t="s">
        <v>487</v>
      </c>
      <c r="AO109" s="125" t="s">
        <v>488</v>
      </c>
      <c r="AP109" s="24" t="s">
        <v>491</v>
      </c>
      <c r="AQ109" s="90" t="s">
        <v>490</v>
      </c>
      <c r="AR109" s="24" t="s">
        <v>491</v>
      </c>
      <c r="AS109" s="90" t="s">
        <v>119</v>
      </c>
      <c r="AT109" s="24" t="s">
        <v>94</v>
      </c>
      <c r="AU109" s="90" t="s">
        <v>119</v>
      </c>
      <c r="AV109" s="90" t="str">
        <f>IF(ISNUMBER(SEARCH("disagree",AE109)),"N","Y")</f>
        <v>Y</v>
      </c>
      <c r="AW109" s="90" t="s">
        <v>119</v>
      </c>
      <c r="AX109" s="24" t="s">
        <v>119</v>
      </c>
      <c r="AY109" s="90" t="str">
        <f>CONCATENATE(AZ109,BA109,BB109,BC109)</f>
        <v/>
      </c>
      <c r="AZ109" s="90" t="str">
        <f>IF(ISNUMBER(SEARCH("Y",AC109)),"R","")</f>
        <v/>
      </c>
      <c r="BA109" s="90" t="str">
        <f>IF(ISNUMBER(SEARCH("Y",Y109)),"M","")</f>
        <v/>
      </c>
      <c r="BB109" s="90" t="str">
        <f>IF(ISNUMBER(SEARCH("Y",AB109)),"QC","")</f>
        <v/>
      </c>
      <c r="BC109" s="90" t="str">
        <f>IF(ISNUMBER(SEARCH("Y",Z109)),"S","")</f>
        <v/>
      </c>
      <c r="BD109" s="90"/>
      <c r="BE109" s="24" t="s">
        <v>119</v>
      </c>
      <c r="BF109" s="125" t="str">
        <f>IF(AND(AW109&gt;=56543,AW109&lt;=76543,LEN(AW109)&gt;0),"3 Feb 2020",IF(AND(AW109&gt;=66544,AW109&lt;=99999,LEN(AW109)&gt;0),"12 Sep 2020",""))</f>
        <v/>
      </c>
      <c r="BG109" s="125" t="str">
        <f>IF((AND(BF109="3 Feb 2020",LEN(BF109)&gt;0)),"Completed",IF((AND(BF109="12 Sep 2020",LEN(BF109)&gt;0)),"Pending",""))</f>
        <v/>
      </c>
      <c r="BH109" s="90" t="str">
        <f>IF((AND(BF109="3 Feb 2020",LEN(BF109)&gt;0)),"3 Feb 2020","")</f>
        <v/>
      </c>
      <c r="BI109" s="90">
        <v>102309</v>
      </c>
      <c r="BJ109" s="90" t="str">
        <f>L109</f>
        <v>1H45FT86452-43</v>
      </c>
      <c r="BK109" s="127">
        <v>43508</v>
      </c>
      <c r="BL109" s="127">
        <v>44239</v>
      </c>
      <c r="BM109" s="128">
        <f>P109*1.1</f>
        <v>978573.20000000007</v>
      </c>
      <c r="BN109" s="129">
        <f>P109*0.9</f>
        <v>800650.8</v>
      </c>
      <c r="BO109" s="130">
        <f>P109*0.8</f>
        <v>711689.60000000009</v>
      </c>
      <c r="BP109" s="90">
        <f>IF(Z109="Y",BM109*0.4,BM109*1.05)</f>
        <v>1027501.8600000001</v>
      </c>
      <c r="BQ109" s="90">
        <f>BP109*0.8</f>
        <v>822001.48800000013</v>
      </c>
      <c r="BR109" s="90" t="str">
        <f>IF(ISNUMBER(SEARCH("subrecipient",AI105)),P109*0.6,"")</f>
        <v/>
      </c>
      <c r="BS109" s="90">
        <v>102309</v>
      </c>
      <c r="BT109" s="90" t="str">
        <f>BJ109</f>
        <v>1H45FT86452-43</v>
      </c>
      <c r="BU109" s="127">
        <f>BK109</f>
        <v>43508</v>
      </c>
      <c r="BV109" s="127">
        <f>BL109</f>
        <v>44239</v>
      </c>
      <c r="BW109" s="90" t="str">
        <f>H109</f>
        <v>NIH</v>
      </c>
      <c r="BX109" s="90" t="str">
        <f>IF(H109="NATIONAL HEMOPHILIA FOUNDATION","Non Federal","Federal")</f>
        <v>Federal</v>
      </c>
      <c r="BY109" s="128">
        <f>BM109</f>
        <v>978573.20000000007</v>
      </c>
      <c r="BZ109" s="90" t="str">
        <f>IF(LEN(BR109)&gt;0,1,"")</f>
        <v/>
      </c>
      <c r="CA109" s="90" t="str">
        <f>IF(LEN(BR109)&gt;0,"VIRAL HEPATITIS PROJECT","")</f>
        <v/>
      </c>
      <c r="CB109" s="129" t="str">
        <f>IF(LEN(BR109)&gt;0,BM109*0.7,"")</f>
        <v/>
      </c>
      <c r="CC109" s="90">
        <f>BP109</f>
        <v>1027501.8600000001</v>
      </c>
      <c r="CD109" s="90" t="str">
        <f>IF(LEN(BR109)&gt;0,"70%","")</f>
        <v/>
      </c>
      <c r="CE109" s="90">
        <f>BS109</f>
        <v>102309</v>
      </c>
      <c r="CF109" s="90" t="str">
        <f>CA109</f>
        <v/>
      </c>
      <c r="CG109" s="90"/>
      <c r="CH109" s="90"/>
      <c r="CI109" s="90"/>
      <c r="CJ109" s="90"/>
      <c r="CK109" s="90"/>
      <c r="CL109" s="90"/>
      <c r="CM109" s="90"/>
      <c r="CN109" s="90"/>
      <c r="CO109" s="90"/>
      <c r="CP109" s="90"/>
      <c r="CQ109" s="90"/>
      <c r="CR109" s="90"/>
      <c r="CS109" s="90"/>
      <c r="CT109" s="137"/>
    </row>
    <row r="110" spans="1:98" ht="60">
      <c r="A110" s="89">
        <v>102309</v>
      </c>
      <c r="B110" s="90">
        <v>2020</v>
      </c>
      <c r="C110" s="90" t="s">
        <v>81</v>
      </c>
      <c r="D110" s="90" t="s">
        <v>487</v>
      </c>
      <c r="E110" s="125" t="s">
        <v>493</v>
      </c>
      <c r="F110" s="24" t="s">
        <v>489</v>
      </c>
      <c r="G110" s="90" t="s">
        <v>85</v>
      </c>
      <c r="H110" s="90" t="s">
        <v>117</v>
      </c>
      <c r="I110" s="90">
        <v>93</v>
      </c>
      <c r="J110" s="90">
        <v>157</v>
      </c>
      <c r="K110" s="90" t="s">
        <v>85</v>
      </c>
      <c r="L110" s="90" t="s">
        <v>490</v>
      </c>
      <c r="M110" s="90" t="s">
        <v>119</v>
      </c>
      <c r="N110" s="24" t="s">
        <v>491</v>
      </c>
      <c r="O110" s="24" t="str">
        <f>IF(ISNUMBER(SEARCH("Cancer",N110)),"Cancer",IF(ISNUMBER(SEARCH("health",N110)),"Public health",IF(ISNUMBER(SEARCH("disabilities",N110)),"Disabilities","Other")))</f>
        <v>Other</v>
      </c>
      <c r="P110" s="126">
        <v>889612</v>
      </c>
      <c r="Q110" s="90" t="s">
        <v>85</v>
      </c>
      <c r="R110" s="90" t="str">
        <f>IF(P110&gt;20000000,"B","A")</f>
        <v>A</v>
      </c>
      <c r="S110" s="90" t="s">
        <v>90</v>
      </c>
      <c r="T110" s="90" t="s">
        <v>119</v>
      </c>
      <c r="U110" s="90" t="s">
        <v>119</v>
      </c>
      <c r="V110" s="90" t="s">
        <v>119</v>
      </c>
      <c r="W110" s="90" t="s">
        <v>119</v>
      </c>
      <c r="X110" s="90" t="s">
        <v>119</v>
      </c>
      <c r="Y110" s="90" t="s">
        <v>119</v>
      </c>
      <c r="Z110" s="90" t="s">
        <v>119</v>
      </c>
      <c r="AA110" s="90" t="s">
        <v>119</v>
      </c>
      <c r="AB110" s="90" t="s">
        <v>119</v>
      </c>
      <c r="AC110" s="90" t="s">
        <v>119</v>
      </c>
      <c r="AD110" s="90" t="s">
        <v>119</v>
      </c>
      <c r="AE110" s="24">
        <v>0</v>
      </c>
      <c r="AF110" s="90">
        <v>0</v>
      </c>
      <c r="AG110" s="24">
        <v>0</v>
      </c>
      <c r="AH110" s="90">
        <v>85031</v>
      </c>
      <c r="AI110" s="24" t="s">
        <v>102</v>
      </c>
      <c r="AJ110" s="24" t="s">
        <v>103</v>
      </c>
      <c r="AK110" s="90" t="s">
        <v>85</v>
      </c>
      <c r="AL110" s="90">
        <v>102309</v>
      </c>
      <c r="AM110" s="90" t="s">
        <v>81</v>
      </c>
      <c r="AN110" s="90" t="s">
        <v>487</v>
      </c>
      <c r="AO110" s="125" t="s">
        <v>493</v>
      </c>
      <c r="AP110" s="24" t="s">
        <v>491</v>
      </c>
      <c r="AQ110" s="90" t="s">
        <v>490</v>
      </c>
      <c r="AR110" s="24" t="s">
        <v>491</v>
      </c>
      <c r="AS110" s="90" t="s">
        <v>119</v>
      </c>
      <c r="AT110" s="24" t="s">
        <v>102</v>
      </c>
      <c r="AU110" s="90" t="s">
        <v>119</v>
      </c>
      <c r="AV110" s="90" t="str">
        <f>IF(ISNUMBER(SEARCH("disagree",AE110)),"N","Y")</f>
        <v>Y</v>
      </c>
      <c r="AW110" s="90" t="s">
        <v>119</v>
      </c>
      <c r="AX110" s="24" t="s">
        <v>119</v>
      </c>
      <c r="AY110" s="90" t="str">
        <f>CONCATENATE(AZ110,BA110,BB110,BC110)</f>
        <v/>
      </c>
      <c r="AZ110" s="90" t="str">
        <f>IF(ISNUMBER(SEARCH("Y",AC110)),"R","")</f>
        <v/>
      </c>
      <c r="BA110" s="90" t="str">
        <f>IF(ISNUMBER(SEARCH("Y",Y110)),"M","")</f>
        <v/>
      </c>
      <c r="BB110" s="90" t="str">
        <f>IF(ISNUMBER(SEARCH("Y",AB110)),"QC","")</f>
        <v/>
      </c>
      <c r="BC110" s="90" t="str">
        <f>IF(ISNUMBER(SEARCH("Y",Z110)),"S","")</f>
        <v/>
      </c>
      <c r="BD110" s="90"/>
      <c r="BE110" s="24" t="s">
        <v>119</v>
      </c>
      <c r="BF110" s="125" t="str">
        <f>IF(AND(AW110&gt;=56543,AW110&lt;=76543,LEN(AW110)&gt;0),"3 Feb 2020",IF(AND(AW110&gt;=66544,AW110&lt;=99999,LEN(AW110)&gt;0),"12 Sep 2020",""))</f>
        <v/>
      </c>
      <c r="BG110" s="125" t="str">
        <f>IF((AND(BF110="3 Feb 2020",LEN(BF110)&gt;0)),"Completed",IF((AND(BF110="12 Sep 2020",LEN(BF110)&gt;0)),"Pending",""))</f>
        <v/>
      </c>
      <c r="BH110" s="90" t="str">
        <f>IF((AND(BF110="3 Feb 2020",LEN(BF110)&gt;0)),"3 Feb 2020","")</f>
        <v/>
      </c>
      <c r="BI110" s="90">
        <v>102309</v>
      </c>
      <c r="BJ110" s="90" t="str">
        <f>L110</f>
        <v>1H45FT86452-43</v>
      </c>
      <c r="BK110" s="127">
        <v>43508</v>
      </c>
      <c r="BL110" s="127">
        <v>44239</v>
      </c>
      <c r="BM110" s="128">
        <f>P110*1.1</f>
        <v>978573.20000000007</v>
      </c>
      <c r="BN110" s="129">
        <f>P110*0.9</f>
        <v>800650.8</v>
      </c>
      <c r="BO110" s="130">
        <f>P110*0.8</f>
        <v>711689.60000000009</v>
      </c>
      <c r="BP110" s="90">
        <f>IF(Z110="Y",BM110*0.4,BM110*1.05)</f>
        <v>1027501.8600000001</v>
      </c>
      <c r="BQ110" s="90">
        <f>BP110*0.8</f>
        <v>822001.48800000013</v>
      </c>
      <c r="BR110" s="90" t="str">
        <f>IF(ISNUMBER(SEARCH("subrecipient",AI106)),P110*0.6,"")</f>
        <v/>
      </c>
      <c r="BS110" s="90">
        <v>102309</v>
      </c>
      <c r="BT110" s="90" t="str">
        <f>BJ110</f>
        <v>1H45FT86452-43</v>
      </c>
      <c r="BU110" s="127">
        <f>BK110</f>
        <v>43508</v>
      </c>
      <c r="BV110" s="127">
        <f>BL110</f>
        <v>44239</v>
      </c>
      <c r="BW110" s="90" t="str">
        <f>H110</f>
        <v>NIH</v>
      </c>
      <c r="BX110" s="90" t="str">
        <f>IF(H110="NATIONAL HEMOPHILIA FOUNDATION","Non Federal","Federal")</f>
        <v>Federal</v>
      </c>
      <c r="BY110" s="128">
        <f>BM110</f>
        <v>978573.20000000007</v>
      </c>
      <c r="BZ110" s="90" t="str">
        <f>IF(LEN(BR110)&gt;0,1,"")</f>
        <v/>
      </c>
      <c r="CA110" s="90" t="str">
        <f>IF(LEN(BR110)&gt;0,"VIRAL HEPATITIS PROJECT","")</f>
        <v/>
      </c>
      <c r="CB110" s="129" t="str">
        <f>IF(LEN(BR110)&gt;0,BM110*0.7,"")</f>
        <v/>
      </c>
      <c r="CC110" s="90">
        <f>BP110</f>
        <v>1027501.8600000001</v>
      </c>
      <c r="CD110" s="90" t="str">
        <f>IF(LEN(BR110)&gt;0,"70%","")</f>
        <v/>
      </c>
      <c r="CE110" s="90">
        <f>BS110</f>
        <v>102309</v>
      </c>
      <c r="CF110" s="90" t="str">
        <f>CA110</f>
        <v/>
      </c>
      <c r="CG110" s="90"/>
      <c r="CH110" s="90"/>
      <c r="CI110" s="90"/>
      <c r="CJ110" s="90"/>
      <c r="CK110" s="90"/>
      <c r="CL110" s="90"/>
      <c r="CM110" s="90"/>
      <c r="CN110" s="90"/>
      <c r="CO110" s="90"/>
      <c r="CP110" s="90"/>
      <c r="CQ110" s="90"/>
      <c r="CR110" s="90"/>
      <c r="CS110" s="90"/>
      <c r="CT110" s="137"/>
    </row>
    <row r="111" spans="1:98" ht="60">
      <c r="A111" s="89">
        <v>102309</v>
      </c>
      <c r="B111" s="90">
        <v>2020</v>
      </c>
      <c r="C111" s="90" t="s">
        <v>81</v>
      </c>
      <c r="D111" s="90" t="s">
        <v>487</v>
      </c>
      <c r="E111" s="125" t="s">
        <v>494</v>
      </c>
      <c r="F111" s="24" t="s">
        <v>489</v>
      </c>
      <c r="G111" s="90" t="s">
        <v>85</v>
      </c>
      <c r="H111" s="90" t="s">
        <v>117</v>
      </c>
      <c r="I111" s="90">
        <v>93</v>
      </c>
      <c r="J111" s="90">
        <v>157</v>
      </c>
      <c r="K111" s="90" t="s">
        <v>85</v>
      </c>
      <c r="L111" s="90" t="s">
        <v>490</v>
      </c>
      <c r="M111" s="90" t="s">
        <v>119</v>
      </c>
      <c r="N111" s="24" t="s">
        <v>491</v>
      </c>
      <c r="O111" s="24" t="str">
        <f>IF(ISNUMBER(SEARCH("Cancer",N111)),"Cancer",IF(ISNUMBER(SEARCH("health",N111)),"Public health",IF(ISNUMBER(SEARCH("disabilities",N111)),"Disabilities","Other")))</f>
        <v>Other</v>
      </c>
      <c r="P111" s="126">
        <v>889612</v>
      </c>
      <c r="Q111" s="90" t="s">
        <v>85</v>
      </c>
      <c r="R111" s="90" t="str">
        <f>IF(P111&gt;20000000,"B","A")</f>
        <v>A</v>
      </c>
      <c r="S111" s="90" t="s">
        <v>90</v>
      </c>
      <c r="T111" s="90" t="s">
        <v>119</v>
      </c>
      <c r="U111" s="90" t="s">
        <v>119</v>
      </c>
      <c r="V111" s="90" t="s">
        <v>119</v>
      </c>
      <c r="W111" s="90" t="s">
        <v>119</v>
      </c>
      <c r="X111" s="90" t="s">
        <v>119</v>
      </c>
      <c r="Y111" s="90" t="s">
        <v>119</v>
      </c>
      <c r="Z111" s="90" t="s">
        <v>119</v>
      </c>
      <c r="AA111" s="90" t="s">
        <v>119</v>
      </c>
      <c r="AB111" s="90" t="s">
        <v>119</v>
      </c>
      <c r="AC111" s="90" t="s">
        <v>119</v>
      </c>
      <c r="AD111" s="90" t="s">
        <v>119</v>
      </c>
      <c r="AE111" s="24">
        <v>0</v>
      </c>
      <c r="AF111" s="90">
        <v>0</v>
      </c>
      <c r="AG111" s="24">
        <v>0</v>
      </c>
      <c r="AH111" s="90">
        <v>85033</v>
      </c>
      <c r="AI111" s="24" t="s">
        <v>110</v>
      </c>
      <c r="AJ111" s="24" t="s">
        <v>495</v>
      </c>
      <c r="AK111" s="90" t="s">
        <v>85</v>
      </c>
      <c r="AL111" s="90">
        <v>102309</v>
      </c>
      <c r="AM111" s="90" t="s">
        <v>81</v>
      </c>
      <c r="AN111" s="90" t="s">
        <v>487</v>
      </c>
      <c r="AO111" s="125" t="s">
        <v>494</v>
      </c>
      <c r="AP111" s="24" t="s">
        <v>491</v>
      </c>
      <c r="AQ111" s="90" t="s">
        <v>490</v>
      </c>
      <c r="AR111" s="24" t="s">
        <v>491</v>
      </c>
      <c r="AS111" s="90" t="s">
        <v>119</v>
      </c>
      <c r="AT111" s="24" t="s">
        <v>110</v>
      </c>
      <c r="AU111" s="90" t="s">
        <v>119</v>
      </c>
      <c r="AV111" s="90" t="str">
        <f>IF(ISNUMBER(SEARCH("disagree",AE111)),"N","Y")</f>
        <v>Y</v>
      </c>
      <c r="AW111" s="90" t="s">
        <v>119</v>
      </c>
      <c r="AX111" s="24" t="s">
        <v>119</v>
      </c>
      <c r="AY111" s="90" t="str">
        <f>CONCATENATE(AZ111,BA111,BB111,BC111)</f>
        <v/>
      </c>
      <c r="AZ111" s="90" t="str">
        <f>IF(ISNUMBER(SEARCH("Y",AC111)),"R","")</f>
        <v/>
      </c>
      <c r="BA111" s="90" t="str">
        <f>IF(ISNUMBER(SEARCH("Y",Y111)),"M","")</f>
        <v/>
      </c>
      <c r="BB111" s="90" t="str">
        <f>IF(ISNUMBER(SEARCH("Y",AB111)),"QC","")</f>
        <v/>
      </c>
      <c r="BC111" s="90" t="str">
        <f>IF(ISNUMBER(SEARCH("Y",Z111)),"S","")</f>
        <v/>
      </c>
      <c r="BD111" s="90"/>
      <c r="BE111" s="24" t="s">
        <v>119</v>
      </c>
      <c r="BF111" s="125" t="str">
        <f>IF(AND(AW111&gt;=56543,AW111&lt;=76543,LEN(AW111)&gt;0),"3 Feb 2020",IF(AND(AW111&gt;=66544,AW111&lt;=99999,LEN(AW111)&gt;0),"12 Sep 2020",""))</f>
        <v/>
      </c>
      <c r="BG111" s="125" t="str">
        <f>IF((AND(BF111="3 Feb 2020",LEN(BF111)&gt;0)),"Completed",IF((AND(BF111="12 Sep 2020",LEN(BF111)&gt;0)),"Pending",""))</f>
        <v/>
      </c>
      <c r="BH111" s="90" t="str">
        <f>IF((AND(BF111="3 Feb 2020",LEN(BF111)&gt;0)),"3 Feb 2020","")</f>
        <v/>
      </c>
      <c r="BI111" s="90">
        <v>102309</v>
      </c>
      <c r="BJ111" s="90" t="str">
        <f>L111</f>
        <v>1H45FT86452-43</v>
      </c>
      <c r="BK111" s="127">
        <v>43508</v>
      </c>
      <c r="BL111" s="127">
        <v>44239</v>
      </c>
      <c r="BM111" s="128">
        <f>P111*1.1</f>
        <v>978573.20000000007</v>
      </c>
      <c r="BN111" s="129">
        <f>P111*0.9</f>
        <v>800650.8</v>
      </c>
      <c r="BO111" s="130">
        <f>P111*0.8</f>
        <v>711689.60000000009</v>
      </c>
      <c r="BP111" s="90">
        <f>IF(Z111="Y",BM111*0.4,BM111*1.05)</f>
        <v>1027501.8600000001</v>
      </c>
      <c r="BQ111" s="90">
        <f>BP111*0.8</f>
        <v>822001.48800000013</v>
      </c>
      <c r="BR111" s="90" t="str">
        <f>IF(ISNUMBER(SEARCH("subrecipient",AI107)),P111*0.6,"")</f>
        <v/>
      </c>
      <c r="BS111" s="90">
        <v>102309</v>
      </c>
      <c r="BT111" s="90" t="str">
        <f>BJ111</f>
        <v>1H45FT86452-43</v>
      </c>
      <c r="BU111" s="127">
        <f>BK111</f>
        <v>43508</v>
      </c>
      <c r="BV111" s="127">
        <f>BL111</f>
        <v>44239</v>
      </c>
      <c r="BW111" s="90" t="str">
        <f>H111</f>
        <v>NIH</v>
      </c>
      <c r="BX111" s="90" t="str">
        <f>IF(H111="NATIONAL HEMOPHILIA FOUNDATION","Non Federal","Federal")</f>
        <v>Federal</v>
      </c>
      <c r="BY111" s="128">
        <f>BM111</f>
        <v>978573.20000000007</v>
      </c>
      <c r="BZ111" s="90" t="str">
        <f>IF(LEN(BR111)&gt;0,1,"")</f>
        <v/>
      </c>
      <c r="CA111" s="90" t="str">
        <f>IF(LEN(BR111)&gt;0,"VIRAL HEPATITIS PROJECT","")</f>
        <v/>
      </c>
      <c r="CB111" s="129" t="str">
        <f>IF(LEN(BR111)&gt;0,BM111*0.7,"")</f>
        <v/>
      </c>
      <c r="CC111" s="90">
        <f>BP111</f>
        <v>1027501.8600000001</v>
      </c>
      <c r="CD111" s="90" t="str">
        <f>IF(LEN(BR111)&gt;0,"70%","")</f>
        <v/>
      </c>
      <c r="CE111" s="90">
        <f>BS111</f>
        <v>102309</v>
      </c>
      <c r="CF111" s="90" t="str">
        <f>CA111</f>
        <v/>
      </c>
      <c r="CG111" s="90"/>
      <c r="CH111" s="90"/>
      <c r="CI111" s="90"/>
      <c r="CJ111" s="90"/>
      <c r="CK111" s="90"/>
      <c r="CL111" s="90"/>
      <c r="CM111" s="90"/>
      <c r="CN111" s="90"/>
      <c r="CO111" s="90"/>
      <c r="CP111" s="90"/>
      <c r="CQ111" s="90"/>
      <c r="CR111" s="90"/>
      <c r="CS111" s="90"/>
      <c r="CT111" s="137"/>
    </row>
    <row r="112" spans="1:98" ht="60">
      <c r="A112" s="89">
        <v>102635</v>
      </c>
      <c r="B112" s="90">
        <v>2020</v>
      </c>
      <c r="C112" s="90" t="s">
        <v>81</v>
      </c>
      <c r="D112" s="90" t="s">
        <v>496</v>
      </c>
      <c r="E112" s="125" t="s">
        <v>497</v>
      </c>
      <c r="F112" s="24" t="s">
        <v>498</v>
      </c>
      <c r="G112" s="90" t="s">
        <v>85</v>
      </c>
      <c r="H112" s="90" t="s">
        <v>132</v>
      </c>
      <c r="I112" s="90">
        <v>93</v>
      </c>
      <c r="J112" s="90">
        <v>157</v>
      </c>
      <c r="K112" s="90" t="s">
        <v>85</v>
      </c>
      <c r="L112" s="90" t="s">
        <v>499</v>
      </c>
      <c r="M112" s="90" t="s">
        <v>119</v>
      </c>
      <c r="N112" s="24" t="s">
        <v>500</v>
      </c>
      <c r="O112" s="24" t="str">
        <f>IF(ISNUMBER(SEARCH("Cancer",N112)),"Cancer",IF(ISNUMBER(SEARCH("health",N112)),"Public health",IF(ISNUMBER(SEARCH("disabilities",N112)),"Disabilities","Other")))</f>
        <v>Public health</v>
      </c>
      <c r="P112" s="126">
        <v>991104</v>
      </c>
      <c r="Q112" s="90" t="s">
        <v>85</v>
      </c>
      <c r="R112" s="90" t="str">
        <f>IF(P112&gt;20000000,"B","A")</f>
        <v>A</v>
      </c>
      <c r="S112" s="90" t="s">
        <v>90</v>
      </c>
      <c r="T112" s="90" t="s">
        <v>119</v>
      </c>
      <c r="U112" s="90" t="s">
        <v>119</v>
      </c>
      <c r="V112" s="90" t="s">
        <v>119</v>
      </c>
      <c r="W112" s="90" t="s">
        <v>119</v>
      </c>
      <c r="X112" s="90" t="s">
        <v>119</v>
      </c>
      <c r="Y112" s="90" t="s">
        <v>119</v>
      </c>
      <c r="Z112" s="90" t="s">
        <v>119</v>
      </c>
      <c r="AA112" s="90" t="s">
        <v>119</v>
      </c>
      <c r="AB112" s="90" t="s">
        <v>119</v>
      </c>
      <c r="AC112" s="90" t="s">
        <v>119</v>
      </c>
      <c r="AD112" s="90" t="s">
        <v>119</v>
      </c>
      <c r="AE112" s="24">
        <v>0</v>
      </c>
      <c r="AF112" s="90">
        <v>0</v>
      </c>
      <c r="AG112" s="24">
        <v>0</v>
      </c>
      <c r="AH112" s="90">
        <v>84829</v>
      </c>
      <c r="AI112" s="24" t="s">
        <v>94</v>
      </c>
      <c r="AJ112" s="24" t="s">
        <v>95</v>
      </c>
      <c r="AK112" s="90" t="s">
        <v>85</v>
      </c>
      <c r="AL112" s="90">
        <v>102635</v>
      </c>
      <c r="AM112" s="90" t="s">
        <v>81</v>
      </c>
      <c r="AN112" s="90" t="s">
        <v>496</v>
      </c>
      <c r="AO112" s="125" t="s">
        <v>497</v>
      </c>
      <c r="AP112" s="24" t="s">
        <v>500</v>
      </c>
      <c r="AQ112" s="90" t="s">
        <v>499</v>
      </c>
      <c r="AR112" s="24" t="s">
        <v>500</v>
      </c>
      <c r="AS112" s="90" t="s">
        <v>119</v>
      </c>
      <c r="AT112" s="24" t="s">
        <v>94</v>
      </c>
      <c r="AU112" s="90" t="s">
        <v>119</v>
      </c>
      <c r="AV112" s="90" t="str">
        <f>IF(ISNUMBER(SEARCH("disagree",AE112)),"N","Y")</f>
        <v>Y</v>
      </c>
      <c r="AW112" s="90" t="s">
        <v>119</v>
      </c>
      <c r="AX112" s="24" t="s">
        <v>119</v>
      </c>
      <c r="AY112" s="90" t="str">
        <f>CONCATENATE(AZ112,BA112,BB112,BC112)</f>
        <v/>
      </c>
      <c r="AZ112" s="90" t="str">
        <f>IF(ISNUMBER(SEARCH("Y",AC112)),"R","")</f>
        <v/>
      </c>
      <c r="BA112" s="90" t="str">
        <f>IF(ISNUMBER(SEARCH("Y",Y112)),"M","")</f>
        <v/>
      </c>
      <c r="BB112" s="90" t="str">
        <f>IF(ISNUMBER(SEARCH("Y",AB112)),"QC","")</f>
        <v/>
      </c>
      <c r="BC112" s="90" t="str">
        <f>IF(ISNUMBER(SEARCH("Y",Z112)),"S","")</f>
        <v/>
      </c>
      <c r="BD112" s="90"/>
      <c r="BE112" s="24" t="s">
        <v>119</v>
      </c>
      <c r="BF112" s="125" t="str">
        <f>IF(AND(AW112&gt;=56543,AW112&lt;=76543,LEN(AW112)&gt;0),"3 Feb 2020",IF(AND(AW112&gt;=66544,AW112&lt;=99999,LEN(AW112)&gt;0),"12 Sep 2020",""))</f>
        <v/>
      </c>
      <c r="BG112" s="125" t="str">
        <f>IF((AND(BF112="3 Feb 2020",LEN(BF112)&gt;0)),"Completed",IF((AND(BF112="12 Sep 2020",LEN(BF112)&gt;0)),"Pending",""))</f>
        <v/>
      </c>
      <c r="BH112" s="90" t="str">
        <f>IF((AND(BF112="3 Feb 2020",LEN(BF112)&gt;0)),"3 Feb 2020","")</f>
        <v/>
      </c>
      <c r="BI112" s="90">
        <v>102635</v>
      </c>
      <c r="BJ112" s="90" t="str">
        <f>L112</f>
        <v>2R60CR85032-53</v>
      </c>
      <c r="BK112" s="127">
        <v>43508</v>
      </c>
      <c r="BL112" s="127">
        <v>44239</v>
      </c>
      <c r="BM112" s="128">
        <f>P112*1.1</f>
        <v>1090214.4000000001</v>
      </c>
      <c r="BN112" s="129">
        <f>P112*0.9</f>
        <v>891993.59999999998</v>
      </c>
      <c r="BO112" s="130">
        <f>P112*0.8</f>
        <v>792883.20000000007</v>
      </c>
      <c r="BP112" s="90">
        <f>IF(Z112="Y",BM112*0.4,BM112*1.05)</f>
        <v>1144725.1200000001</v>
      </c>
      <c r="BQ112" s="90">
        <f>BP112*0.8</f>
        <v>915780.09600000014</v>
      </c>
      <c r="BR112" s="90" t="str">
        <f>IF(ISNUMBER(SEARCH("subrecipient",AI108)),P112*0.6,"")</f>
        <v/>
      </c>
      <c r="BS112" s="90">
        <v>102635</v>
      </c>
      <c r="BT112" s="90" t="str">
        <f>BJ112</f>
        <v>2R60CR85032-53</v>
      </c>
      <c r="BU112" s="127">
        <f>BK112</f>
        <v>43508</v>
      </c>
      <c r="BV112" s="127">
        <f>BL112</f>
        <v>44239</v>
      </c>
      <c r="BW112" s="90" t="str">
        <f>H112</f>
        <v>FDA</v>
      </c>
      <c r="BX112" s="90" t="str">
        <f>IF(H112="NATIONAL HEMOPHILIA FOUNDATION","Non Federal","Federal")</f>
        <v>Federal</v>
      </c>
      <c r="BY112" s="128">
        <f>BM112</f>
        <v>1090214.4000000001</v>
      </c>
      <c r="BZ112" s="90" t="str">
        <f>IF(LEN(BR112)&gt;0,1,"")</f>
        <v/>
      </c>
      <c r="CA112" s="90" t="str">
        <f>IF(LEN(BR112)&gt;0,"VIRAL HEPATITIS PROJECT","")</f>
        <v/>
      </c>
      <c r="CB112" s="129" t="str">
        <f>IF(LEN(BR112)&gt;0,BM112*0.7,"")</f>
        <v/>
      </c>
      <c r="CC112" s="90">
        <f>BP112</f>
        <v>1144725.1200000001</v>
      </c>
      <c r="CD112" s="90" t="str">
        <f>IF(LEN(BR112)&gt;0,"70%","")</f>
        <v/>
      </c>
      <c r="CE112" s="90">
        <f>BS112</f>
        <v>102635</v>
      </c>
      <c r="CF112" s="90" t="str">
        <f>CA112</f>
        <v/>
      </c>
      <c r="CG112" s="90"/>
      <c r="CH112" s="90"/>
      <c r="CI112" s="90"/>
      <c r="CJ112" s="90"/>
      <c r="CK112" s="90"/>
      <c r="CL112" s="90"/>
      <c r="CM112" s="90"/>
      <c r="CN112" s="90"/>
      <c r="CO112" s="90"/>
      <c r="CP112" s="90"/>
      <c r="CQ112" s="90"/>
      <c r="CR112" s="90"/>
      <c r="CS112" s="90"/>
      <c r="CT112" s="137"/>
    </row>
    <row r="113" spans="1:98" ht="60">
      <c r="A113" s="89">
        <v>102635</v>
      </c>
      <c r="B113" s="90">
        <v>2020</v>
      </c>
      <c r="C113" s="90" t="s">
        <v>81</v>
      </c>
      <c r="D113" s="90" t="s">
        <v>496</v>
      </c>
      <c r="E113" s="125" t="s">
        <v>501</v>
      </c>
      <c r="F113" s="24" t="s">
        <v>498</v>
      </c>
      <c r="G113" s="90" t="s">
        <v>85</v>
      </c>
      <c r="H113" s="90" t="s">
        <v>132</v>
      </c>
      <c r="I113" s="90">
        <v>93</v>
      </c>
      <c r="J113" s="90">
        <v>157</v>
      </c>
      <c r="K113" s="90" t="s">
        <v>85</v>
      </c>
      <c r="L113" s="90" t="s">
        <v>499</v>
      </c>
      <c r="M113" s="90" t="s">
        <v>119</v>
      </c>
      <c r="N113" s="24" t="s">
        <v>500</v>
      </c>
      <c r="O113" s="24" t="str">
        <f>IF(ISNUMBER(SEARCH("Cancer",N113)),"Cancer",IF(ISNUMBER(SEARCH("health",N113)),"Public health",IF(ISNUMBER(SEARCH("disabilities",N113)),"Disabilities","Other")))</f>
        <v>Public health</v>
      </c>
      <c r="P113" s="126">
        <v>991104</v>
      </c>
      <c r="Q113" s="90" t="s">
        <v>85</v>
      </c>
      <c r="R113" s="90" t="str">
        <f>IF(P113&gt;20000000,"B","A")</f>
        <v>A</v>
      </c>
      <c r="S113" s="90" t="s">
        <v>90</v>
      </c>
      <c r="T113" s="90" t="s">
        <v>119</v>
      </c>
      <c r="U113" s="90" t="s">
        <v>119</v>
      </c>
      <c r="V113" s="90" t="s">
        <v>119</v>
      </c>
      <c r="W113" s="90" t="s">
        <v>119</v>
      </c>
      <c r="X113" s="90" t="s">
        <v>119</v>
      </c>
      <c r="Y113" s="90" t="s">
        <v>119</v>
      </c>
      <c r="Z113" s="90" t="s">
        <v>119</v>
      </c>
      <c r="AA113" s="90" t="s">
        <v>119</v>
      </c>
      <c r="AB113" s="90" t="s">
        <v>119</v>
      </c>
      <c r="AC113" s="90" t="s">
        <v>119</v>
      </c>
      <c r="AD113" s="90" t="s">
        <v>119</v>
      </c>
      <c r="AE113" s="24">
        <v>0</v>
      </c>
      <c r="AF113" s="90">
        <v>0</v>
      </c>
      <c r="AG113" s="24">
        <v>0</v>
      </c>
      <c r="AH113" s="90">
        <v>84830</v>
      </c>
      <c r="AI113" s="24" t="s">
        <v>102</v>
      </c>
      <c r="AJ113" s="24" t="s">
        <v>103</v>
      </c>
      <c r="AK113" s="90" t="s">
        <v>85</v>
      </c>
      <c r="AL113" s="90">
        <v>102635</v>
      </c>
      <c r="AM113" s="90" t="s">
        <v>81</v>
      </c>
      <c r="AN113" s="90" t="s">
        <v>496</v>
      </c>
      <c r="AO113" s="125" t="s">
        <v>501</v>
      </c>
      <c r="AP113" s="24" t="s">
        <v>500</v>
      </c>
      <c r="AQ113" s="90" t="s">
        <v>499</v>
      </c>
      <c r="AR113" s="24" t="s">
        <v>500</v>
      </c>
      <c r="AS113" s="90" t="s">
        <v>119</v>
      </c>
      <c r="AT113" s="24" t="s">
        <v>102</v>
      </c>
      <c r="AU113" s="90" t="s">
        <v>119</v>
      </c>
      <c r="AV113" s="90" t="str">
        <f>IF(ISNUMBER(SEARCH("disagree",AE113)),"N","Y")</f>
        <v>Y</v>
      </c>
      <c r="AW113" s="90" t="s">
        <v>119</v>
      </c>
      <c r="AX113" s="24" t="s">
        <v>119</v>
      </c>
      <c r="AY113" s="90" t="str">
        <f>CONCATENATE(AZ113,BA113,BB113,BC113)</f>
        <v/>
      </c>
      <c r="AZ113" s="90" t="str">
        <f>IF(ISNUMBER(SEARCH("Y",AC113)),"R","")</f>
        <v/>
      </c>
      <c r="BA113" s="90" t="str">
        <f>IF(ISNUMBER(SEARCH("Y",Y113)),"M","")</f>
        <v/>
      </c>
      <c r="BB113" s="90" t="str">
        <f>IF(ISNUMBER(SEARCH("Y",AB113)),"QC","")</f>
        <v/>
      </c>
      <c r="BC113" s="90" t="str">
        <f>IF(ISNUMBER(SEARCH("Y",Z113)),"S","")</f>
        <v/>
      </c>
      <c r="BD113" s="90"/>
      <c r="BE113" s="24" t="s">
        <v>119</v>
      </c>
      <c r="BF113" s="125" t="str">
        <f>IF(AND(AW113&gt;=56543,AW113&lt;=76543,LEN(AW113)&gt;0),"3 Feb 2020",IF(AND(AW113&gt;=66544,AW113&lt;=99999,LEN(AW113)&gt;0),"12 Sep 2020",""))</f>
        <v/>
      </c>
      <c r="BG113" s="125" t="str">
        <f>IF((AND(BF113="3 Feb 2020",LEN(BF113)&gt;0)),"Completed",IF((AND(BF113="12 Sep 2020",LEN(BF113)&gt;0)),"Pending",""))</f>
        <v/>
      </c>
      <c r="BH113" s="90" t="str">
        <f>IF((AND(BF113="3 Feb 2020",LEN(BF113)&gt;0)),"3 Feb 2020","")</f>
        <v/>
      </c>
      <c r="BI113" s="90">
        <v>102635</v>
      </c>
      <c r="BJ113" s="90" t="str">
        <f>L113</f>
        <v>2R60CR85032-53</v>
      </c>
      <c r="BK113" s="127">
        <v>43508</v>
      </c>
      <c r="BL113" s="127">
        <v>44239</v>
      </c>
      <c r="BM113" s="128">
        <f>P113*1.1</f>
        <v>1090214.4000000001</v>
      </c>
      <c r="BN113" s="129">
        <f>P113*0.9</f>
        <v>891993.59999999998</v>
      </c>
      <c r="BO113" s="130">
        <f>P113*0.8</f>
        <v>792883.20000000007</v>
      </c>
      <c r="BP113" s="90">
        <f>IF(Z113="Y",BM113*0.4,BM113*1.05)</f>
        <v>1144725.1200000001</v>
      </c>
      <c r="BQ113" s="90">
        <f>BP113*0.8</f>
        <v>915780.09600000014</v>
      </c>
      <c r="BR113" s="90" t="str">
        <f>IF(ISNUMBER(SEARCH("subrecipient",AI109)),P113*0.6,"")</f>
        <v/>
      </c>
      <c r="BS113" s="90">
        <v>102635</v>
      </c>
      <c r="BT113" s="90" t="str">
        <f>BJ113</f>
        <v>2R60CR85032-53</v>
      </c>
      <c r="BU113" s="127">
        <f>BK113</f>
        <v>43508</v>
      </c>
      <c r="BV113" s="127">
        <f>BL113</f>
        <v>44239</v>
      </c>
      <c r="BW113" s="90" t="str">
        <f>H113</f>
        <v>FDA</v>
      </c>
      <c r="BX113" s="90" t="str">
        <f>IF(H113="NATIONAL HEMOPHILIA FOUNDATION","Non Federal","Federal")</f>
        <v>Federal</v>
      </c>
      <c r="BY113" s="128">
        <f>BM113</f>
        <v>1090214.4000000001</v>
      </c>
      <c r="BZ113" s="90" t="str">
        <f>IF(LEN(BR113)&gt;0,1,"")</f>
        <v/>
      </c>
      <c r="CA113" s="90" t="str">
        <f>IF(LEN(BR113)&gt;0,"VIRAL HEPATITIS PROJECT","")</f>
        <v/>
      </c>
      <c r="CB113" s="129" t="str">
        <f>IF(LEN(BR113)&gt;0,BM113*0.7,"")</f>
        <v/>
      </c>
      <c r="CC113" s="90">
        <f>BP113</f>
        <v>1144725.1200000001</v>
      </c>
      <c r="CD113" s="90" t="str">
        <f>IF(LEN(BR113)&gt;0,"70%","")</f>
        <v/>
      </c>
      <c r="CE113" s="90">
        <f>BS113</f>
        <v>102635</v>
      </c>
      <c r="CF113" s="90" t="str">
        <f>CA113</f>
        <v/>
      </c>
      <c r="CG113" s="90"/>
      <c r="CH113" s="90"/>
      <c r="CI113" s="90"/>
      <c r="CJ113" s="90"/>
      <c r="CK113" s="90"/>
      <c r="CL113" s="90"/>
      <c r="CM113" s="90"/>
      <c r="CN113" s="90"/>
      <c r="CO113" s="90"/>
      <c r="CP113" s="90"/>
      <c r="CQ113" s="90"/>
      <c r="CR113" s="90"/>
      <c r="CS113" s="90"/>
      <c r="CT113" s="137"/>
    </row>
    <row r="114" spans="1:98" ht="60">
      <c r="A114" s="89">
        <v>102635</v>
      </c>
      <c r="B114" s="90">
        <v>2020</v>
      </c>
      <c r="C114" s="90" t="s">
        <v>81</v>
      </c>
      <c r="D114" s="90" t="s">
        <v>496</v>
      </c>
      <c r="E114" s="125" t="s">
        <v>502</v>
      </c>
      <c r="F114" s="24" t="s">
        <v>498</v>
      </c>
      <c r="G114" s="90" t="s">
        <v>85</v>
      </c>
      <c r="H114" s="90" t="s">
        <v>132</v>
      </c>
      <c r="I114" s="90">
        <v>93</v>
      </c>
      <c r="J114" s="90">
        <v>157</v>
      </c>
      <c r="K114" s="90" t="s">
        <v>85</v>
      </c>
      <c r="L114" s="90" t="s">
        <v>499</v>
      </c>
      <c r="M114" s="90" t="s">
        <v>119</v>
      </c>
      <c r="N114" s="24" t="s">
        <v>500</v>
      </c>
      <c r="O114" s="24" t="str">
        <f>IF(ISNUMBER(SEARCH("Cancer",N114)),"Cancer",IF(ISNUMBER(SEARCH("health",N114)),"Public health",IF(ISNUMBER(SEARCH("disabilities",N114)),"Disabilities","Other")))</f>
        <v>Public health</v>
      </c>
      <c r="P114" s="126">
        <v>991104</v>
      </c>
      <c r="Q114" s="90" t="s">
        <v>85</v>
      </c>
      <c r="R114" s="90" t="str">
        <f>IF(P114&gt;20000000,"B","A")</f>
        <v>A</v>
      </c>
      <c r="S114" s="90" t="s">
        <v>90</v>
      </c>
      <c r="T114" s="90" t="s">
        <v>119</v>
      </c>
      <c r="U114" s="90" t="s">
        <v>119</v>
      </c>
      <c r="V114" s="90" t="s">
        <v>119</v>
      </c>
      <c r="W114" s="90" t="s">
        <v>119</v>
      </c>
      <c r="X114" s="90" t="s">
        <v>119</v>
      </c>
      <c r="Y114" s="90" t="s">
        <v>119</v>
      </c>
      <c r="Z114" s="90" t="s">
        <v>119</v>
      </c>
      <c r="AA114" s="90" t="s">
        <v>119</v>
      </c>
      <c r="AB114" s="90" t="s">
        <v>119</v>
      </c>
      <c r="AC114" s="90" t="s">
        <v>119</v>
      </c>
      <c r="AD114" s="90" t="s">
        <v>119</v>
      </c>
      <c r="AE114" s="24">
        <v>0</v>
      </c>
      <c r="AF114" s="90">
        <v>0</v>
      </c>
      <c r="AG114" s="24">
        <v>0</v>
      </c>
      <c r="AH114" s="90">
        <v>84828</v>
      </c>
      <c r="AI114" s="24" t="s">
        <v>110</v>
      </c>
      <c r="AJ114" s="24" t="s">
        <v>503</v>
      </c>
      <c r="AK114" s="90" t="s">
        <v>85</v>
      </c>
      <c r="AL114" s="90">
        <v>102635</v>
      </c>
      <c r="AM114" s="90" t="s">
        <v>81</v>
      </c>
      <c r="AN114" s="90" t="s">
        <v>496</v>
      </c>
      <c r="AO114" s="125" t="s">
        <v>502</v>
      </c>
      <c r="AP114" s="24" t="s">
        <v>500</v>
      </c>
      <c r="AQ114" s="90" t="s">
        <v>499</v>
      </c>
      <c r="AR114" s="24" t="s">
        <v>500</v>
      </c>
      <c r="AS114" s="90" t="s">
        <v>119</v>
      </c>
      <c r="AT114" s="24" t="s">
        <v>110</v>
      </c>
      <c r="AU114" s="90" t="s">
        <v>119</v>
      </c>
      <c r="AV114" s="90" t="str">
        <f>IF(ISNUMBER(SEARCH("disagree",AE114)),"N","Y")</f>
        <v>Y</v>
      </c>
      <c r="AW114" s="90" t="s">
        <v>119</v>
      </c>
      <c r="AX114" s="24" t="s">
        <v>119</v>
      </c>
      <c r="AY114" s="90" t="str">
        <f>CONCATENATE(AZ114,BA114,BB114,BC114)</f>
        <v/>
      </c>
      <c r="AZ114" s="90" t="str">
        <f>IF(ISNUMBER(SEARCH("Y",AC114)),"R","")</f>
        <v/>
      </c>
      <c r="BA114" s="90" t="str">
        <f>IF(ISNUMBER(SEARCH("Y",Y114)),"M","")</f>
        <v/>
      </c>
      <c r="BB114" s="90" t="str">
        <f>IF(ISNUMBER(SEARCH("Y",AB114)),"QC","")</f>
        <v/>
      </c>
      <c r="BC114" s="90" t="str">
        <f>IF(ISNUMBER(SEARCH("Y",Z114)),"S","")</f>
        <v/>
      </c>
      <c r="BD114" s="90"/>
      <c r="BE114" s="24" t="s">
        <v>119</v>
      </c>
      <c r="BF114" s="125" t="str">
        <f>IF(AND(AW114&gt;=56543,AW114&lt;=76543,LEN(AW114)&gt;0),"3 Feb 2020",IF(AND(AW114&gt;=66544,AW114&lt;=99999,LEN(AW114)&gt;0),"12 Sep 2020",""))</f>
        <v/>
      </c>
      <c r="BG114" s="125" t="str">
        <f>IF((AND(BF114="3 Feb 2020",LEN(BF114)&gt;0)),"Completed",IF((AND(BF114="12 Sep 2020",LEN(BF114)&gt;0)),"Pending",""))</f>
        <v/>
      </c>
      <c r="BH114" s="90" t="str">
        <f>IF((AND(BF114="3 Feb 2020",LEN(BF114)&gt;0)),"3 Feb 2020","")</f>
        <v/>
      </c>
      <c r="BI114" s="90">
        <v>102635</v>
      </c>
      <c r="BJ114" s="90" t="str">
        <f>L114</f>
        <v>2R60CR85032-53</v>
      </c>
      <c r="BK114" s="127">
        <v>43508</v>
      </c>
      <c r="BL114" s="127">
        <v>44239</v>
      </c>
      <c r="BM114" s="128">
        <f>P114*1.1</f>
        <v>1090214.4000000001</v>
      </c>
      <c r="BN114" s="129">
        <f>P114*0.9</f>
        <v>891993.59999999998</v>
      </c>
      <c r="BO114" s="130">
        <f>P114*0.8</f>
        <v>792883.20000000007</v>
      </c>
      <c r="BP114" s="90">
        <f>IF(Z114="Y",BM114*0.4,BM114*1.05)</f>
        <v>1144725.1200000001</v>
      </c>
      <c r="BQ114" s="90">
        <f>BP114*0.8</f>
        <v>915780.09600000014</v>
      </c>
      <c r="BR114" s="90" t="str">
        <f>IF(ISNUMBER(SEARCH("subrecipient",AI110)),P114*0.6,"")</f>
        <v/>
      </c>
      <c r="BS114" s="90">
        <v>102635</v>
      </c>
      <c r="BT114" s="90" t="str">
        <f>BJ114</f>
        <v>2R60CR85032-53</v>
      </c>
      <c r="BU114" s="127">
        <f>BK114</f>
        <v>43508</v>
      </c>
      <c r="BV114" s="127">
        <f>BL114</f>
        <v>44239</v>
      </c>
      <c r="BW114" s="90" t="str">
        <f>H114</f>
        <v>FDA</v>
      </c>
      <c r="BX114" s="90" t="str">
        <f>IF(H114="NATIONAL HEMOPHILIA FOUNDATION","Non Federal","Federal")</f>
        <v>Federal</v>
      </c>
      <c r="BY114" s="128">
        <f>BM114</f>
        <v>1090214.4000000001</v>
      </c>
      <c r="BZ114" s="90" t="str">
        <f>IF(LEN(BR114)&gt;0,1,"")</f>
        <v/>
      </c>
      <c r="CA114" s="90" t="str">
        <f>IF(LEN(BR114)&gt;0,"VIRAL HEPATITIS PROJECT","")</f>
        <v/>
      </c>
      <c r="CB114" s="129" t="str">
        <f>IF(LEN(BR114)&gt;0,BM114*0.7,"")</f>
        <v/>
      </c>
      <c r="CC114" s="90">
        <f>BP114</f>
        <v>1144725.1200000001</v>
      </c>
      <c r="CD114" s="90" t="str">
        <f>IF(LEN(BR114)&gt;0,"70%","")</f>
        <v/>
      </c>
      <c r="CE114" s="90">
        <f>BS114</f>
        <v>102635</v>
      </c>
      <c r="CF114" s="90" t="str">
        <f>CA114</f>
        <v/>
      </c>
      <c r="CG114" s="90"/>
      <c r="CH114" s="90"/>
      <c r="CI114" s="90"/>
      <c r="CJ114" s="90"/>
      <c r="CK114" s="90"/>
      <c r="CL114" s="90"/>
      <c r="CM114" s="90"/>
      <c r="CN114" s="90"/>
      <c r="CO114" s="90"/>
      <c r="CP114" s="90"/>
      <c r="CQ114" s="90"/>
      <c r="CR114" s="90"/>
      <c r="CS114" s="90"/>
      <c r="CT114" s="137"/>
    </row>
    <row r="115" spans="1:98" ht="150">
      <c r="A115" s="89">
        <v>108149</v>
      </c>
      <c r="B115" s="90">
        <v>2020</v>
      </c>
      <c r="C115" s="90" t="s">
        <v>81</v>
      </c>
      <c r="D115" s="90" t="s">
        <v>504</v>
      </c>
      <c r="E115" s="125" t="s">
        <v>505</v>
      </c>
      <c r="F115" s="24" t="s">
        <v>506</v>
      </c>
      <c r="G115" s="90" t="s">
        <v>85</v>
      </c>
      <c r="H115" s="90" t="s">
        <v>150</v>
      </c>
      <c r="I115" s="90">
        <v>93</v>
      </c>
      <c r="J115" s="90">
        <v>157</v>
      </c>
      <c r="K115" s="90" t="s">
        <v>85</v>
      </c>
      <c r="L115" s="90" t="s">
        <v>507</v>
      </c>
      <c r="M115" s="90" t="s">
        <v>119</v>
      </c>
      <c r="N115" s="24" t="s">
        <v>508</v>
      </c>
      <c r="O115" s="24" t="str">
        <f>IF(ISNUMBER(SEARCH("Cancer",N115)),"Cancer",IF(ISNUMBER(SEARCH("health",N115)),"Public health",IF(ISNUMBER(SEARCH("disabilities",N115)),"Disabilities","Other")))</f>
        <v>Other</v>
      </c>
      <c r="P115" s="126">
        <v>822346</v>
      </c>
      <c r="Q115" s="90" t="s">
        <v>85</v>
      </c>
      <c r="R115" s="90" t="str">
        <f>IF(P115&gt;20000000,"B","A")</f>
        <v>A</v>
      </c>
      <c r="S115" s="90" t="s">
        <v>90</v>
      </c>
      <c r="T115" s="90" t="s">
        <v>119</v>
      </c>
      <c r="U115" s="90" t="s">
        <v>119</v>
      </c>
      <c r="V115" s="90" t="s">
        <v>119</v>
      </c>
      <c r="W115" s="90" t="s">
        <v>119</v>
      </c>
      <c r="X115" s="90" t="s">
        <v>119</v>
      </c>
      <c r="Y115" s="90" t="s">
        <v>119</v>
      </c>
      <c r="Z115" s="90" t="s">
        <v>119</v>
      </c>
      <c r="AA115" s="90" t="s">
        <v>119</v>
      </c>
      <c r="AB115" s="90" t="s">
        <v>119</v>
      </c>
      <c r="AC115" s="90" t="s">
        <v>119</v>
      </c>
      <c r="AD115" s="90" t="s">
        <v>119</v>
      </c>
      <c r="AE115" s="24">
        <v>0</v>
      </c>
      <c r="AF115" s="90">
        <v>0</v>
      </c>
      <c r="AG115" s="24">
        <v>0</v>
      </c>
      <c r="AH115" s="90">
        <v>85718</v>
      </c>
      <c r="AI115" s="24" t="s">
        <v>94</v>
      </c>
      <c r="AJ115" s="24" t="s">
        <v>509</v>
      </c>
      <c r="AK115" s="90" t="s">
        <v>85</v>
      </c>
      <c r="AL115" s="90">
        <v>108149</v>
      </c>
      <c r="AM115" s="90" t="s">
        <v>81</v>
      </c>
      <c r="AN115" s="90" t="s">
        <v>504</v>
      </c>
      <c r="AO115" s="125" t="s">
        <v>505</v>
      </c>
      <c r="AP115" s="24" t="s">
        <v>508</v>
      </c>
      <c r="AQ115" s="90" t="s">
        <v>507</v>
      </c>
      <c r="AR115" s="24" t="s">
        <v>508</v>
      </c>
      <c r="AS115" s="90" t="s">
        <v>119</v>
      </c>
      <c r="AT115" s="24" t="s">
        <v>94</v>
      </c>
      <c r="AU115" s="90" t="s">
        <v>119</v>
      </c>
      <c r="AV115" s="90" t="str">
        <f>IF(ISNUMBER(SEARCH("disagree",AE115)),"N","Y")</f>
        <v>Y</v>
      </c>
      <c r="AW115" s="90" t="s">
        <v>119</v>
      </c>
      <c r="AX115" s="24" t="s">
        <v>119</v>
      </c>
      <c r="AY115" s="90" t="str">
        <f>CONCATENATE(AZ115,BA115,BB115,BC115)</f>
        <v/>
      </c>
      <c r="AZ115" s="90" t="str">
        <f>IF(ISNUMBER(SEARCH("Y",AC115)),"R","")</f>
        <v/>
      </c>
      <c r="BA115" s="90" t="str">
        <f>IF(ISNUMBER(SEARCH("Y",Y115)),"M","")</f>
        <v/>
      </c>
      <c r="BB115" s="90" t="str">
        <f>IF(ISNUMBER(SEARCH("Y",AB115)),"QC","")</f>
        <v/>
      </c>
      <c r="BC115" s="90" t="str">
        <f>IF(ISNUMBER(SEARCH("Y",Z115)),"S","")</f>
        <v/>
      </c>
      <c r="BD115" s="90"/>
      <c r="BE115" s="24" t="s">
        <v>119</v>
      </c>
      <c r="BF115" s="125" t="str">
        <f>IF(AND(AW115&gt;=56543,AW115&lt;=76543,LEN(AW115)&gt;0),"3 Feb 2020",IF(AND(AW115&gt;=66544,AW115&lt;=99999,LEN(AW115)&gt;0),"12 Sep 2020",""))</f>
        <v/>
      </c>
      <c r="BG115" s="125" t="str">
        <f>IF((AND(BF115="3 Feb 2020",LEN(BF115)&gt;0)),"Completed",IF((AND(BF115="12 Sep 2020",LEN(BF115)&gt;0)),"Pending",""))</f>
        <v/>
      </c>
      <c r="BH115" s="90" t="str">
        <f>IF((AND(BF115="3 Feb 2020",LEN(BF115)&gt;0)),"3 Feb 2020","")</f>
        <v/>
      </c>
      <c r="BI115" s="90">
        <v>108149</v>
      </c>
      <c r="BJ115" s="90" t="str">
        <f>L115</f>
        <v>2H31HT85033-95</v>
      </c>
      <c r="BK115" s="127">
        <v>43508</v>
      </c>
      <c r="BL115" s="127">
        <v>44239</v>
      </c>
      <c r="BM115" s="128">
        <f>P115*1.1</f>
        <v>904580.60000000009</v>
      </c>
      <c r="BN115" s="129">
        <f>P115*0.9</f>
        <v>740111.4</v>
      </c>
      <c r="BO115" s="130">
        <f>P115*0.8</f>
        <v>657876.80000000005</v>
      </c>
      <c r="BP115" s="90">
        <f>IF(Z115="Y",BM115*0.4,BM115*1.05)</f>
        <v>949809.63000000012</v>
      </c>
      <c r="BQ115" s="90">
        <f>BP115*0.8</f>
        <v>759847.70400000014</v>
      </c>
      <c r="BR115" s="90" t="str">
        <f>IF(ISNUMBER(SEARCH("subrecipient",AI111)),P115*0.6,"")</f>
        <v/>
      </c>
      <c r="BS115" s="90">
        <v>108149</v>
      </c>
      <c r="BT115" s="90" t="str">
        <f>BJ115</f>
        <v>2H31HT85033-95</v>
      </c>
      <c r="BU115" s="127">
        <f>BK115</f>
        <v>43508</v>
      </c>
      <c r="BV115" s="127">
        <f>BL115</f>
        <v>44239</v>
      </c>
      <c r="BW115" s="90" t="str">
        <f>H115</f>
        <v>ACF</v>
      </c>
      <c r="BX115" s="90" t="str">
        <f>IF(H115="NATIONAL HEMOPHILIA FOUNDATION","Non Federal","Federal")</f>
        <v>Federal</v>
      </c>
      <c r="BY115" s="128">
        <f>BM115</f>
        <v>904580.60000000009</v>
      </c>
      <c r="BZ115" s="90" t="str">
        <f>IF(LEN(BR115)&gt;0,1,"")</f>
        <v/>
      </c>
      <c r="CA115" s="90" t="str">
        <f>IF(LEN(BR115)&gt;0,"VIRAL HEPATITIS PROJECT","")</f>
        <v/>
      </c>
      <c r="CB115" s="129" t="str">
        <f>IF(LEN(BR115)&gt;0,BM115*0.7,"")</f>
        <v/>
      </c>
      <c r="CC115" s="90">
        <f>BP115</f>
        <v>949809.63000000012</v>
      </c>
      <c r="CD115" s="90" t="str">
        <f>IF(LEN(BR115)&gt;0,"70%","")</f>
        <v/>
      </c>
      <c r="CE115" s="90">
        <f>BS115</f>
        <v>108149</v>
      </c>
      <c r="CF115" s="90" t="str">
        <f>CA115</f>
        <v/>
      </c>
      <c r="CG115" s="90"/>
      <c r="CH115" s="90"/>
      <c r="CI115" s="90"/>
      <c r="CJ115" s="90"/>
      <c r="CK115" s="90"/>
      <c r="CL115" s="90"/>
      <c r="CM115" s="90"/>
      <c r="CN115" s="90"/>
      <c r="CO115" s="90"/>
      <c r="CP115" s="90"/>
      <c r="CQ115" s="90"/>
      <c r="CR115" s="90"/>
      <c r="CS115" s="90"/>
      <c r="CT115" s="137"/>
    </row>
    <row r="116" spans="1:98" ht="105">
      <c r="A116" s="89">
        <v>108149</v>
      </c>
      <c r="B116" s="90">
        <v>2020</v>
      </c>
      <c r="C116" s="90" t="s">
        <v>81</v>
      </c>
      <c r="D116" s="90" t="s">
        <v>504</v>
      </c>
      <c r="E116" s="125" t="s">
        <v>510</v>
      </c>
      <c r="F116" s="24" t="s">
        <v>506</v>
      </c>
      <c r="G116" s="90" t="s">
        <v>85</v>
      </c>
      <c r="H116" s="90" t="s">
        <v>150</v>
      </c>
      <c r="I116" s="90">
        <v>93</v>
      </c>
      <c r="J116" s="90">
        <v>157</v>
      </c>
      <c r="K116" s="90" t="s">
        <v>85</v>
      </c>
      <c r="L116" s="90" t="s">
        <v>507</v>
      </c>
      <c r="M116" s="90" t="s">
        <v>119</v>
      </c>
      <c r="N116" s="24" t="s">
        <v>508</v>
      </c>
      <c r="O116" s="24" t="str">
        <f>IF(ISNUMBER(SEARCH("Cancer",N116)),"Cancer",IF(ISNUMBER(SEARCH("health",N116)),"Public health",IF(ISNUMBER(SEARCH("disabilities",N116)),"Disabilities","Other")))</f>
        <v>Other</v>
      </c>
      <c r="P116" s="126">
        <v>822346</v>
      </c>
      <c r="Q116" s="90" t="s">
        <v>85</v>
      </c>
      <c r="R116" s="90" t="str">
        <f>IF(P116&gt;20000000,"B","A")</f>
        <v>A</v>
      </c>
      <c r="S116" s="90" t="s">
        <v>90</v>
      </c>
      <c r="T116" s="90" t="s">
        <v>119</v>
      </c>
      <c r="U116" s="90" t="s">
        <v>119</v>
      </c>
      <c r="V116" s="90" t="s">
        <v>119</v>
      </c>
      <c r="W116" s="90" t="s">
        <v>119</v>
      </c>
      <c r="X116" s="90" t="s">
        <v>119</v>
      </c>
      <c r="Y116" s="90" t="s">
        <v>119</v>
      </c>
      <c r="Z116" s="90" t="s">
        <v>119</v>
      </c>
      <c r="AA116" s="90" t="s">
        <v>119</v>
      </c>
      <c r="AB116" s="90" t="s">
        <v>119</v>
      </c>
      <c r="AC116" s="90" t="s">
        <v>119</v>
      </c>
      <c r="AD116" s="90" t="s">
        <v>119</v>
      </c>
      <c r="AE116" s="24">
        <v>0</v>
      </c>
      <c r="AF116" s="90">
        <v>0</v>
      </c>
      <c r="AG116" s="24">
        <v>0</v>
      </c>
      <c r="AH116" s="90">
        <v>85716</v>
      </c>
      <c r="AI116" s="24" t="s">
        <v>102</v>
      </c>
      <c r="AJ116" s="24" t="s">
        <v>103</v>
      </c>
      <c r="AK116" s="90" t="s">
        <v>85</v>
      </c>
      <c r="AL116" s="90">
        <v>108149</v>
      </c>
      <c r="AM116" s="90" t="s">
        <v>81</v>
      </c>
      <c r="AN116" s="90" t="s">
        <v>504</v>
      </c>
      <c r="AO116" s="125" t="s">
        <v>510</v>
      </c>
      <c r="AP116" s="24" t="s">
        <v>508</v>
      </c>
      <c r="AQ116" s="90" t="s">
        <v>507</v>
      </c>
      <c r="AR116" s="24" t="s">
        <v>508</v>
      </c>
      <c r="AS116" s="90" t="s">
        <v>119</v>
      </c>
      <c r="AT116" s="24" t="s">
        <v>102</v>
      </c>
      <c r="AU116" s="90" t="s">
        <v>119</v>
      </c>
      <c r="AV116" s="90" t="str">
        <f>IF(ISNUMBER(SEARCH("disagree",AE116)),"N","Y")</f>
        <v>Y</v>
      </c>
      <c r="AW116" s="90" t="s">
        <v>119</v>
      </c>
      <c r="AX116" s="24" t="s">
        <v>119</v>
      </c>
      <c r="AY116" s="90" t="str">
        <f>CONCATENATE(AZ116,BA116,BB116,BC116)</f>
        <v/>
      </c>
      <c r="AZ116" s="90" t="str">
        <f>IF(ISNUMBER(SEARCH("Y",AC116)),"R","")</f>
        <v/>
      </c>
      <c r="BA116" s="90" t="str">
        <f>IF(ISNUMBER(SEARCH("Y",Y116)),"M","")</f>
        <v/>
      </c>
      <c r="BB116" s="90" t="str">
        <f>IF(ISNUMBER(SEARCH("Y",AB116)),"QC","")</f>
        <v/>
      </c>
      <c r="BC116" s="90" t="str">
        <f>IF(ISNUMBER(SEARCH("Y",Z116)),"S","")</f>
        <v/>
      </c>
      <c r="BD116" s="90"/>
      <c r="BE116" s="24" t="s">
        <v>119</v>
      </c>
      <c r="BF116" s="125" t="str">
        <f>IF(AND(AW116&gt;=56543,AW116&lt;=76543,LEN(AW116)&gt;0),"3 Feb 2020",IF(AND(AW116&gt;=66544,AW116&lt;=99999,LEN(AW116)&gt;0),"12 Sep 2020",""))</f>
        <v/>
      </c>
      <c r="BG116" s="125" t="str">
        <f>IF((AND(BF116="3 Feb 2020",LEN(BF116)&gt;0)),"Completed",IF((AND(BF116="12 Sep 2020",LEN(BF116)&gt;0)),"Pending",""))</f>
        <v/>
      </c>
      <c r="BH116" s="90" t="str">
        <f>IF((AND(BF116="3 Feb 2020",LEN(BF116)&gt;0)),"3 Feb 2020","")</f>
        <v/>
      </c>
      <c r="BI116" s="90">
        <v>108149</v>
      </c>
      <c r="BJ116" s="90" t="str">
        <f>L116</f>
        <v>2H31HT85033-95</v>
      </c>
      <c r="BK116" s="127">
        <v>43508</v>
      </c>
      <c r="BL116" s="127">
        <v>44239</v>
      </c>
      <c r="BM116" s="128">
        <f>P116*1.1</f>
        <v>904580.60000000009</v>
      </c>
      <c r="BN116" s="129">
        <f>P116*0.9</f>
        <v>740111.4</v>
      </c>
      <c r="BO116" s="130">
        <f>P116*0.8</f>
        <v>657876.80000000005</v>
      </c>
      <c r="BP116" s="90">
        <f>IF(Z116="Y",BM116*0.4,BM116*1.05)</f>
        <v>949809.63000000012</v>
      </c>
      <c r="BQ116" s="90">
        <f>BP116*0.8</f>
        <v>759847.70400000014</v>
      </c>
      <c r="BR116" s="90" t="str">
        <f>IF(ISNUMBER(SEARCH("subrecipient",AI112)),P116*0.6,"")</f>
        <v/>
      </c>
      <c r="BS116" s="90">
        <v>108149</v>
      </c>
      <c r="BT116" s="90" t="str">
        <f>BJ116</f>
        <v>2H31HT85033-95</v>
      </c>
      <c r="BU116" s="127">
        <f>BK116</f>
        <v>43508</v>
      </c>
      <c r="BV116" s="127">
        <f>BL116</f>
        <v>44239</v>
      </c>
      <c r="BW116" s="90" t="str">
        <f>H116</f>
        <v>ACF</v>
      </c>
      <c r="BX116" s="90" t="str">
        <f>IF(H116="NATIONAL HEMOPHILIA FOUNDATION","Non Federal","Federal")</f>
        <v>Federal</v>
      </c>
      <c r="BY116" s="128">
        <f>BM116</f>
        <v>904580.60000000009</v>
      </c>
      <c r="BZ116" s="90" t="str">
        <f>IF(LEN(BR116)&gt;0,1,"")</f>
        <v/>
      </c>
      <c r="CA116" s="90" t="str">
        <f>IF(LEN(BR116)&gt;0,"VIRAL HEPATITIS PROJECT","")</f>
        <v/>
      </c>
      <c r="CB116" s="129" t="str">
        <f>IF(LEN(BR116)&gt;0,BM116*0.7,"")</f>
        <v/>
      </c>
      <c r="CC116" s="90">
        <f>BP116</f>
        <v>949809.63000000012</v>
      </c>
      <c r="CD116" s="90" t="str">
        <f>IF(LEN(BR116)&gt;0,"70%","")</f>
        <v/>
      </c>
      <c r="CE116" s="90">
        <f>BS116</f>
        <v>108149</v>
      </c>
      <c r="CF116" s="90" t="str">
        <f>CA116</f>
        <v/>
      </c>
      <c r="CG116" s="90"/>
      <c r="CH116" s="90"/>
      <c r="CI116" s="90"/>
      <c r="CJ116" s="90"/>
      <c r="CK116" s="90"/>
      <c r="CL116" s="90"/>
      <c r="CM116" s="90"/>
      <c r="CN116" s="90"/>
      <c r="CO116" s="90"/>
      <c r="CP116" s="90"/>
      <c r="CQ116" s="90"/>
      <c r="CR116" s="90"/>
      <c r="CS116" s="90"/>
      <c r="CT116" s="137"/>
    </row>
    <row r="117" spans="1:98" ht="105">
      <c r="A117" s="89">
        <v>108149</v>
      </c>
      <c r="B117" s="90">
        <v>2020</v>
      </c>
      <c r="C117" s="90" t="s">
        <v>81</v>
      </c>
      <c r="D117" s="90" t="s">
        <v>504</v>
      </c>
      <c r="E117" s="125" t="s">
        <v>511</v>
      </c>
      <c r="F117" s="24" t="s">
        <v>506</v>
      </c>
      <c r="G117" s="90" t="s">
        <v>85</v>
      </c>
      <c r="H117" s="90" t="s">
        <v>150</v>
      </c>
      <c r="I117" s="90">
        <v>93</v>
      </c>
      <c r="J117" s="90">
        <v>157</v>
      </c>
      <c r="K117" s="90" t="s">
        <v>85</v>
      </c>
      <c r="L117" s="90" t="s">
        <v>507</v>
      </c>
      <c r="M117" s="90" t="s">
        <v>119</v>
      </c>
      <c r="N117" s="24" t="s">
        <v>508</v>
      </c>
      <c r="O117" s="24" t="str">
        <f>IF(ISNUMBER(SEARCH("Cancer",N117)),"Cancer",IF(ISNUMBER(SEARCH("health",N117)),"Public health",IF(ISNUMBER(SEARCH("disabilities",N117)),"Disabilities","Other")))</f>
        <v>Other</v>
      </c>
      <c r="P117" s="126">
        <v>822346</v>
      </c>
      <c r="Q117" s="90" t="s">
        <v>85</v>
      </c>
      <c r="R117" s="90" t="str">
        <f>IF(P117&gt;20000000,"B","A")</f>
        <v>A</v>
      </c>
      <c r="S117" s="90" t="s">
        <v>90</v>
      </c>
      <c r="T117" s="90" t="s">
        <v>119</v>
      </c>
      <c r="U117" s="90" t="s">
        <v>119</v>
      </c>
      <c r="V117" s="90" t="s">
        <v>119</v>
      </c>
      <c r="W117" s="90" t="s">
        <v>119</v>
      </c>
      <c r="X117" s="90" t="s">
        <v>119</v>
      </c>
      <c r="Y117" s="90" t="s">
        <v>119</v>
      </c>
      <c r="Z117" s="90" t="s">
        <v>119</v>
      </c>
      <c r="AA117" s="90" t="s">
        <v>119</v>
      </c>
      <c r="AB117" s="90" t="s">
        <v>119</v>
      </c>
      <c r="AC117" s="90" t="s">
        <v>119</v>
      </c>
      <c r="AD117" s="90" t="s">
        <v>119</v>
      </c>
      <c r="AE117" s="24">
        <v>0</v>
      </c>
      <c r="AF117" s="90">
        <v>0</v>
      </c>
      <c r="AG117" s="24">
        <v>0</v>
      </c>
      <c r="AH117" s="90">
        <v>85717</v>
      </c>
      <c r="AI117" s="24" t="s">
        <v>110</v>
      </c>
      <c r="AJ117" s="24" t="s">
        <v>512</v>
      </c>
      <c r="AK117" s="90" t="s">
        <v>85</v>
      </c>
      <c r="AL117" s="90">
        <v>108149</v>
      </c>
      <c r="AM117" s="90" t="s">
        <v>81</v>
      </c>
      <c r="AN117" s="90" t="s">
        <v>504</v>
      </c>
      <c r="AO117" s="125" t="s">
        <v>511</v>
      </c>
      <c r="AP117" s="24" t="s">
        <v>508</v>
      </c>
      <c r="AQ117" s="90" t="s">
        <v>507</v>
      </c>
      <c r="AR117" s="24" t="s">
        <v>508</v>
      </c>
      <c r="AS117" s="90" t="s">
        <v>119</v>
      </c>
      <c r="AT117" s="24" t="s">
        <v>110</v>
      </c>
      <c r="AU117" s="90" t="s">
        <v>119</v>
      </c>
      <c r="AV117" s="90" t="str">
        <f>IF(ISNUMBER(SEARCH("disagree",AE117)),"N","Y")</f>
        <v>Y</v>
      </c>
      <c r="AW117" s="90" t="s">
        <v>119</v>
      </c>
      <c r="AX117" s="24" t="s">
        <v>119</v>
      </c>
      <c r="AY117" s="90" t="str">
        <f>CONCATENATE(AZ117,BA117,BB117,BC117)</f>
        <v/>
      </c>
      <c r="AZ117" s="90" t="str">
        <f>IF(ISNUMBER(SEARCH("Y",AC117)),"R","")</f>
        <v/>
      </c>
      <c r="BA117" s="90" t="str">
        <f>IF(ISNUMBER(SEARCH("Y",Y117)),"M","")</f>
        <v/>
      </c>
      <c r="BB117" s="90" t="str">
        <f>IF(ISNUMBER(SEARCH("Y",AB117)),"QC","")</f>
        <v/>
      </c>
      <c r="BC117" s="90" t="str">
        <f>IF(ISNUMBER(SEARCH("Y",Z117)),"S","")</f>
        <v/>
      </c>
      <c r="BD117" s="90"/>
      <c r="BE117" s="24" t="s">
        <v>119</v>
      </c>
      <c r="BF117" s="125" t="str">
        <f>IF(AND(AW117&gt;=56543,AW117&lt;=76543,LEN(AW117)&gt;0),"3 Feb 2020",IF(AND(AW117&gt;=66544,AW117&lt;=99999,LEN(AW117)&gt;0),"12 Sep 2020",""))</f>
        <v/>
      </c>
      <c r="BG117" s="125" t="str">
        <f>IF((AND(BF117="3 Feb 2020",LEN(BF117)&gt;0)),"Completed",IF((AND(BF117="12 Sep 2020",LEN(BF117)&gt;0)),"Pending",""))</f>
        <v/>
      </c>
      <c r="BH117" s="90" t="str">
        <f>IF((AND(BF117="3 Feb 2020",LEN(BF117)&gt;0)),"3 Feb 2020","")</f>
        <v/>
      </c>
      <c r="BI117" s="90">
        <v>108149</v>
      </c>
      <c r="BJ117" s="90" t="str">
        <f>L117</f>
        <v>2H31HT85033-95</v>
      </c>
      <c r="BK117" s="127">
        <v>43508</v>
      </c>
      <c r="BL117" s="127">
        <v>44239</v>
      </c>
      <c r="BM117" s="128">
        <f>P117*1.1</f>
        <v>904580.60000000009</v>
      </c>
      <c r="BN117" s="129">
        <f>P117*0.9</f>
        <v>740111.4</v>
      </c>
      <c r="BO117" s="130">
        <f>P117*0.8</f>
        <v>657876.80000000005</v>
      </c>
      <c r="BP117" s="90">
        <f>IF(Z117="Y",BM117*0.4,BM117*1.05)</f>
        <v>949809.63000000012</v>
      </c>
      <c r="BQ117" s="90">
        <f>BP117*0.8</f>
        <v>759847.70400000014</v>
      </c>
      <c r="BR117" s="90" t="str">
        <f>IF(ISNUMBER(SEARCH("subrecipient",AI113)),P117*0.6,"")</f>
        <v/>
      </c>
      <c r="BS117" s="90">
        <v>108149</v>
      </c>
      <c r="BT117" s="90" t="str">
        <f>BJ117</f>
        <v>2H31HT85033-95</v>
      </c>
      <c r="BU117" s="127">
        <f>BK117</f>
        <v>43508</v>
      </c>
      <c r="BV117" s="127">
        <f>BL117</f>
        <v>44239</v>
      </c>
      <c r="BW117" s="90" t="str">
        <f>H117</f>
        <v>ACF</v>
      </c>
      <c r="BX117" s="90" t="str">
        <f>IF(H117="NATIONAL HEMOPHILIA FOUNDATION","Non Federal","Federal")</f>
        <v>Federal</v>
      </c>
      <c r="BY117" s="128">
        <f>BM117</f>
        <v>904580.60000000009</v>
      </c>
      <c r="BZ117" s="90" t="str">
        <f>IF(LEN(BR117)&gt;0,1,"")</f>
        <v/>
      </c>
      <c r="CA117" s="90" t="str">
        <f>IF(LEN(BR117)&gt;0,"VIRAL HEPATITIS PROJECT","")</f>
        <v/>
      </c>
      <c r="CB117" s="129" t="str">
        <f>IF(LEN(BR117)&gt;0,BM117*0.7,"")</f>
        <v/>
      </c>
      <c r="CC117" s="90">
        <f>BP117</f>
        <v>949809.63000000012</v>
      </c>
      <c r="CD117" s="90" t="str">
        <f>IF(LEN(BR117)&gt;0,"70%","")</f>
        <v/>
      </c>
      <c r="CE117" s="90">
        <f>BS117</f>
        <v>108149</v>
      </c>
      <c r="CF117" s="90" t="str">
        <f>CA117</f>
        <v/>
      </c>
      <c r="CG117" s="90"/>
      <c r="CH117" s="90"/>
      <c r="CI117" s="90"/>
      <c r="CJ117" s="90"/>
      <c r="CK117" s="90"/>
      <c r="CL117" s="90"/>
      <c r="CM117" s="90"/>
      <c r="CN117" s="90"/>
      <c r="CO117" s="90"/>
      <c r="CP117" s="90"/>
      <c r="CQ117" s="90"/>
      <c r="CR117" s="90"/>
      <c r="CS117" s="90"/>
      <c r="CT117" s="137"/>
    </row>
    <row r="118" spans="1:98" ht="135">
      <c r="A118" s="89">
        <v>111191</v>
      </c>
      <c r="B118" s="90">
        <v>2020</v>
      </c>
      <c r="C118" s="90" t="s">
        <v>81</v>
      </c>
      <c r="D118" s="90" t="s">
        <v>513</v>
      </c>
      <c r="E118" s="125" t="s">
        <v>514</v>
      </c>
      <c r="F118" s="24" t="s">
        <v>515</v>
      </c>
      <c r="G118" s="90" t="s">
        <v>85</v>
      </c>
      <c r="H118" s="90" t="s">
        <v>86</v>
      </c>
      <c r="I118" s="90">
        <v>93</v>
      </c>
      <c r="J118" s="90">
        <v>157</v>
      </c>
      <c r="K118" s="90" t="s">
        <v>85</v>
      </c>
      <c r="L118" s="90" t="s">
        <v>516</v>
      </c>
      <c r="M118" s="90" t="s">
        <v>119</v>
      </c>
      <c r="N118" s="24" t="s">
        <v>517</v>
      </c>
      <c r="O118" s="24" t="str">
        <f>IF(ISNUMBER(SEARCH("Cancer",N118)),"Cancer",IF(ISNUMBER(SEARCH("health",N118)),"Public health",IF(ISNUMBER(SEARCH("disabilities",N118)),"Disabilities","Other")))</f>
        <v>Public health</v>
      </c>
      <c r="P118" s="126">
        <v>810130</v>
      </c>
      <c r="Q118" s="90" t="s">
        <v>85</v>
      </c>
      <c r="R118" s="90" t="str">
        <f>IF(P118&gt;20000000,"B","A")</f>
        <v>A</v>
      </c>
      <c r="S118" s="90" t="s">
        <v>90</v>
      </c>
      <c r="T118" s="90" t="s">
        <v>119</v>
      </c>
      <c r="U118" s="90" t="s">
        <v>119</v>
      </c>
      <c r="V118" s="90" t="s">
        <v>119</v>
      </c>
      <c r="W118" s="90" t="s">
        <v>119</v>
      </c>
      <c r="X118" s="90" t="s">
        <v>119</v>
      </c>
      <c r="Y118" s="90" t="s">
        <v>119</v>
      </c>
      <c r="Z118" s="90" t="s">
        <v>119</v>
      </c>
      <c r="AA118" s="90" t="s">
        <v>119</v>
      </c>
      <c r="AB118" s="90" t="s">
        <v>119</v>
      </c>
      <c r="AC118" s="90" t="s">
        <v>119</v>
      </c>
      <c r="AD118" s="90" t="s">
        <v>119</v>
      </c>
      <c r="AE118" s="24">
        <v>0</v>
      </c>
      <c r="AF118" s="90">
        <v>0</v>
      </c>
      <c r="AG118" s="24">
        <v>0</v>
      </c>
      <c r="AH118" s="90">
        <v>90238</v>
      </c>
      <c r="AI118" s="24" t="s">
        <v>94</v>
      </c>
      <c r="AJ118" s="24" t="s">
        <v>518</v>
      </c>
      <c r="AK118" s="90" t="s">
        <v>85</v>
      </c>
      <c r="AL118" s="90">
        <v>111191</v>
      </c>
      <c r="AM118" s="90" t="s">
        <v>81</v>
      </c>
      <c r="AN118" s="90" t="s">
        <v>513</v>
      </c>
      <c r="AO118" s="125" t="s">
        <v>514</v>
      </c>
      <c r="AP118" s="24" t="s">
        <v>517</v>
      </c>
      <c r="AQ118" s="90" t="s">
        <v>516</v>
      </c>
      <c r="AR118" s="24" t="s">
        <v>517</v>
      </c>
      <c r="AS118" s="90" t="s">
        <v>119</v>
      </c>
      <c r="AT118" s="24" t="s">
        <v>94</v>
      </c>
      <c r="AU118" s="90" t="s">
        <v>119</v>
      </c>
      <c r="AV118" s="90" t="str">
        <f>IF(ISNUMBER(SEARCH("disagree",AE118)),"N","Y")</f>
        <v>Y</v>
      </c>
      <c r="AW118" s="90" t="s">
        <v>119</v>
      </c>
      <c r="AX118" s="24" t="s">
        <v>119</v>
      </c>
      <c r="AY118" s="90" t="str">
        <f>CONCATENATE(AZ118,BA118,BB118,BC118)</f>
        <v/>
      </c>
      <c r="AZ118" s="90" t="str">
        <f>IF(ISNUMBER(SEARCH("Y",AC118)),"R","")</f>
        <v/>
      </c>
      <c r="BA118" s="90" t="str">
        <f>IF(ISNUMBER(SEARCH("Y",Y118)),"M","")</f>
        <v/>
      </c>
      <c r="BB118" s="90" t="str">
        <f>IF(ISNUMBER(SEARCH("Y",AB118)),"QC","")</f>
        <v/>
      </c>
      <c r="BC118" s="90" t="str">
        <f>IF(ISNUMBER(SEARCH("Y",Z118)),"S","")</f>
        <v/>
      </c>
      <c r="BD118" s="90"/>
      <c r="BE118" s="24" t="s">
        <v>119</v>
      </c>
      <c r="BF118" s="125" t="str">
        <f>IF(AND(AW118&gt;=56543,AW118&lt;=76543,LEN(AW118)&gt;0),"3 Feb 2020",IF(AND(AW118&gt;=66544,AW118&lt;=99999,LEN(AW118)&gt;0),"12 Sep 2020",""))</f>
        <v/>
      </c>
      <c r="BG118" s="125" t="str">
        <f>IF((AND(BF118="3 Feb 2020",LEN(BF118)&gt;0)),"Completed",IF((AND(BF118="12 Sep 2020",LEN(BF118)&gt;0)),"Pending",""))</f>
        <v/>
      </c>
      <c r="BH118" s="90" t="str">
        <f>IF((AND(BF118="3 Feb 2020",LEN(BF118)&gt;0)),"3 Feb 2020","")</f>
        <v/>
      </c>
      <c r="BI118" s="90">
        <v>111191</v>
      </c>
      <c r="BJ118" s="90" t="str">
        <f>L118</f>
        <v>7R92IR85718-39</v>
      </c>
      <c r="BK118" s="127">
        <v>43508</v>
      </c>
      <c r="BL118" s="127">
        <v>44239</v>
      </c>
      <c r="BM118" s="128">
        <f>P118*1.1</f>
        <v>891143.00000000012</v>
      </c>
      <c r="BN118" s="129">
        <f>P118*0.9</f>
        <v>729117</v>
      </c>
      <c r="BO118" s="130">
        <f>P118*0.8</f>
        <v>648104</v>
      </c>
      <c r="BP118" s="90">
        <f>IF(Z118="Y",BM118*0.4,BM118*1.05)</f>
        <v>935700.15000000014</v>
      </c>
      <c r="BQ118" s="90">
        <f>BP118*0.8</f>
        <v>748560.12000000011</v>
      </c>
      <c r="BR118" s="90" t="str">
        <f>IF(ISNUMBER(SEARCH("subrecipient",AI114)),P118*0.6,"")</f>
        <v/>
      </c>
      <c r="BS118" s="90">
        <v>111191</v>
      </c>
      <c r="BT118" s="90" t="str">
        <f>BJ118</f>
        <v>7R92IR85718-39</v>
      </c>
      <c r="BU118" s="127">
        <f>BK118</f>
        <v>43508</v>
      </c>
      <c r="BV118" s="127">
        <f>BL118</f>
        <v>44239</v>
      </c>
      <c r="BW118" s="90" t="str">
        <f>H118</f>
        <v>CDC</v>
      </c>
      <c r="BX118" s="90" t="str">
        <f>IF(H118="NATIONAL HEMOPHILIA FOUNDATION","Non Federal","Federal")</f>
        <v>Federal</v>
      </c>
      <c r="BY118" s="128">
        <f>BM118</f>
        <v>891143.00000000012</v>
      </c>
      <c r="BZ118" s="90" t="str">
        <f>IF(LEN(BR118)&gt;0,1,"")</f>
        <v/>
      </c>
      <c r="CA118" s="90" t="str">
        <f>IF(LEN(BR118)&gt;0,"VIRAL HEPATITIS PROJECT","")</f>
        <v/>
      </c>
      <c r="CB118" s="129" t="str">
        <f>IF(LEN(BR118)&gt;0,BM118*0.7,"")</f>
        <v/>
      </c>
      <c r="CC118" s="90">
        <f>BP118</f>
        <v>935700.15000000014</v>
      </c>
      <c r="CD118" s="90" t="str">
        <f>IF(LEN(BR118)&gt;0,"70%","")</f>
        <v/>
      </c>
      <c r="CE118" s="90">
        <f>BS118</f>
        <v>111191</v>
      </c>
      <c r="CF118" s="90" t="str">
        <f>CA118</f>
        <v/>
      </c>
      <c r="CG118" s="90"/>
      <c r="CH118" s="90"/>
      <c r="CI118" s="90"/>
      <c r="CJ118" s="90"/>
      <c r="CK118" s="90"/>
      <c r="CL118" s="90"/>
      <c r="CM118" s="90"/>
      <c r="CN118" s="90"/>
      <c r="CO118" s="90"/>
      <c r="CP118" s="90"/>
      <c r="CQ118" s="90"/>
      <c r="CR118" s="90"/>
      <c r="CS118" s="90"/>
      <c r="CT118" s="137"/>
    </row>
    <row r="119" spans="1:98" ht="60">
      <c r="A119" s="89">
        <v>111191</v>
      </c>
      <c r="B119" s="90">
        <v>2020</v>
      </c>
      <c r="C119" s="90" t="s">
        <v>81</v>
      </c>
      <c r="D119" s="90" t="s">
        <v>513</v>
      </c>
      <c r="E119" s="125" t="s">
        <v>519</v>
      </c>
      <c r="F119" s="24" t="s">
        <v>515</v>
      </c>
      <c r="G119" s="90" t="s">
        <v>85</v>
      </c>
      <c r="H119" s="90" t="s">
        <v>86</v>
      </c>
      <c r="I119" s="90">
        <v>93</v>
      </c>
      <c r="J119" s="90">
        <v>157</v>
      </c>
      <c r="K119" s="90" t="s">
        <v>85</v>
      </c>
      <c r="L119" s="90" t="s">
        <v>516</v>
      </c>
      <c r="M119" s="90" t="s">
        <v>119</v>
      </c>
      <c r="N119" s="24" t="s">
        <v>517</v>
      </c>
      <c r="O119" s="24" t="str">
        <f>IF(ISNUMBER(SEARCH("Cancer",N119)),"Cancer",IF(ISNUMBER(SEARCH("health",N119)),"Public health",IF(ISNUMBER(SEARCH("disabilities",N119)),"Disabilities","Other")))</f>
        <v>Public health</v>
      </c>
      <c r="P119" s="126">
        <v>810130</v>
      </c>
      <c r="Q119" s="90" t="s">
        <v>85</v>
      </c>
      <c r="R119" s="90" t="str">
        <f>IF(P119&gt;20000000,"B","A")</f>
        <v>A</v>
      </c>
      <c r="S119" s="90" t="s">
        <v>90</v>
      </c>
      <c r="T119" s="90" t="s">
        <v>119</v>
      </c>
      <c r="U119" s="90" t="s">
        <v>119</v>
      </c>
      <c r="V119" s="90" t="s">
        <v>119</v>
      </c>
      <c r="W119" s="90" t="s">
        <v>119</v>
      </c>
      <c r="X119" s="90" t="s">
        <v>119</v>
      </c>
      <c r="Y119" s="90" t="s">
        <v>119</v>
      </c>
      <c r="Z119" s="90" t="s">
        <v>119</v>
      </c>
      <c r="AA119" s="90" t="s">
        <v>119</v>
      </c>
      <c r="AB119" s="90" t="s">
        <v>119</v>
      </c>
      <c r="AC119" s="90" t="s">
        <v>119</v>
      </c>
      <c r="AD119" s="90" t="s">
        <v>119</v>
      </c>
      <c r="AE119" s="24">
        <v>0</v>
      </c>
      <c r="AF119" s="90">
        <v>0</v>
      </c>
      <c r="AG119" s="24">
        <v>0</v>
      </c>
      <c r="AH119" s="90">
        <v>90239</v>
      </c>
      <c r="AI119" s="24" t="s">
        <v>102</v>
      </c>
      <c r="AJ119" s="24" t="s">
        <v>103</v>
      </c>
      <c r="AK119" s="90" t="s">
        <v>85</v>
      </c>
      <c r="AL119" s="90">
        <v>111191</v>
      </c>
      <c r="AM119" s="90" t="s">
        <v>81</v>
      </c>
      <c r="AN119" s="90" t="s">
        <v>513</v>
      </c>
      <c r="AO119" s="125" t="s">
        <v>519</v>
      </c>
      <c r="AP119" s="24" t="s">
        <v>517</v>
      </c>
      <c r="AQ119" s="90" t="s">
        <v>516</v>
      </c>
      <c r="AR119" s="24" t="s">
        <v>517</v>
      </c>
      <c r="AS119" s="90" t="s">
        <v>119</v>
      </c>
      <c r="AT119" s="24" t="s">
        <v>102</v>
      </c>
      <c r="AU119" s="90" t="s">
        <v>119</v>
      </c>
      <c r="AV119" s="90" t="str">
        <f>IF(ISNUMBER(SEARCH("disagree",AE119)),"N","Y")</f>
        <v>Y</v>
      </c>
      <c r="AW119" s="90" t="s">
        <v>119</v>
      </c>
      <c r="AX119" s="24" t="s">
        <v>119</v>
      </c>
      <c r="AY119" s="90" t="str">
        <f>CONCATENATE(AZ119,BA119,BB119,BC119)</f>
        <v/>
      </c>
      <c r="AZ119" s="90" t="str">
        <f>IF(ISNUMBER(SEARCH("Y",AC119)),"R","")</f>
        <v/>
      </c>
      <c r="BA119" s="90" t="str">
        <f>IF(ISNUMBER(SEARCH("Y",Y119)),"M","")</f>
        <v/>
      </c>
      <c r="BB119" s="90" t="str">
        <f>IF(ISNUMBER(SEARCH("Y",AB119)),"QC","")</f>
        <v/>
      </c>
      <c r="BC119" s="90" t="str">
        <f>IF(ISNUMBER(SEARCH("Y",Z119)),"S","")</f>
        <v/>
      </c>
      <c r="BD119" s="90"/>
      <c r="BE119" s="24" t="s">
        <v>119</v>
      </c>
      <c r="BF119" s="125" t="str">
        <f>IF(AND(AW119&gt;=56543,AW119&lt;=76543,LEN(AW119)&gt;0),"3 Feb 2020",IF(AND(AW119&gt;=66544,AW119&lt;=99999,LEN(AW119)&gt;0),"12 Sep 2020",""))</f>
        <v/>
      </c>
      <c r="BG119" s="125" t="str">
        <f>IF((AND(BF119="3 Feb 2020",LEN(BF119)&gt;0)),"Completed",IF((AND(BF119="12 Sep 2020",LEN(BF119)&gt;0)),"Pending",""))</f>
        <v/>
      </c>
      <c r="BH119" s="90" t="str">
        <f>IF((AND(BF119="3 Feb 2020",LEN(BF119)&gt;0)),"3 Feb 2020","")</f>
        <v/>
      </c>
      <c r="BI119" s="90">
        <v>111191</v>
      </c>
      <c r="BJ119" s="90" t="str">
        <f>L119</f>
        <v>7R92IR85718-39</v>
      </c>
      <c r="BK119" s="127">
        <v>43508</v>
      </c>
      <c r="BL119" s="127">
        <v>44239</v>
      </c>
      <c r="BM119" s="128">
        <f>P119*1.1</f>
        <v>891143.00000000012</v>
      </c>
      <c r="BN119" s="129">
        <f>P119*0.9</f>
        <v>729117</v>
      </c>
      <c r="BO119" s="130">
        <f>P119*0.8</f>
        <v>648104</v>
      </c>
      <c r="BP119" s="90">
        <f>IF(Z119="Y",BM119*0.4,BM119*1.05)</f>
        <v>935700.15000000014</v>
      </c>
      <c r="BQ119" s="90">
        <f>BP119*0.8</f>
        <v>748560.12000000011</v>
      </c>
      <c r="BR119" s="90" t="str">
        <f>IF(ISNUMBER(SEARCH("subrecipient",AI115)),P119*0.6,"")</f>
        <v/>
      </c>
      <c r="BS119" s="90">
        <v>111191</v>
      </c>
      <c r="BT119" s="90" t="str">
        <f>BJ119</f>
        <v>7R92IR85718-39</v>
      </c>
      <c r="BU119" s="127">
        <f>BK119</f>
        <v>43508</v>
      </c>
      <c r="BV119" s="127">
        <f>BL119</f>
        <v>44239</v>
      </c>
      <c r="BW119" s="90" t="str">
        <f>H119</f>
        <v>CDC</v>
      </c>
      <c r="BX119" s="90" t="str">
        <f>IF(H119="NATIONAL HEMOPHILIA FOUNDATION","Non Federal","Federal")</f>
        <v>Federal</v>
      </c>
      <c r="BY119" s="128">
        <f>BM119</f>
        <v>891143.00000000012</v>
      </c>
      <c r="BZ119" s="90" t="str">
        <f>IF(LEN(BR119)&gt;0,1,"")</f>
        <v/>
      </c>
      <c r="CA119" s="90" t="str">
        <f>IF(LEN(BR119)&gt;0,"VIRAL HEPATITIS PROJECT","")</f>
        <v/>
      </c>
      <c r="CB119" s="129" t="str">
        <f>IF(LEN(BR119)&gt;0,BM119*0.7,"")</f>
        <v/>
      </c>
      <c r="CC119" s="90">
        <f>BP119</f>
        <v>935700.15000000014</v>
      </c>
      <c r="CD119" s="90" t="str">
        <f>IF(LEN(BR119)&gt;0,"70%","")</f>
        <v/>
      </c>
      <c r="CE119" s="90">
        <f>BS119</f>
        <v>111191</v>
      </c>
      <c r="CF119" s="90" t="str">
        <f>CA119</f>
        <v/>
      </c>
      <c r="CG119" s="90"/>
      <c r="CH119" s="90"/>
      <c r="CI119" s="90"/>
      <c r="CJ119" s="90"/>
      <c r="CK119" s="90"/>
      <c r="CL119" s="90"/>
      <c r="CM119" s="90"/>
      <c r="CN119" s="90"/>
      <c r="CO119" s="90"/>
      <c r="CP119" s="90"/>
      <c r="CQ119" s="90"/>
      <c r="CR119" s="90"/>
      <c r="CS119" s="90"/>
      <c r="CT119" s="137"/>
    </row>
    <row r="120" spans="1:98" ht="165">
      <c r="A120" s="89">
        <v>111191</v>
      </c>
      <c r="B120" s="90">
        <v>2020</v>
      </c>
      <c r="C120" s="90" t="s">
        <v>81</v>
      </c>
      <c r="D120" s="90" t="s">
        <v>513</v>
      </c>
      <c r="E120" s="125" t="s">
        <v>520</v>
      </c>
      <c r="F120" s="24" t="s">
        <v>515</v>
      </c>
      <c r="G120" s="90" t="s">
        <v>85</v>
      </c>
      <c r="H120" s="90" t="s">
        <v>86</v>
      </c>
      <c r="I120" s="90">
        <v>93</v>
      </c>
      <c r="J120" s="90">
        <v>157</v>
      </c>
      <c r="K120" s="90" t="s">
        <v>85</v>
      </c>
      <c r="L120" s="90" t="s">
        <v>516</v>
      </c>
      <c r="M120" s="90" t="s">
        <v>119</v>
      </c>
      <c r="N120" s="24" t="s">
        <v>517</v>
      </c>
      <c r="O120" s="24" t="str">
        <f>IF(ISNUMBER(SEARCH("Cancer",N120)),"Cancer",IF(ISNUMBER(SEARCH("health",N120)),"Public health",IF(ISNUMBER(SEARCH("disabilities",N120)),"Disabilities","Other")))</f>
        <v>Public health</v>
      </c>
      <c r="P120" s="126">
        <v>810130</v>
      </c>
      <c r="Q120" s="90" t="s">
        <v>85</v>
      </c>
      <c r="R120" s="90" t="str">
        <f>IF(P120&gt;20000000,"B","A")</f>
        <v>A</v>
      </c>
      <c r="S120" s="90" t="s">
        <v>90</v>
      </c>
      <c r="T120" s="90" t="s">
        <v>119</v>
      </c>
      <c r="U120" s="90" t="s">
        <v>119</v>
      </c>
      <c r="V120" s="90" t="s">
        <v>119</v>
      </c>
      <c r="W120" s="90" t="s">
        <v>119</v>
      </c>
      <c r="X120" s="90" t="s">
        <v>119</v>
      </c>
      <c r="Y120" s="90" t="s">
        <v>119</v>
      </c>
      <c r="Z120" s="90" t="s">
        <v>119</v>
      </c>
      <c r="AA120" s="90" t="s">
        <v>119</v>
      </c>
      <c r="AB120" s="90" t="s">
        <v>119</v>
      </c>
      <c r="AC120" s="90" t="s">
        <v>119</v>
      </c>
      <c r="AD120" s="90" t="s">
        <v>119</v>
      </c>
      <c r="AE120" s="24">
        <v>0</v>
      </c>
      <c r="AF120" s="90">
        <v>0</v>
      </c>
      <c r="AG120" s="24">
        <v>0</v>
      </c>
      <c r="AH120" s="90">
        <v>90240</v>
      </c>
      <c r="AI120" s="24" t="s">
        <v>110</v>
      </c>
      <c r="AJ120" s="24" t="s">
        <v>521</v>
      </c>
      <c r="AK120" s="90" t="s">
        <v>85</v>
      </c>
      <c r="AL120" s="90">
        <v>111191</v>
      </c>
      <c r="AM120" s="90" t="s">
        <v>81</v>
      </c>
      <c r="AN120" s="90" t="s">
        <v>513</v>
      </c>
      <c r="AO120" s="125" t="s">
        <v>520</v>
      </c>
      <c r="AP120" s="24" t="s">
        <v>517</v>
      </c>
      <c r="AQ120" s="90" t="s">
        <v>516</v>
      </c>
      <c r="AR120" s="24" t="s">
        <v>517</v>
      </c>
      <c r="AS120" s="90" t="s">
        <v>119</v>
      </c>
      <c r="AT120" s="24" t="s">
        <v>110</v>
      </c>
      <c r="AU120" s="90" t="s">
        <v>119</v>
      </c>
      <c r="AV120" s="90" t="str">
        <f>IF(ISNUMBER(SEARCH("disagree",AE120)),"N","Y")</f>
        <v>Y</v>
      </c>
      <c r="AW120" s="90" t="s">
        <v>119</v>
      </c>
      <c r="AX120" s="24" t="s">
        <v>119</v>
      </c>
      <c r="AY120" s="90" t="str">
        <f>CONCATENATE(AZ120,BA120,BB120,BC120)</f>
        <v/>
      </c>
      <c r="AZ120" s="90" t="str">
        <f>IF(ISNUMBER(SEARCH("Y",AC120)),"R","")</f>
        <v/>
      </c>
      <c r="BA120" s="90" t="str">
        <f>IF(ISNUMBER(SEARCH("Y",Y120)),"M","")</f>
        <v/>
      </c>
      <c r="BB120" s="90" t="str">
        <f>IF(ISNUMBER(SEARCH("Y",AB120)),"QC","")</f>
        <v/>
      </c>
      <c r="BC120" s="90" t="str">
        <f>IF(ISNUMBER(SEARCH("Y",Z120)),"S","")</f>
        <v/>
      </c>
      <c r="BD120" s="90"/>
      <c r="BE120" s="24" t="s">
        <v>119</v>
      </c>
      <c r="BF120" s="125" t="str">
        <f>IF(AND(AW120&gt;=56543,AW120&lt;=76543,LEN(AW120)&gt;0),"3 Feb 2020",IF(AND(AW120&gt;=66544,AW120&lt;=99999,LEN(AW120)&gt;0),"12 Sep 2020",""))</f>
        <v/>
      </c>
      <c r="BG120" s="125" t="str">
        <f>IF((AND(BF120="3 Feb 2020",LEN(BF120)&gt;0)),"Completed",IF((AND(BF120="12 Sep 2020",LEN(BF120)&gt;0)),"Pending",""))</f>
        <v/>
      </c>
      <c r="BH120" s="90" t="str">
        <f>IF((AND(BF120="3 Feb 2020",LEN(BF120)&gt;0)),"3 Feb 2020","")</f>
        <v/>
      </c>
      <c r="BI120" s="90">
        <v>111191</v>
      </c>
      <c r="BJ120" s="90" t="str">
        <f>L120</f>
        <v>7R92IR85718-39</v>
      </c>
      <c r="BK120" s="127">
        <v>43508</v>
      </c>
      <c r="BL120" s="127">
        <v>44239</v>
      </c>
      <c r="BM120" s="128">
        <f>P120*1.1</f>
        <v>891143.00000000012</v>
      </c>
      <c r="BN120" s="129">
        <f>P120*0.9</f>
        <v>729117</v>
      </c>
      <c r="BO120" s="130">
        <f>P120*0.8</f>
        <v>648104</v>
      </c>
      <c r="BP120" s="90">
        <f>IF(Z120="Y",BM120*0.4,BM120*1.05)</f>
        <v>935700.15000000014</v>
      </c>
      <c r="BQ120" s="90">
        <f>BP120*0.8</f>
        <v>748560.12000000011</v>
      </c>
      <c r="BR120" s="90" t="str">
        <f>IF(ISNUMBER(SEARCH("subrecipient",AI116)),P120*0.6,"")</f>
        <v/>
      </c>
      <c r="BS120" s="90">
        <v>111191</v>
      </c>
      <c r="BT120" s="90" t="str">
        <f>BJ120</f>
        <v>7R92IR85718-39</v>
      </c>
      <c r="BU120" s="127">
        <f>BK120</f>
        <v>43508</v>
      </c>
      <c r="BV120" s="127">
        <f>BL120</f>
        <v>44239</v>
      </c>
      <c r="BW120" s="90" t="str">
        <f>H120</f>
        <v>CDC</v>
      </c>
      <c r="BX120" s="90" t="str">
        <f>IF(H120="NATIONAL HEMOPHILIA FOUNDATION","Non Federal","Federal")</f>
        <v>Federal</v>
      </c>
      <c r="BY120" s="128">
        <f>BM120</f>
        <v>891143.00000000012</v>
      </c>
      <c r="BZ120" s="90" t="str">
        <f>IF(LEN(BR120)&gt;0,1,"")</f>
        <v/>
      </c>
      <c r="CA120" s="90" t="str">
        <f>IF(LEN(BR120)&gt;0,"VIRAL HEPATITIS PROJECT","")</f>
        <v/>
      </c>
      <c r="CB120" s="129" t="str">
        <f>IF(LEN(BR120)&gt;0,BM120*0.7,"")</f>
        <v/>
      </c>
      <c r="CC120" s="90">
        <f>BP120</f>
        <v>935700.15000000014</v>
      </c>
      <c r="CD120" s="90" t="str">
        <f>IF(LEN(BR120)&gt;0,"70%","")</f>
        <v/>
      </c>
      <c r="CE120" s="90">
        <f>BS120</f>
        <v>111191</v>
      </c>
      <c r="CF120" s="90" t="str">
        <f>CA120</f>
        <v/>
      </c>
      <c r="CG120" s="90"/>
      <c r="CH120" s="90"/>
      <c r="CI120" s="90"/>
      <c r="CJ120" s="90"/>
      <c r="CK120" s="90"/>
      <c r="CL120" s="90"/>
      <c r="CM120" s="90"/>
      <c r="CN120" s="90"/>
      <c r="CO120" s="90"/>
      <c r="CP120" s="90"/>
      <c r="CQ120" s="90"/>
      <c r="CR120" s="90"/>
      <c r="CS120" s="90"/>
      <c r="CT120" s="137"/>
    </row>
    <row r="121" spans="1:98" ht="90">
      <c r="A121" s="89">
        <v>112930</v>
      </c>
      <c r="B121" s="90">
        <v>2020</v>
      </c>
      <c r="C121" s="90" t="s">
        <v>81</v>
      </c>
      <c r="D121" s="90" t="s">
        <v>522</v>
      </c>
      <c r="E121" s="125" t="s">
        <v>523</v>
      </c>
      <c r="F121" s="24" t="s">
        <v>524</v>
      </c>
      <c r="G121" s="90" t="s">
        <v>85</v>
      </c>
      <c r="H121" s="90" t="s">
        <v>117</v>
      </c>
      <c r="I121" s="90">
        <v>93</v>
      </c>
      <c r="J121" s="90">
        <v>157</v>
      </c>
      <c r="K121" s="90" t="s">
        <v>85</v>
      </c>
      <c r="L121" s="90" t="s">
        <v>525</v>
      </c>
      <c r="M121" s="90" t="s">
        <v>119</v>
      </c>
      <c r="N121" s="24" t="s">
        <v>526</v>
      </c>
      <c r="O121" s="24" t="str">
        <f>IF(ISNUMBER(SEARCH("Cancer",N121)),"Cancer",IF(ISNUMBER(SEARCH("health",N121)),"Public health",IF(ISNUMBER(SEARCH("disabilities",N121)),"Disabilities","Other")))</f>
        <v>Public health</v>
      </c>
      <c r="P121" s="126">
        <v>994679</v>
      </c>
      <c r="Q121" s="90" t="s">
        <v>85</v>
      </c>
      <c r="R121" s="90" t="str">
        <f>IF(P121&gt;20000000,"B","A")</f>
        <v>A</v>
      </c>
      <c r="S121" s="90" t="s">
        <v>90</v>
      </c>
      <c r="T121" s="90" t="s">
        <v>119</v>
      </c>
      <c r="U121" s="90" t="s">
        <v>119</v>
      </c>
      <c r="V121" s="90" t="s">
        <v>119</v>
      </c>
      <c r="W121" s="90" t="s">
        <v>119</v>
      </c>
      <c r="X121" s="90" t="s">
        <v>119</v>
      </c>
      <c r="Y121" s="90" t="s">
        <v>119</v>
      </c>
      <c r="Z121" s="90" t="s">
        <v>119</v>
      </c>
      <c r="AA121" s="90" t="s">
        <v>119</v>
      </c>
      <c r="AB121" s="90" t="s">
        <v>119</v>
      </c>
      <c r="AC121" s="90" t="s">
        <v>119</v>
      </c>
      <c r="AD121" s="90" t="s">
        <v>119</v>
      </c>
      <c r="AE121" s="24">
        <v>0</v>
      </c>
      <c r="AF121" s="90">
        <v>0</v>
      </c>
      <c r="AG121" s="24">
        <v>0</v>
      </c>
      <c r="AH121" s="90">
        <v>88653</v>
      </c>
      <c r="AI121" s="24" t="s">
        <v>94</v>
      </c>
      <c r="AJ121" s="24" t="s">
        <v>527</v>
      </c>
      <c r="AK121" s="90" t="s">
        <v>85</v>
      </c>
      <c r="AL121" s="90">
        <v>112930</v>
      </c>
      <c r="AM121" s="90" t="s">
        <v>81</v>
      </c>
      <c r="AN121" s="90" t="s">
        <v>522</v>
      </c>
      <c r="AO121" s="125" t="s">
        <v>523</v>
      </c>
      <c r="AP121" s="24" t="s">
        <v>526</v>
      </c>
      <c r="AQ121" s="90" t="s">
        <v>525</v>
      </c>
      <c r="AR121" s="24" t="s">
        <v>526</v>
      </c>
      <c r="AS121" s="90" t="s">
        <v>119</v>
      </c>
      <c r="AT121" s="24" t="s">
        <v>94</v>
      </c>
      <c r="AU121" s="90" t="s">
        <v>119</v>
      </c>
      <c r="AV121" s="90" t="str">
        <f>IF(ISNUMBER(SEARCH("disagree",AE121)),"N","Y")</f>
        <v>Y</v>
      </c>
      <c r="AW121" s="90" t="s">
        <v>119</v>
      </c>
      <c r="AX121" s="24" t="s">
        <v>119</v>
      </c>
      <c r="AY121" s="90" t="str">
        <f>CONCATENATE(AZ121,BA121,BB121,BC121)</f>
        <v/>
      </c>
      <c r="AZ121" s="90" t="str">
        <f>IF(ISNUMBER(SEARCH("Y",AC121)),"R","")</f>
        <v/>
      </c>
      <c r="BA121" s="90" t="str">
        <f>IF(ISNUMBER(SEARCH("Y",Y121)),"M","")</f>
        <v/>
      </c>
      <c r="BB121" s="90" t="str">
        <f>IF(ISNUMBER(SEARCH("Y",AB121)),"QC","")</f>
        <v/>
      </c>
      <c r="BC121" s="90" t="str">
        <f>IF(ISNUMBER(SEARCH("Y",Z121)),"S","")</f>
        <v/>
      </c>
      <c r="BD121" s="90"/>
      <c r="BE121" s="24" t="s">
        <v>119</v>
      </c>
      <c r="BF121" s="125" t="str">
        <f>IF(AND(AW121&gt;=56543,AW121&lt;=76543,LEN(AW121)&gt;0),"3 Feb 2020",IF(AND(AW121&gt;=66544,AW121&lt;=99999,LEN(AW121)&gt;0),"12 Sep 2020",""))</f>
        <v/>
      </c>
      <c r="BG121" s="125" t="str">
        <f>IF((AND(BF121="3 Feb 2020",LEN(BF121)&gt;0)),"Completed",IF((AND(BF121="12 Sep 2020",LEN(BF121)&gt;0)),"Pending",""))</f>
        <v/>
      </c>
      <c r="BH121" s="90" t="str">
        <f>IF((AND(BF121="3 Feb 2020",LEN(BF121)&gt;0)),"3 Feb 2020","")</f>
        <v/>
      </c>
      <c r="BI121" s="90">
        <v>112930</v>
      </c>
      <c r="BJ121" s="90" t="str">
        <f>L121</f>
        <v>1H40ET85717-96</v>
      </c>
      <c r="BK121" s="127">
        <v>43508</v>
      </c>
      <c r="BL121" s="127">
        <v>44239</v>
      </c>
      <c r="BM121" s="128">
        <f>P121*1.1</f>
        <v>1094146.9000000001</v>
      </c>
      <c r="BN121" s="129">
        <f>P121*0.9</f>
        <v>895211.1</v>
      </c>
      <c r="BO121" s="130">
        <f>P121*0.8</f>
        <v>795743.20000000007</v>
      </c>
      <c r="BP121" s="90">
        <f>IF(Z121="Y",BM121*0.4,BM121*1.05)</f>
        <v>1148854.2450000001</v>
      </c>
      <c r="BQ121" s="90">
        <f>BP121*0.8</f>
        <v>919083.39600000018</v>
      </c>
      <c r="BR121" s="90" t="str">
        <f>IF(ISNUMBER(SEARCH("subrecipient",AI117)),P121*0.6,"")</f>
        <v/>
      </c>
      <c r="BS121" s="90">
        <v>112930</v>
      </c>
      <c r="BT121" s="90" t="str">
        <f>BJ121</f>
        <v>1H40ET85717-96</v>
      </c>
      <c r="BU121" s="127">
        <f>BK121</f>
        <v>43508</v>
      </c>
      <c r="BV121" s="127">
        <f>BL121</f>
        <v>44239</v>
      </c>
      <c r="BW121" s="90" t="str">
        <f>H121</f>
        <v>NIH</v>
      </c>
      <c r="BX121" s="90" t="str">
        <f>IF(H121="NATIONAL HEMOPHILIA FOUNDATION","Non Federal","Federal")</f>
        <v>Federal</v>
      </c>
      <c r="BY121" s="128">
        <f>BM121</f>
        <v>1094146.9000000001</v>
      </c>
      <c r="BZ121" s="90" t="str">
        <f>IF(LEN(BR121)&gt;0,1,"")</f>
        <v/>
      </c>
      <c r="CA121" s="90" t="str">
        <f>IF(LEN(BR121)&gt;0,"VIRAL HEPATITIS PROJECT","")</f>
        <v/>
      </c>
      <c r="CB121" s="129" t="str">
        <f>IF(LEN(BR121)&gt;0,BM121*0.7,"")</f>
        <v/>
      </c>
      <c r="CC121" s="90">
        <f>BP121</f>
        <v>1148854.2450000001</v>
      </c>
      <c r="CD121" s="90" t="str">
        <f>IF(LEN(BR121)&gt;0,"70%","")</f>
        <v/>
      </c>
      <c r="CE121" s="90">
        <f>BS121</f>
        <v>112930</v>
      </c>
      <c r="CF121" s="90" t="str">
        <f>CA121</f>
        <v/>
      </c>
      <c r="CG121" s="90"/>
      <c r="CH121" s="90"/>
      <c r="CI121" s="90"/>
      <c r="CJ121" s="90"/>
      <c r="CK121" s="90"/>
      <c r="CL121" s="90"/>
      <c r="CM121" s="90"/>
      <c r="CN121" s="90"/>
      <c r="CO121" s="90"/>
      <c r="CP121" s="90"/>
      <c r="CQ121" s="90"/>
      <c r="CR121" s="90"/>
      <c r="CS121" s="90"/>
      <c r="CT121" s="137"/>
    </row>
    <row r="122" spans="1:98" ht="90">
      <c r="A122" s="89">
        <v>112930</v>
      </c>
      <c r="B122" s="90">
        <v>2020</v>
      </c>
      <c r="C122" s="90" t="s">
        <v>81</v>
      </c>
      <c r="D122" s="90" t="s">
        <v>522</v>
      </c>
      <c r="E122" s="125" t="s">
        <v>528</v>
      </c>
      <c r="F122" s="24" t="s">
        <v>524</v>
      </c>
      <c r="G122" s="90" t="s">
        <v>85</v>
      </c>
      <c r="H122" s="90" t="s">
        <v>117</v>
      </c>
      <c r="I122" s="90">
        <v>93</v>
      </c>
      <c r="J122" s="90">
        <v>157</v>
      </c>
      <c r="K122" s="90" t="s">
        <v>85</v>
      </c>
      <c r="L122" s="90" t="s">
        <v>525</v>
      </c>
      <c r="M122" s="90" t="s">
        <v>119</v>
      </c>
      <c r="N122" s="24" t="s">
        <v>526</v>
      </c>
      <c r="O122" s="24" t="str">
        <f>IF(ISNUMBER(SEARCH("Cancer",N122)),"Cancer",IF(ISNUMBER(SEARCH("health",N122)),"Public health",IF(ISNUMBER(SEARCH("disabilities",N122)),"Disabilities","Other")))</f>
        <v>Public health</v>
      </c>
      <c r="P122" s="126">
        <v>994679</v>
      </c>
      <c r="Q122" s="90" t="s">
        <v>85</v>
      </c>
      <c r="R122" s="90" t="str">
        <f>IF(P122&gt;20000000,"B","A")</f>
        <v>A</v>
      </c>
      <c r="S122" s="90" t="s">
        <v>90</v>
      </c>
      <c r="T122" s="90" t="s">
        <v>119</v>
      </c>
      <c r="U122" s="90" t="s">
        <v>119</v>
      </c>
      <c r="V122" s="90" t="s">
        <v>119</v>
      </c>
      <c r="W122" s="90" t="s">
        <v>119</v>
      </c>
      <c r="X122" s="90" t="s">
        <v>119</v>
      </c>
      <c r="Y122" s="90" t="s">
        <v>119</v>
      </c>
      <c r="Z122" s="90" t="s">
        <v>119</v>
      </c>
      <c r="AA122" s="90" t="s">
        <v>119</v>
      </c>
      <c r="AB122" s="90" t="s">
        <v>119</v>
      </c>
      <c r="AC122" s="90" t="s">
        <v>119</v>
      </c>
      <c r="AD122" s="90" t="s">
        <v>119</v>
      </c>
      <c r="AE122" s="24">
        <v>0</v>
      </c>
      <c r="AF122" s="90">
        <v>0</v>
      </c>
      <c r="AG122" s="24">
        <v>0</v>
      </c>
      <c r="AH122" s="90">
        <v>88654</v>
      </c>
      <c r="AI122" s="24" t="s">
        <v>102</v>
      </c>
      <c r="AJ122" s="24" t="s">
        <v>103</v>
      </c>
      <c r="AK122" s="90" t="s">
        <v>85</v>
      </c>
      <c r="AL122" s="90">
        <v>112930</v>
      </c>
      <c r="AM122" s="90" t="s">
        <v>81</v>
      </c>
      <c r="AN122" s="90" t="s">
        <v>522</v>
      </c>
      <c r="AO122" s="125" t="s">
        <v>528</v>
      </c>
      <c r="AP122" s="24" t="s">
        <v>526</v>
      </c>
      <c r="AQ122" s="90" t="s">
        <v>525</v>
      </c>
      <c r="AR122" s="24" t="s">
        <v>526</v>
      </c>
      <c r="AS122" s="90" t="s">
        <v>119</v>
      </c>
      <c r="AT122" s="24" t="s">
        <v>102</v>
      </c>
      <c r="AU122" s="90" t="s">
        <v>119</v>
      </c>
      <c r="AV122" s="90" t="str">
        <f>IF(ISNUMBER(SEARCH("disagree",AE122)),"N","Y")</f>
        <v>Y</v>
      </c>
      <c r="AW122" s="90" t="s">
        <v>119</v>
      </c>
      <c r="AX122" s="24" t="s">
        <v>119</v>
      </c>
      <c r="AY122" s="90" t="str">
        <f>CONCATENATE(AZ122,BA122,BB122,BC122)</f>
        <v/>
      </c>
      <c r="AZ122" s="90" t="str">
        <f>IF(ISNUMBER(SEARCH("Y",AC122)),"R","")</f>
        <v/>
      </c>
      <c r="BA122" s="90" t="str">
        <f>IF(ISNUMBER(SEARCH("Y",Y122)),"M","")</f>
        <v/>
      </c>
      <c r="BB122" s="90" t="str">
        <f>IF(ISNUMBER(SEARCH("Y",AB122)),"QC","")</f>
        <v/>
      </c>
      <c r="BC122" s="90" t="str">
        <f>IF(ISNUMBER(SEARCH("Y",Z122)),"S","")</f>
        <v/>
      </c>
      <c r="BD122" s="90"/>
      <c r="BE122" s="24" t="s">
        <v>119</v>
      </c>
      <c r="BF122" s="125" t="str">
        <f>IF(AND(AW122&gt;=56543,AW122&lt;=76543,LEN(AW122)&gt;0),"3 Feb 2020",IF(AND(AW122&gt;=66544,AW122&lt;=99999,LEN(AW122)&gt;0),"12 Sep 2020",""))</f>
        <v/>
      </c>
      <c r="BG122" s="125" t="str">
        <f>IF((AND(BF122="3 Feb 2020",LEN(BF122)&gt;0)),"Completed",IF((AND(BF122="12 Sep 2020",LEN(BF122)&gt;0)),"Pending",""))</f>
        <v/>
      </c>
      <c r="BH122" s="90" t="str">
        <f>IF((AND(BF122="3 Feb 2020",LEN(BF122)&gt;0)),"3 Feb 2020","")</f>
        <v/>
      </c>
      <c r="BI122" s="90">
        <v>112930</v>
      </c>
      <c r="BJ122" s="90" t="str">
        <f>L122</f>
        <v>1H40ET85717-96</v>
      </c>
      <c r="BK122" s="127">
        <v>43508</v>
      </c>
      <c r="BL122" s="127">
        <v>44239</v>
      </c>
      <c r="BM122" s="128">
        <f>P122*1.1</f>
        <v>1094146.9000000001</v>
      </c>
      <c r="BN122" s="129">
        <f>P122*0.9</f>
        <v>895211.1</v>
      </c>
      <c r="BO122" s="130">
        <f>P122*0.8</f>
        <v>795743.20000000007</v>
      </c>
      <c r="BP122" s="90">
        <f>IF(Z122="Y",BM122*0.4,BM122*1.05)</f>
        <v>1148854.2450000001</v>
      </c>
      <c r="BQ122" s="90">
        <f>BP122*0.8</f>
        <v>919083.39600000018</v>
      </c>
      <c r="BR122" s="90" t="str">
        <f>IF(ISNUMBER(SEARCH("subrecipient",AI118)),P122*0.6,"")</f>
        <v/>
      </c>
      <c r="BS122" s="90">
        <v>112930</v>
      </c>
      <c r="BT122" s="90" t="str">
        <f>BJ122</f>
        <v>1H40ET85717-96</v>
      </c>
      <c r="BU122" s="127">
        <f>BK122</f>
        <v>43508</v>
      </c>
      <c r="BV122" s="127">
        <f>BL122</f>
        <v>44239</v>
      </c>
      <c r="BW122" s="90" t="str">
        <f>H122</f>
        <v>NIH</v>
      </c>
      <c r="BX122" s="90" t="str">
        <f>IF(H122="NATIONAL HEMOPHILIA FOUNDATION","Non Federal","Federal")</f>
        <v>Federal</v>
      </c>
      <c r="BY122" s="128">
        <f>BM122</f>
        <v>1094146.9000000001</v>
      </c>
      <c r="BZ122" s="90" t="str">
        <f>IF(LEN(BR122)&gt;0,1,"")</f>
        <v/>
      </c>
      <c r="CA122" s="90" t="str">
        <f>IF(LEN(BR122)&gt;0,"VIRAL HEPATITIS PROJECT","")</f>
        <v/>
      </c>
      <c r="CB122" s="129" t="str">
        <f>IF(LEN(BR122)&gt;0,BM122*0.7,"")</f>
        <v/>
      </c>
      <c r="CC122" s="90">
        <f>BP122</f>
        <v>1148854.2450000001</v>
      </c>
      <c r="CD122" s="90" t="str">
        <f>IF(LEN(BR122)&gt;0,"70%","")</f>
        <v/>
      </c>
      <c r="CE122" s="90">
        <f>BS122</f>
        <v>112930</v>
      </c>
      <c r="CF122" s="90" t="str">
        <f>CA122</f>
        <v/>
      </c>
      <c r="CG122" s="90"/>
      <c r="CH122" s="90"/>
      <c r="CI122" s="90"/>
      <c r="CJ122" s="90"/>
      <c r="CK122" s="90"/>
      <c r="CL122" s="90"/>
      <c r="CM122" s="90"/>
      <c r="CN122" s="90"/>
      <c r="CO122" s="90"/>
      <c r="CP122" s="90"/>
      <c r="CQ122" s="90"/>
      <c r="CR122" s="90"/>
      <c r="CS122" s="90"/>
      <c r="CT122" s="137"/>
    </row>
    <row r="123" spans="1:98" ht="105">
      <c r="A123" s="89">
        <v>120400</v>
      </c>
      <c r="B123" s="90">
        <v>2020</v>
      </c>
      <c r="C123" s="90" t="s">
        <v>81</v>
      </c>
      <c r="D123" s="90" t="s">
        <v>529</v>
      </c>
      <c r="E123" s="125" t="s">
        <v>530</v>
      </c>
      <c r="F123" s="24" t="s">
        <v>531</v>
      </c>
      <c r="G123" s="90" t="s">
        <v>85</v>
      </c>
      <c r="H123" s="90" t="s">
        <v>132</v>
      </c>
      <c r="I123" s="90">
        <v>93</v>
      </c>
      <c r="J123" s="90">
        <v>157</v>
      </c>
      <c r="K123" s="90" t="s">
        <v>85</v>
      </c>
      <c r="L123" s="90" t="s">
        <v>532</v>
      </c>
      <c r="M123" s="90" t="s">
        <v>119</v>
      </c>
      <c r="N123" s="24" t="s">
        <v>533</v>
      </c>
      <c r="O123" s="24" t="str">
        <f>IF(ISNUMBER(SEARCH("Cancer",N123)),"Cancer",IF(ISNUMBER(SEARCH("health",N123)),"Public health",IF(ISNUMBER(SEARCH("disabilities",N123)),"Disabilities","Other")))</f>
        <v>Other</v>
      </c>
      <c r="P123" s="126">
        <v>787525</v>
      </c>
      <c r="Q123" s="90" t="s">
        <v>85</v>
      </c>
      <c r="R123" s="90" t="str">
        <f>IF(P123&gt;20000000,"B","A")</f>
        <v>A</v>
      </c>
      <c r="S123" s="90" t="s">
        <v>90</v>
      </c>
      <c r="T123" s="90" t="s">
        <v>119</v>
      </c>
      <c r="U123" s="90" t="s">
        <v>119</v>
      </c>
      <c r="V123" s="90" t="s">
        <v>119</v>
      </c>
      <c r="W123" s="90" t="s">
        <v>119</v>
      </c>
      <c r="X123" s="90" t="s">
        <v>119</v>
      </c>
      <c r="Y123" s="90" t="s">
        <v>119</v>
      </c>
      <c r="Z123" s="90" t="s">
        <v>119</v>
      </c>
      <c r="AA123" s="90" t="s">
        <v>119</v>
      </c>
      <c r="AB123" s="90" t="s">
        <v>119</v>
      </c>
      <c r="AC123" s="90" t="s">
        <v>119</v>
      </c>
      <c r="AD123" s="90" t="s">
        <v>119</v>
      </c>
      <c r="AE123" s="24">
        <v>0</v>
      </c>
      <c r="AF123" s="90">
        <v>0</v>
      </c>
      <c r="AG123" s="24">
        <v>0</v>
      </c>
      <c r="AH123" s="90">
        <v>86978</v>
      </c>
      <c r="AI123" s="24" t="s">
        <v>94</v>
      </c>
      <c r="AJ123" s="24" t="s">
        <v>534</v>
      </c>
      <c r="AK123" s="90" t="s">
        <v>85</v>
      </c>
      <c r="AL123" s="90">
        <v>120400</v>
      </c>
      <c r="AM123" s="90" t="s">
        <v>81</v>
      </c>
      <c r="AN123" s="90" t="s">
        <v>529</v>
      </c>
      <c r="AO123" s="125" t="s">
        <v>530</v>
      </c>
      <c r="AP123" s="24" t="s">
        <v>533</v>
      </c>
      <c r="AQ123" s="90" t="s">
        <v>532</v>
      </c>
      <c r="AR123" s="24" t="s">
        <v>533</v>
      </c>
      <c r="AS123" s="90" t="s">
        <v>119</v>
      </c>
      <c r="AT123" s="24" t="s">
        <v>94</v>
      </c>
      <c r="AU123" s="90" t="s">
        <v>119</v>
      </c>
      <c r="AV123" s="90" t="str">
        <f>IF(ISNUMBER(SEARCH("disagree",AE123)),"N","Y")</f>
        <v>Y</v>
      </c>
      <c r="AW123" s="90" t="s">
        <v>119</v>
      </c>
      <c r="AX123" s="24" t="s">
        <v>119</v>
      </c>
      <c r="AY123" s="90" t="str">
        <f>CONCATENATE(AZ123,BA123,BB123,BC123)</f>
        <v/>
      </c>
      <c r="AZ123" s="90" t="str">
        <f>IF(ISNUMBER(SEARCH("Y",AC123)),"R","")</f>
        <v/>
      </c>
      <c r="BA123" s="90" t="str">
        <f>IF(ISNUMBER(SEARCH("Y",Y123)),"M","")</f>
        <v/>
      </c>
      <c r="BB123" s="90" t="str">
        <f>IF(ISNUMBER(SEARCH("Y",AB123)),"QC","")</f>
        <v/>
      </c>
      <c r="BC123" s="90" t="str">
        <f>IF(ISNUMBER(SEARCH("Y",Z123)),"S","")</f>
        <v/>
      </c>
      <c r="BD123" s="90"/>
      <c r="BE123" s="24" t="s">
        <v>119</v>
      </c>
      <c r="BF123" s="125" t="str">
        <f>IF(AND(AW123&gt;=56543,AW123&lt;=76543,LEN(AW123)&gt;0),"3 Feb 2020",IF(AND(AW123&gt;=66544,AW123&lt;=99999,LEN(AW123)&gt;0),"12 Sep 2020",""))</f>
        <v/>
      </c>
      <c r="BG123" s="125" t="str">
        <f>IF((AND(BF123="3 Feb 2020",LEN(BF123)&gt;0)),"Completed",IF((AND(BF123="12 Sep 2020",LEN(BF123)&gt;0)),"Pending",""))</f>
        <v/>
      </c>
      <c r="BH123" s="90" t="str">
        <f>IF((AND(BF123="3 Feb 2020",LEN(BF123)&gt;0)),"3 Feb 2020","")</f>
        <v/>
      </c>
      <c r="BI123" s="90">
        <v>120400</v>
      </c>
      <c r="BJ123" s="90" t="str">
        <f>L123</f>
        <v>3S89ES90239-70</v>
      </c>
      <c r="BK123" s="127">
        <v>43508</v>
      </c>
      <c r="BL123" s="127">
        <v>44239</v>
      </c>
      <c r="BM123" s="128">
        <f>P123*1.1</f>
        <v>866277.50000000012</v>
      </c>
      <c r="BN123" s="129">
        <f>P123*0.9</f>
        <v>708772.5</v>
      </c>
      <c r="BO123" s="130">
        <f>P123*0.8</f>
        <v>630020</v>
      </c>
      <c r="BP123" s="90">
        <f>IF(Z123="Y",BM123*0.4,BM123*1.05)</f>
        <v>909591.37500000012</v>
      </c>
      <c r="BQ123" s="90">
        <f>BP123*0.8</f>
        <v>727673.10000000009</v>
      </c>
      <c r="BR123" s="90" t="str">
        <f>IF(ISNUMBER(SEARCH("subrecipient",AI119)),P123*0.6,"")</f>
        <v/>
      </c>
      <c r="BS123" s="90">
        <v>120400</v>
      </c>
      <c r="BT123" s="90" t="str">
        <f>BJ123</f>
        <v>3S89ES90239-70</v>
      </c>
      <c r="BU123" s="127">
        <f>BK123</f>
        <v>43508</v>
      </c>
      <c r="BV123" s="127">
        <f>BL123</f>
        <v>44239</v>
      </c>
      <c r="BW123" s="90" t="str">
        <f>H123</f>
        <v>FDA</v>
      </c>
      <c r="BX123" s="90" t="str">
        <f>IF(H123="NATIONAL HEMOPHILIA FOUNDATION","Non Federal","Federal")</f>
        <v>Federal</v>
      </c>
      <c r="BY123" s="128">
        <f>BM123</f>
        <v>866277.50000000012</v>
      </c>
      <c r="BZ123" s="90" t="str">
        <f>IF(LEN(BR123)&gt;0,1,"")</f>
        <v/>
      </c>
      <c r="CA123" s="90" t="str">
        <f>IF(LEN(BR123)&gt;0,"VIRAL HEPATITIS PROJECT","")</f>
        <v/>
      </c>
      <c r="CB123" s="129" t="str">
        <f>IF(LEN(BR123)&gt;0,BM123*0.7,"")</f>
        <v/>
      </c>
      <c r="CC123" s="90">
        <f>BP123</f>
        <v>909591.37500000012</v>
      </c>
      <c r="CD123" s="90" t="str">
        <f>IF(LEN(BR123)&gt;0,"70%","")</f>
        <v/>
      </c>
      <c r="CE123" s="90">
        <f>BS123</f>
        <v>120400</v>
      </c>
      <c r="CF123" s="90" t="str">
        <f>CA123</f>
        <v/>
      </c>
      <c r="CG123" s="90"/>
      <c r="CH123" s="90"/>
      <c r="CI123" s="90"/>
      <c r="CJ123" s="90"/>
      <c r="CK123" s="90"/>
      <c r="CL123" s="90"/>
      <c r="CM123" s="90"/>
      <c r="CN123" s="90"/>
      <c r="CO123" s="90"/>
      <c r="CP123" s="90"/>
      <c r="CQ123" s="90"/>
      <c r="CR123" s="90"/>
      <c r="CS123" s="90"/>
      <c r="CT123" s="137"/>
    </row>
    <row r="124" spans="1:98" ht="105">
      <c r="A124" s="89">
        <v>120400</v>
      </c>
      <c r="B124" s="90">
        <v>2020</v>
      </c>
      <c r="C124" s="90" t="s">
        <v>81</v>
      </c>
      <c r="D124" s="90" t="s">
        <v>529</v>
      </c>
      <c r="E124" s="125" t="s">
        <v>535</v>
      </c>
      <c r="F124" s="24" t="s">
        <v>531</v>
      </c>
      <c r="G124" s="90" t="s">
        <v>85</v>
      </c>
      <c r="H124" s="90" t="s">
        <v>132</v>
      </c>
      <c r="I124" s="90">
        <v>93</v>
      </c>
      <c r="J124" s="90">
        <v>157</v>
      </c>
      <c r="K124" s="90" t="s">
        <v>85</v>
      </c>
      <c r="L124" s="90" t="s">
        <v>532</v>
      </c>
      <c r="M124" s="90" t="s">
        <v>119</v>
      </c>
      <c r="N124" s="24" t="s">
        <v>533</v>
      </c>
      <c r="O124" s="24" t="str">
        <f>IF(ISNUMBER(SEARCH("Cancer",N124)),"Cancer",IF(ISNUMBER(SEARCH("health",N124)),"Public health",IF(ISNUMBER(SEARCH("disabilities",N124)),"Disabilities","Other")))</f>
        <v>Other</v>
      </c>
      <c r="P124" s="126">
        <v>787525</v>
      </c>
      <c r="Q124" s="90" t="s">
        <v>85</v>
      </c>
      <c r="R124" s="90" t="str">
        <f>IF(P124&gt;20000000,"B","A")</f>
        <v>A</v>
      </c>
      <c r="S124" s="90" t="s">
        <v>90</v>
      </c>
      <c r="T124" s="90" t="s">
        <v>119</v>
      </c>
      <c r="U124" s="90" t="s">
        <v>119</v>
      </c>
      <c r="V124" s="90" t="s">
        <v>119</v>
      </c>
      <c r="W124" s="90" t="s">
        <v>119</v>
      </c>
      <c r="X124" s="90" t="s">
        <v>119</v>
      </c>
      <c r="Y124" s="90" t="s">
        <v>119</v>
      </c>
      <c r="Z124" s="90" t="s">
        <v>119</v>
      </c>
      <c r="AA124" s="90" t="s">
        <v>119</v>
      </c>
      <c r="AB124" s="90" t="s">
        <v>119</v>
      </c>
      <c r="AC124" s="90" t="s">
        <v>119</v>
      </c>
      <c r="AD124" s="90" t="s">
        <v>119</v>
      </c>
      <c r="AE124" s="24">
        <v>0</v>
      </c>
      <c r="AF124" s="90">
        <v>0</v>
      </c>
      <c r="AG124" s="24">
        <v>0</v>
      </c>
      <c r="AH124" s="90">
        <v>86979</v>
      </c>
      <c r="AI124" s="24" t="s">
        <v>102</v>
      </c>
      <c r="AJ124" s="24" t="s">
        <v>103</v>
      </c>
      <c r="AK124" s="90" t="s">
        <v>85</v>
      </c>
      <c r="AL124" s="90">
        <v>120400</v>
      </c>
      <c r="AM124" s="90" t="s">
        <v>81</v>
      </c>
      <c r="AN124" s="90" t="s">
        <v>529</v>
      </c>
      <c r="AO124" s="125" t="s">
        <v>535</v>
      </c>
      <c r="AP124" s="24" t="s">
        <v>533</v>
      </c>
      <c r="AQ124" s="90" t="s">
        <v>532</v>
      </c>
      <c r="AR124" s="24" t="s">
        <v>533</v>
      </c>
      <c r="AS124" s="90" t="s">
        <v>119</v>
      </c>
      <c r="AT124" s="24" t="s">
        <v>102</v>
      </c>
      <c r="AU124" s="90" t="s">
        <v>119</v>
      </c>
      <c r="AV124" s="90" t="str">
        <f>IF(ISNUMBER(SEARCH("disagree",AE124)),"N","Y")</f>
        <v>Y</v>
      </c>
      <c r="AW124" s="90" t="s">
        <v>119</v>
      </c>
      <c r="AX124" s="24" t="s">
        <v>119</v>
      </c>
      <c r="AY124" s="90" t="str">
        <f>CONCATENATE(AZ124,BA124,BB124,BC124)</f>
        <v/>
      </c>
      <c r="AZ124" s="90" t="str">
        <f>IF(ISNUMBER(SEARCH("Y",AC124)),"R","")</f>
        <v/>
      </c>
      <c r="BA124" s="90" t="str">
        <f>IF(ISNUMBER(SEARCH("Y",Y124)),"M","")</f>
        <v/>
      </c>
      <c r="BB124" s="90" t="str">
        <f>IF(ISNUMBER(SEARCH("Y",AB124)),"QC","")</f>
        <v/>
      </c>
      <c r="BC124" s="90" t="str">
        <f>IF(ISNUMBER(SEARCH("Y",Z124)),"S","")</f>
        <v/>
      </c>
      <c r="BD124" s="90"/>
      <c r="BE124" s="24" t="s">
        <v>119</v>
      </c>
      <c r="BF124" s="125" t="str">
        <f>IF(AND(AW124&gt;=56543,AW124&lt;=76543,LEN(AW124)&gt;0),"3 Feb 2020",IF(AND(AW124&gt;=66544,AW124&lt;=99999,LEN(AW124)&gt;0),"12 Sep 2020",""))</f>
        <v/>
      </c>
      <c r="BG124" s="125" t="str">
        <f>IF((AND(BF124="3 Feb 2020",LEN(BF124)&gt;0)),"Completed",IF((AND(BF124="12 Sep 2020",LEN(BF124)&gt;0)),"Pending",""))</f>
        <v/>
      </c>
      <c r="BH124" s="90" t="str">
        <f>IF((AND(BF124="3 Feb 2020",LEN(BF124)&gt;0)),"3 Feb 2020","")</f>
        <v/>
      </c>
      <c r="BI124" s="90">
        <v>120400</v>
      </c>
      <c r="BJ124" s="90" t="str">
        <f>L124</f>
        <v>3S89ES90239-70</v>
      </c>
      <c r="BK124" s="127">
        <v>43508</v>
      </c>
      <c r="BL124" s="127">
        <v>44239</v>
      </c>
      <c r="BM124" s="128">
        <f>P124*1.1</f>
        <v>866277.50000000012</v>
      </c>
      <c r="BN124" s="129">
        <f>P124*0.9</f>
        <v>708772.5</v>
      </c>
      <c r="BO124" s="130">
        <f>P124*0.8</f>
        <v>630020</v>
      </c>
      <c r="BP124" s="90">
        <f>IF(Z124="Y",BM124*0.4,BM124*1.05)</f>
        <v>909591.37500000012</v>
      </c>
      <c r="BQ124" s="90">
        <f>BP124*0.8</f>
        <v>727673.10000000009</v>
      </c>
      <c r="BR124" s="90" t="str">
        <f>IF(ISNUMBER(SEARCH("subrecipient",AI120)),P124*0.6,"")</f>
        <v/>
      </c>
      <c r="BS124" s="90">
        <v>120400</v>
      </c>
      <c r="BT124" s="90" t="str">
        <f>BJ124</f>
        <v>3S89ES90239-70</v>
      </c>
      <c r="BU124" s="127">
        <f>BK124</f>
        <v>43508</v>
      </c>
      <c r="BV124" s="127">
        <f>BL124</f>
        <v>44239</v>
      </c>
      <c r="BW124" s="90" t="str">
        <f>H124</f>
        <v>FDA</v>
      </c>
      <c r="BX124" s="90" t="str">
        <f>IF(H124="NATIONAL HEMOPHILIA FOUNDATION","Non Federal","Federal")</f>
        <v>Federal</v>
      </c>
      <c r="BY124" s="128">
        <f>BM124</f>
        <v>866277.50000000012</v>
      </c>
      <c r="BZ124" s="90" t="str">
        <f>IF(LEN(BR124)&gt;0,1,"")</f>
        <v/>
      </c>
      <c r="CA124" s="90" t="str">
        <f>IF(LEN(BR124)&gt;0,"VIRAL HEPATITIS PROJECT","")</f>
        <v/>
      </c>
      <c r="CB124" s="129" t="str">
        <f>IF(LEN(BR124)&gt;0,BM124*0.7,"")</f>
        <v/>
      </c>
      <c r="CC124" s="90">
        <f>BP124</f>
        <v>909591.37500000012</v>
      </c>
      <c r="CD124" s="90" t="str">
        <f>IF(LEN(BR124)&gt;0,"70%","")</f>
        <v/>
      </c>
      <c r="CE124" s="90">
        <f>BS124</f>
        <v>120400</v>
      </c>
      <c r="CF124" s="90" t="str">
        <f>CA124</f>
        <v/>
      </c>
      <c r="CG124" s="90"/>
      <c r="CH124" s="90"/>
      <c r="CI124" s="90"/>
      <c r="CJ124" s="90"/>
      <c r="CK124" s="90"/>
      <c r="CL124" s="90"/>
      <c r="CM124" s="90"/>
      <c r="CN124" s="90"/>
      <c r="CO124" s="90"/>
      <c r="CP124" s="90"/>
      <c r="CQ124" s="90"/>
      <c r="CR124" s="90"/>
      <c r="CS124" s="90"/>
      <c r="CT124" s="137"/>
    </row>
    <row r="125" spans="1:98" ht="105">
      <c r="A125" s="89">
        <v>120400</v>
      </c>
      <c r="B125" s="90">
        <v>2020</v>
      </c>
      <c r="C125" s="90" t="s">
        <v>81</v>
      </c>
      <c r="D125" s="90" t="s">
        <v>529</v>
      </c>
      <c r="E125" s="125" t="s">
        <v>536</v>
      </c>
      <c r="F125" s="24" t="s">
        <v>531</v>
      </c>
      <c r="G125" s="90" t="s">
        <v>85</v>
      </c>
      <c r="H125" s="90" t="s">
        <v>132</v>
      </c>
      <c r="I125" s="90">
        <v>93</v>
      </c>
      <c r="J125" s="90">
        <v>157</v>
      </c>
      <c r="K125" s="90" t="s">
        <v>85</v>
      </c>
      <c r="L125" s="90" t="s">
        <v>532</v>
      </c>
      <c r="M125" s="90" t="s">
        <v>119</v>
      </c>
      <c r="N125" s="24" t="s">
        <v>533</v>
      </c>
      <c r="O125" s="24" t="str">
        <f>IF(ISNUMBER(SEARCH("Cancer",N125)),"Cancer",IF(ISNUMBER(SEARCH("health",N125)),"Public health",IF(ISNUMBER(SEARCH("disabilities",N125)),"Disabilities","Other")))</f>
        <v>Other</v>
      </c>
      <c r="P125" s="126">
        <v>787525</v>
      </c>
      <c r="Q125" s="90" t="s">
        <v>85</v>
      </c>
      <c r="R125" s="90" t="str">
        <f>IF(P125&gt;20000000,"B","A")</f>
        <v>A</v>
      </c>
      <c r="S125" s="90" t="s">
        <v>90</v>
      </c>
      <c r="T125" s="90" t="s">
        <v>119</v>
      </c>
      <c r="U125" s="90" t="s">
        <v>119</v>
      </c>
      <c r="V125" s="90" t="s">
        <v>119</v>
      </c>
      <c r="W125" s="90" t="s">
        <v>119</v>
      </c>
      <c r="X125" s="90" t="s">
        <v>119</v>
      </c>
      <c r="Y125" s="90" t="s">
        <v>119</v>
      </c>
      <c r="Z125" s="90" t="s">
        <v>119</v>
      </c>
      <c r="AA125" s="90" t="s">
        <v>119</v>
      </c>
      <c r="AB125" s="90" t="s">
        <v>119</v>
      </c>
      <c r="AC125" s="90" t="s">
        <v>119</v>
      </c>
      <c r="AD125" s="90" t="s">
        <v>119</v>
      </c>
      <c r="AE125" s="24">
        <v>0</v>
      </c>
      <c r="AF125" s="90">
        <v>0</v>
      </c>
      <c r="AG125" s="24">
        <v>0</v>
      </c>
      <c r="AH125" s="90">
        <v>86975</v>
      </c>
      <c r="AI125" s="24" t="s">
        <v>110</v>
      </c>
      <c r="AJ125" s="24" t="s">
        <v>537</v>
      </c>
      <c r="AK125" s="90" t="s">
        <v>85</v>
      </c>
      <c r="AL125" s="90">
        <v>120400</v>
      </c>
      <c r="AM125" s="90" t="s">
        <v>81</v>
      </c>
      <c r="AN125" s="90" t="s">
        <v>529</v>
      </c>
      <c r="AO125" s="125" t="s">
        <v>536</v>
      </c>
      <c r="AP125" s="24" t="s">
        <v>533</v>
      </c>
      <c r="AQ125" s="90" t="s">
        <v>532</v>
      </c>
      <c r="AR125" s="24" t="s">
        <v>533</v>
      </c>
      <c r="AS125" s="90" t="s">
        <v>119</v>
      </c>
      <c r="AT125" s="24" t="s">
        <v>110</v>
      </c>
      <c r="AU125" s="90" t="s">
        <v>119</v>
      </c>
      <c r="AV125" s="90" t="str">
        <f>IF(ISNUMBER(SEARCH("disagree",AE125)),"N","Y")</f>
        <v>Y</v>
      </c>
      <c r="AW125" s="90" t="s">
        <v>119</v>
      </c>
      <c r="AX125" s="24" t="s">
        <v>119</v>
      </c>
      <c r="AY125" s="90" t="str">
        <f>CONCATENATE(AZ125,BA125,BB125,BC125)</f>
        <v/>
      </c>
      <c r="AZ125" s="90" t="str">
        <f>IF(ISNUMBER(SEARCH("Y",AC125)),"R","")</f>
        <v/>
      </c>
      <c r="BA125" s="90" t="str">
        <f>IF(ISNUMBER(SEARCH("Y",Y125)),"M","")</f>
        <v/>
      </c>
      <c r="BB125" s="90" t="str">
        <f>IF(ISNUMBER(SEARCH("Y",AB125)),"QC","")</f>
        <v/>
      </c>
      <c r="BC125" s="90" t="str">
        <f>IF(ISNUMBER(SEARCH("Y",Z125)),"S","")</f>
        <v/>
      </c>
      <c r="BD125" s="90"/>
      <c r="BE125" s="24" t="s">
        <v>119</v>
      </c>
      <c r="BF125" s="125" t="str">
        <f>IF(AND(AW125&gt;=56543,AW125&lt;=76543,LEN(AW125)&gt;0),"3 Feb 2020",IF(AND(AW125&gt;=66544,AW125&lt;=99999,LEN(AW125)&gt;0),"12 Sep 2020",""))</f>
        <v/>
      </c>
      <c r="BG125" s="125" t="str">
        <f>IF((AND(BF125="3 Feb 2020",LEN(BF125)&gt;0)),"Completed",IF((AND(BF125="12 Sep 2020",LEN(BF125)&gt;0)),"Pending",""))</f>
        <v/>
      </c>
      <c r="BH125" s="90" t="str">
        <f>IF((AND(BF125="3 Feb 2020",LEN(BF125)&gt;0)),"3 Feb 2020","")</f>
        <v/>
      </c>
      <c r="BI125" s="90">
        <v>120400</v>
      </c>
      <c r="BJ125" s="90" t="str">
        <f>L125</f>
        <v>3S89ES90239-70</v>
      </c>
      <c r="BK125" s="127">
        <v>43508</v>
      </c>
      <c r="BL125" s="127">
        <v>44239</v>
      </c>
      <c r="BM125" s="128">
        <f>P125*1.1</f>
        <v>866277.50000000012</v>
      </c>
      <c r="BN125" s="129">
        <f>P125*0.9</f>
        <v>708772.5</v>
      </c>
      <c r="BO125" s="130">
        <f>P125*0.8</f>
        <v>630020</v>
      </c>
      <c r="BP125" s="90">
        <f>IF(Z125="Y",BM125*0.4,BM125*1.05)</f>
        <v>909591.37500000012</v>
      </c>
      <c r="BQ125" s="90">
        <f>BP125*0.8</f>
        <v>727673.10000000009</v>
      </c>
      <c r="BR125" s="90" t="str">
        <f>IF(ISNUMBER(SEARCH("subrecipient",AI121)),P125*0.6,"")</f>
        <v/>
      </c>
      <c r="BS125" s="90">
        <v>120400</v>
      </c>
      <c r="BT125" s="90" t="str">
        <f>BJ125</f>
        <v>3S89ES90239-70</v>
      </c>
      <c r="BU125" s="127">
        <f>BK125</f>
        <v>43508</v>
      </c>
      <c r="BV125" s="127">
        <f>BL125</f>
        <v>44239</v>
      </c>
      <c r="BW125" s="90" t="str">
        <f>H125</f>
        <v>FDA</v>
      </c>
      <c r="BX125" s="90" t="str">
        <f>IF(H125="NATIONAL HEMOPHILIA FOUNDATION","Non Federal","Federal")</f>
        <v>Federal</v>
      </c>
      <c r="BY125" s="128">
        <f>BM125</f>
        <v>866277.50000000012</v>
      </c>
      <c r="BZ125" s="90" t="str">
        <f>IF(LEN(BR125)&gt;0,1,"")</f>
        <v/>
      </c>
      <c r="CA125" s="90" t="str">
        <f>IF(LEN(BR125)&gt;0,"VIRAL HEPATITIS PROJECT","")</f>
        <v/>
      </c>
      <c r="CB125" s="129" t="str">
        <f>IF(LEN(BR125)&gt;0,BM125*0.7,"")</f>
        <v/>
      </c>
      <c r="CC125" s="90">
        <f>BP125</f>
        <v>909591.37500000012</v>
      </c>
      <c r="CD125" s="90" t="str">
        <f>IF(LEN(BR125)&gt;0,"70%","")</f>
        <v/>
      </c>
      <c r="CE125" s="90">
        <f>BS125</f>
        <v>120400</v>
      </c>
      <c r="CF125" s="90" t="str">
        <f>CA125</f>
        <v/>
      </c>
      <c r="CG125" s="90"/>
      <c r="CH125" s="90"/>
      <c r="CI125" s="90"/>
      <c r="CJ125" s="90"/>
      <c r="CK125" s="90"/>
      <c r="CL125" s="90"/>
      <c r="CM125" s="90"/>
      <c r="CN125" s="90"/>
      <c r="CO125" s="90"/>
      <c r="CP125" s="90"/>
      <c r="CQ125" s="90"/>
      <c r="CR125" s="90"/>
      <c r="CS125" s="90"/>
      <c r="CT125" s="137"/>
    </row>
    <row r="126" spans="1:98" ht="150">
      <c r="A126" s="89">
        <v>120400</v>
      </c>
      <c r="B126" s="90">
        <v>2020</v>
      </c>
      <c r="C126" s="90" t="s">
        <v>81</v>
      </c>
      <c r="D126" s="90" t="s">
        <v>529</v>
      </c>
      <c r="E126" s="125" t="s">
        <v>538</v>
      </c>
      <c r="F126" s="24" t="s">
        <v>531</v>
      </c>
      <c r="G126" s="90" t="s">
        <v>85</v>
      </c>
      <c r="H126" s="90" t="s">
        <v>132</v>
      </c>
      <c r="I126" s="90">
        <v>93</v>
      </c>
      <c r="J126" s="90">
        <v>157</v>
      </c>
      <c r="K126" s="90" t="s">
        <v>85</v>
      </c>
      <c r="L126" s="90" t="s">
        <v>532</v>
      </c>
      <c r="M126" s="90" t="s">
        <v>119</v>
      </c>
      <c r="N126" s="24" t="s">
        <v>533</v>
      </c>
      <c r="O126" s="24" t="str">
        <f>IF(ISNUMBER(SEARCH("Cancer",N126)),"Cancer",IF(ISNUMBER(SEARCH("health",N126)),"Public health",IF(ISNUMBER(SEARCH("disabilities",N126)),"Disabilities","Other")))</f>
        <v>Other</v>
      </c>
      <c r="P126" s="126">
        <v>787525</v>
      </c>
      <c r="Q126" s="90" t="s">
        <v>85</v>
      </c>
      <c r="R126" s="90" t="str">
        <f>IF(P126&gt;20000000,"B","A")</f>
        <v>A</v>
      </c>
      <c r="S126" s="90" t="s">
        <v>90</v>
      </c>
      <c r="T126" s="90" t="s">
        <v>119</v>
      </c>
      <c r="U126" s="90" t="s">
        <v>119</v>
      </c>
      <c r="V126" s="90" t="s">
        <v>119</v>
      </c>
      <c r="W126" s="90" t="s">
        <v>119</v>
      </c>
      <c r="X126" s="90" t="s">
        <v>119</v>
      </c>
      <c r="Y126" s="90" t="s">
        <v>119</v>
      </c>
      <c r="Z126" s="90" t="s">
        <v>119</v>
      </c>
      <c r="AA126" s="90" t="s">
        <v>119</v>
      </c>
      <c r="AB126" s="90" t="s">
        <v>119</v>
      </c>
      <c r="AC126" s="90" t="s">
        <v>119</v>
      </c>
      <c r="AD126" s="90" t="s">
        <v>119</v>
      </c>
      <c r="AE126" s="24">
        <v>0</v>
      </c>
      <c r="AF126" s="90">
        <v>0</v>
      </c>
      <c r="AG126" s="24">
        <v>0</v>
      </c>
      <c r="AH126" s="90">
        <v>86977</v>
      </c>
      <c r="AI126" s="24" t="s">
        <v>539</v>
      </c>
      <c r="AJ126" s="24" t="s">
        <v>540</v>
      </c>
      <c r="AK126" s="90" t="s">
        <v>85</v>
      </c>
      <c r="AL126" s="90">
        <v>120400</v>
      </c>
      <c r="AM126" s="90" t="s">
        <v>81</v>
      </c>
      <c r="AN126" s="90" t="s">
        <v>529</v>
      </c>
      <c r="AO126" s="125" t="s">
        <v>538</v>
      </c>
      <c r="AP126" s="24" t="s">
        <v>533</v>
      </c>
      <c r="AQ126" s="90" t="s">
        <v>532</v>
      </c>
      <c r="AR126" s="24" t="s">
        <v>533</v>
      </c>
      <c r="AS126" s="90" t="s">
        <v>119</v>
      </c>
      <c r="AT126" s="24" t="s">
        <v>539</v>
      </c>
      <c r="AU126" s="90" t="s">
        <v>119</v>
      </c>
      <c r="AV126" s="90" t="str">
        <f>IF(ISNUMBER(SEARCH("disagree",AE126)),"N","Y")</f>
        <v>Y</v>
      </c>
      <c r="AW126" s="90" t="s">
        <v>119</v>
      </c>
      <c r="AX126" s="24" t="s">
        <v>119</v>
      </c>
      <c r="AY126" s="90" t="str">
        <f>CONCATENATE(AZ126,BA126,BB126,BC126)</f>
        <v/>
      </c>
      <c r="AZ126" s="90" t="str">
        <f>IF(ISNUMBER(SEARCH("Y",AC126)),"R","")</f>
        <v/>
      </c>
      <c r="BA126" s="90" t="str">
        <f>IF(ISNUMBER(SEARCH("Y",Y126)),"M","")</f>
        <v/>
      </c>
      <c r="BB126" s="90" t="str">
        <f>IF(ISNUMBER(SEARCH("Y",AB126)),"QC","")</f>
        <v/>
      </c>
      <c r="BC126" s="90" t="str">
        <f>IF(ISNUMBER(SEARCH("Y",Z126)),"S","")</f>
        <v/>
      </c>
      <c r="BD126" s="90"/>
      <c r="BE126" s="24" t="s">
        <v>119</v>
      </c>
      <c r="BF126" s="125" t="str">
        <f>IF(AND(AW126&gt;=56543,AW126&lt;=76543,LEN(AW126)&gt;0),"3 Feb 2020",IF(AND(AW126&gt;=66544,AW126&lt;=99999,LEN(AW126)&gt;0),"12 Sep 2020",""))</f>
        <v/>
      </c>
      <c r="BG126" s="125" t="str">
        <f>IF((AND(BF126="3 Feb 2020",LEN(BF126)&gt;0)),"Completed",IF((AND(BF126="12 Sep 2020",LEN(BF126)&gt;0)),"Pending",""))</f>
        <v/>
      </c>
      <c r="BH126" s="90" t="str">
        <f>IF((AND(BF126="3 Feb 2020",LEN(BF126)&gt;0)),"3 Feb 2020","")</f>
        <v/>
      </c>
      <c r="BI126" s="90">
        <v>120400</v>
      </c>
      <c r="BJ126" s="90" t="str">
        <f>L126</f>
        <v>3S89ES90239-70</v>
      </c>
      <c r="BK126" s="127">
        <v>43508</v>
      </c>
      <c r="BL126" s="127">
        <v>44239</v>
      </c>
      <c r="BM126" s="128">
        <f>P126*1.1</f>
        <v>866277.50000000012</v>
      </c>
      <c r="BN126" s="129">
        <f>P126*0.9</f>
        <v>708772.5</v>
      </c>
      <c r="BO126" s="130">
        <f>P126*0.8</f>
        <v>630020</v>
      </c>
      <c r="BP126" s="90">
        <f>IF(Z126="Y",BM126*0.4,BM126*1.05)</f>
        <v>909591.37500000012</v>
      </c>
      <c r="BQ126" s="90">
        <f>BP126*0.8</f>
        <v>727673.10000000009</v>
      </c>
      <c r="BR126" s="90" t="str">
        <f>IF(ISNUMBER(SEARCH("subrecipient",AI122)),P126*0.6,"")</f>
        <v/>
      </c>
      <c r="BS126" s="90">
        <v>120400</v>
      </c>
      <c r="BT126" s="90" t="str">
        <f>BJ126</f>
        <v>3S89ES90239-70</v>
      </c>
      <c r="BU126" s="127">
        <f>BK126</f>
        <v>43508</v>
      </c>
      <c r="BV126" s="127">
        <f>BL126</f>
        <v>44239</v>
      </c>
      <c r="BW126" s="90" t="str">
        <f>H126</f>
        <v>FDA</v>
      </c>
      <c r="BX126" s="90" t="str">
        <f>IF(H126="NATIONAL HEMOPHILIA FOUNDATION","Non Federal","Federal")</f>
        <v>Federal</v>
      </c>
      <c r="BY126" s="128">
        <f>BM126</f>
        <v>866277.50000000012</v>
      </c>
      <c r="BZ126" s="90" t="str">
        <f>IF(LEN(BR126)&gt;0,1,"")</f>
        <v/>
      </c>
      <c r="CA126" s="90" t="str">
        <f>IF(LEN(BR126)&gt;0,"VIRAL HEPATITIS PROJECT","")</f>
        <v/>
      </c>
      <c r="CB126" s="129" t="str">
        <f>IF(LEN(BR126)&gt;0,BM126*0.7,"")</f>
        <v/>
      </c>
      <c r="CC126" s="90">
        <f>BP126</f>
        <v>909591.37500000012</v>
      </c>
      <c r="CD126" s="90" t="str">
        <f>IF(LEN(BR126)&gt;0,"70%","")</f>
        <v/>
      </c>
      <c r="CE126" s="90">
        <f>BS126</f>
        <v>120400</v>
      </c>
      <c r="CF126" s="90" t="str">
        <f>CA126</f>
        <v/>
      </c>
      <c r="CG126" s="90"/>
      <c r="CH126" s="90"/>
      <c r="CI126" s="90"/>
      <c r="CJ126" s="90"/>
      <c r="CK126" s="90"/>
      <c r="CL126" s="90"/>
      <c r="CM126" s="90"/>
      <c r="CN126" s="90"/>
      <c r="CO126" s="90"/>
      <c r="CP126" s="90"/>
      <c r="CQ126" s="90"/>
      <c r="CR126" s="90"/>
      <c r="CS126" s="90"/>
      <c r="CT126" s="137"/>
    </row>
    <row r="127" spans="1:98" ht="105">
      <c r="A127" s="89">
        <v>120400</v>
      </c>
      <c r="B127" s="90">
        <v>2020</v>
      </c>
      <c r="C127" s="90" t="s">
        <v>81</v>
      </c>
      <c r="D127" s="90" t="s">
        <v>529</v>
      </c>
      <c r="E127" s="125" t="s">
        <v>541</v>
      </c>
      <c r="F127" s="24" t="s">
        <v>531</v>
      </c>
      <c r="G127" s="90" t="s">
        <v>85</v>
      </c>
      <c r="H127" s="90" t="s">
        <v>132</v>
      </c>
      <c r="I127" s="90">
        <v>93</v>
      </c>
      <c r="J127" s="90">
        <v>157</v>
      </c>
      <c r="K127" s="90" t="s">
        <v>85</v>
      </c>
      <c r="L127" s="90" t="s">
        <v>532</v>
      </c>
      <c r="M127" s="90" t="s">
        <v>119</v>
      </c>
      <c r="N127" s="24" t="s">
        <v>533</v>
      </c>
      <c r="O127" s="24" t="str">
        <f>IF(ISNUMBER(SEARCH("Cancer",N127)),"Cancer",IF(ISNUMBER(SEARCH("health",N127)),"Public health",IF(ISNUMBER(SEARCH("disabilities",N127)),"Disabilities","Other")))</f>
        <v>Other</v>
      </c>
      <c r="P127" s="126">
        <v>787525</v>
      </c>
      <c r="Q127" s="90" t="s">
        <v>85</v>
      </c>
      <c r="R127" s="90" t="str">
        <f>IF(P127&gt;20000000,"B","A")</f>
        <v>A</v>
      </c>
      <c r="S127" s="90" t="s">
        <v>90</v>
      </c>
      <c r="T127" s="90" t="s">
        <v>119</v>
      </c>
      <c r="U127" s="90" t="s">
        <v>119</v>
      </c>
      <c r="V127" s="90" t="s">
        <v>119</v>
      </c>
      <c r="W127" s="90" t="s">
        <v>119</v>
      </c>
      <c r="X127" s="90" t="s">
        <v>119</v>
      </c>
      <c r="Y127" s="90" t="s">
        <v>119</v>
      </c>
      <c r="Z127" s="90" t="s">
        <v>119</v>
      </c>
      <c r="AA127" s="90" t="s">
        <v>119</v>
      </c>
      <c r="AB127" s="90" t="s">
        <v>119</v>
      </c>
      <c r="AC127" s="90" t="s">
        <v>119</v>
      </c>
      <c r="AD127" s="90" t="s">
        <v>119</v>
      </c>
      <c r="AE127" s="24">
        <v>0</v>
      </c>
      <c r="AF127" s="90">
        <v>0</v>
      </c>
      <c r="AG127" s="24">
        <v>0</v>
      </c>
      <c r="AH127" s="90">
        <v>86976</v>
      </c>
      <c r="AI127" s="24" t="s">
        <v>542</v>
      </c>
      <c r="AJ127" s="24" t="s">
        <v>543</v>
      </c>
      <c r="AK127" s="90" t="s">
        <v>85</v>
      </c>
      <c r="AL127" s="90">
        <v>120400</v>
      </c>
      <c r="AM127" s="90" t="s">
        <v>81</v>
      </c>
      <c r="AN127" s="90" t="s">
        <v>529</v>
      </c>
      <c r="AO127" s="125" t="s">
        <v>541</v>
      </c>
      <c r="AP127" s="24" t="s">
        <v>533</v>
      </c>
      <c r="AQ127" s="90" t="s">
        <v>532</v>
      </c>
      <c r="AR127" s="24" t="s">
        <v>533</v>
      </c>
      <c r="AS127" s="90" t="s">
        <v>119</v>
      </c>
      <c r="AT127" s="24" t="s">
        <v>542</v>
      </c>
      <c r="AU127" s="90" t="s">
        <v>119</v>
      </c>
      <c r="AV127" s="90" t="str">
        <f>IF(ISNUMBER(SEARCH("disagree",AE127)),"N","Y")</f>
        <v>Y</v>
      </c>
      <c r="AW127" s="90" t="s">
        <v>119</v>
      </c>
      <c r="AX127" s="24" t="s">
        <v>119</v>
      </c>
      <c r="AY127" s="90" t="str">
        <f>CONCATENATE(AZ127,BA127,BB127,BC127)</f>
        <v/>
      </c>
      <c r="AZ127" s="90" t="str">
        <f>IF(ISNUMBER(SEARCH("Y",AC127)),"R","")</f>
        <v/>
      </c>
      <c r="BA127" s="90" t="str">
        <f>IF(ISNUMBER(SEARCH("Y",Y127)),"M","")</f>
        <v/>
      </c>
      <c r="BB127" s="90" t="str">
        <f>IF(ISNUMBER(SEARCH("Y",AB127)),"QC","")</f>
        <v/>
      </c>
      <c r="BC127" s="90" t="str">
        <f>IF(ISNUMBER(SEARCH("Y",Z127)),"S","")</f>
        <v/>
      </c>
      <c r="BD127" s="90"/>
      <c r="BE127" s="24" t="s">
        <v>119</v>
      </c>
      <c r="BF127" s="125" t="str">
        <f>IF(AND(AW127&gt;=56543,AW127&lt;=76543,LEN(AW127)&gt;0),"3 Feb 2020",IF(AND(AW127&gt;=66544,AW127&lt;=99999,LEN(AW127)&gt;0),"12 Sep 2020",""))</f>
        <v/>
      </c>
      <c r="BG127" s="125" t="str">
        <f>IF((AND(BF127="3 Feb 2020",LEN(BF127)&gt;0)),"Completed",IF((AND(BF127="12 Sep 2020",LEN(BF127)&gt;0)),"Pending",""))</f>
        <v/>
      </c>
      <c r="BH127" s="90" t="str">
        <f>IF((AND(BF127="3 Feb 2020",LEN(BF127)&gt;0)),"3 Feb 2020","")</f>
        <v/>
      </c>
      <c r="BI127" s="90">
        <v>120400</v>
      </c>
      <c r="BJ127" s="90" t="str">
        <f>L127</f>
        <v>3S89ES90239-70</v>
      </c>
      <c r="BK127" s="127">
        <v>43508</v>
      </c>
      <c r="BL127" s="127">
        <v>44239</v>
      </c>
      <c r="BM127" s="128">
        <f>P127*1.1</f>
        <v>866277.50000000012</v>
      </c>
      <c r="BN127" s="129">
        <f>P127*0.9</f>
        <v>708772.5</v>
      </c>
      <c r="BO127" s="130">
        <f>P127*0.8</f>
        <v>630020</v>
      </c>
      <c r="BP127" s="90">
        <f>IF(Z127="Y",BM127*0.4,BM127*1.05)</f>
        <v>909591.37500000012</v>
      </c>
      <c r="BQ127" s="90">
        <f>BP127*0.8</f>
        <v>727673.10000000009</v>
      </c>
      <c r="BR127" s="90" t="str">
        <f>IF(ISNUMBER(SEARCH("subrecipient",AI123)),P127*0.6,"")</f>
        <v/>
      </c>
      <c r="BS127" s="90">
        <v>120400</v>
      </c>
      <c r="BT127" s="90" t="str">
        <f>BJ127</f>
        <v>3S89ES90239-70</v>
      </c>
      <c r="BU127" s="127">
        <f>BK127</f>
        <v>43508</v>
      </c>
      <c r="BV127" s="127">
        <f>BL127</f>
        <v>44239</v>
      </c>
      <c r="BW127" s="90" t="str">
        <f>H127</f>
        <v>FDA</v>
      </c>
      <c r="BX127" s="90" t="str">
        <f>IF(H127="NATIONAL HEMOPHILIA FOUNDATION","Non Federal","Federal")</f>
        <v>Federal</v>
      </c>
      <c r="BY127" s="128">
        <f>BM127</f>
        <v>866277.50000000012</v>
      </c>
      <c r="BZ127" s="90" t="str">
        <f>IF(LEN(BR127)&gt;0,1,"")</f>
        <v/>
      </c>
      <c r="CA127" s="90" t="str">
        <f>IF(LEN(BR127)&gt;0,"VIRAL HEPATITIS PROJECT","")</f>
        <v/>
      </c>
      <c r="CB127" s="129" t="str">
        <f>IF(LEN(BR127)&gt;0,BM127*0.7,"")</f>
        <v/>
      </c>
      <c r="CC127" s="90">
        <f>BP127</f>
        <v>909591.37500000012</v>
      </c>
      <c r="CD127" s="90" t="str">
        <f>IF(LEN(BR127)&gt;0,"70%","")</f>
        <v/>
      </c>
      <c r="CE127" s="90">
        <f>BS127</f>
        <v>120400</v>
      </c>
      <c r="CF127" s="90" t="str">
        <f>CA127</f>
        <v/>
      </c>
      <c r="CG127" s="90"/>
      <c r="CH127" s="90"/>
      <c r="CI127" s="90"/>
      <c r="CJ127" s="90"/>
      <c r="CK127" s="90"/>
      <c r="CL127" s="90"/>
      <c r="CM127" s="90"/>
      <c r="CN127" s="90"/>
      <c r="CO127" s="90"/>
      <c r="CP127" s="90"/>
      <c r="CQ127" s="90"/>
      <c r="CR127" s="90"/>
      <c r="CS127" s="90"/>
      <c r="CT127" s="137"/>
    </row>
    <row r="128" spans="1:98" ht="105">
      <c r="A128" s="89">
        <v>121044</v>
      </c>
      <c r="B128" s="90">
        <v>2020</v>
      </c>
      <c r="C128" s="90" t="s">
        <v>81</v>
      </c>
      <c r="D128" s="90" t="s">
        <v>544</v>
      </c>
      <c r="E128" s="125" t="s">
        <v>545</v>
      </c>
      <c r="F128" s="24" t="s">
        <v>546</v>
      </c>
      <c r="G128" s="90" t="s">
        <v>85</v>
      </c>
      <c r="H128" s="90" t="s">
        <v>150</v>
      </c>
      <c r="I128" s="90">
        <v>93</v>
      </c>
      <c r="J128" s="90">
        <v>157</v>
      </c>
      <c r="K128" s="90" t="s">
        <v>85</v>
      </c>
      <c r="L128" s="90" t="s">
        <v>547</v>
      </c>
      <c r="M128" s="90" t="s">
        <v>119</v>
      </c>
      <c r="N128" s="24" t="s">
        <v>548</v>
      </c>
      <c r="O128" s="24" t="str">
        <f>IF(ISNUMBER(SEARCH("Cancer",N128)),"Cancer",IF(ISNUMBER(SEARCH("health",N128)),"Public health",IF(ISNUMBER(SEARCH("disabilities",N128)),"Disabilities","Other")))</f>
        <v>Other</v>
      </c>
      <c r="P128" s="126">
        <v>904668</v>
      </c>
      <c r="Q128" s="90" t="s">
        <v>85</v>
      </c>
      <c r="R128" s="90" t="str">
        <f>IF(P128&gt;20000000,"B","A")</f>
        <v>A</v>
      </c>
      <c r="S128" s="90" t="s">
        <v>90</v>
      </c>
      <c r="T128" s="90" t="s">
        <v>119</v>
      </c>
      <c r="U128" s="90" t="s">
        <v>119</v>
      </c>
      <c r="V128" s="90" t="s">
        <v>119</v>
      </c>
      <c r="W128" s="90" t="s">
        <v>119</v>
      </c>
      <c r="X128" s="90" t="s">
        <v>119</v>
      </c>
      <c r="Y128" s="90" t="s">
        <v>119</v>
      </c>
      <c r="Z128" s="90" t="s">
        <v>119</v>
      </c>
      <c r="AA128" s="90" t="s">
        <v>119</v>
      </c>
      <c r="AB128" s="90" t="s">
        <v>119</v>
      </c>
      <c r="AC128" s="90" t="s">
        <v>119</v>
      </c>
      <c r="AD128" s="90" t="s">
        <v>119</v>
      </c>
      <c r="AE128" s="24">
        <v>0</v>
      </c>
      <c r="AF128" s="90">
        <v>0</v>
      </c>
      <c r="AG128" s="24">
        <v>0</v>
      </c>
      <c r="AH128" s="90">
        <v>86867</v>
      </c>
      <c r="AI128" s="24" t="s">
        <v>94</v>
      </c>
      <c r="AJ128" s="24" t="s">
        <v>549</v>
      </c>
      <c r="AK128" s="90" t="s">
        <v>85</v>
      </c>
      <c r="AL128" s="90">
        <v>121044</v>
      </c>
      <c r="AM128" s="90" t="s">
        <v>81</v>
      </c>
      <c r="AN128" s="90" t="s">
        <v>544</v>
      </c>
      <c r="AO128" s="125" t="s">
        <v>545</v>
      </c>
      <c r="AP128" s="24" t="s">
        <v>548</v>
      </c>
      <c r="AQ128" s="90" t="s">
        <v>547</v>
      </c>
      <c r="AR128" s="24" t="s">
        <v>548</v>
      </c>
      <c r="AS128" s="90" t="s">
        <v>119</v>
      </c>
      <c r="AT128" s="24" t="s">
        <v>94</v>
      </c>
      <c r="AU128" s="90" t="s">
        <v>119</v>
      </c>
      <c r="AV128" s="90" t="str">
        <f>IF(ISNUMBER(SEARCH("disagree",AE128)),"N","Y")</f>
        <v>Y</v>
      </c>
      <c r="AW128" s="90" t="s">
        <v>119</v>
      </c>
      <c r="AX128" s="24" t="s">
        <v>119</v>
      </c>
      <c r="AY128" s="90" t="str">
        <f>CONCATENATE(AZ128,BA128,BB128,BC128)</f>
        <v/>
      </c>
      <c r="AZ128" s="90" t="str">
        <f>IF(ISNUMBER(SEARCH("Y",AC128)),"R","")</f>
        <v/>
      </c>
      <c r="BA128" s="90" t="str">
        <f>IF(ISNUMBER(SEARCH("Y",Y128)),"M","")</f>
        <v/>
      </c>
      <c r="BB128" s="90" t="str">
        <f>IF(ISNUMBER(SEARCH("Y",AB128)),"QC","")</f>
        <v/>
      </c>
      <c r="BC128" s="90" t="str">
        <f>IF(ISNUMBER(SEARCH("Y",Z128)),"S","")</f>
        <v/>
      </c>
      <c r="BD128" s="90"/>
      <c r="BE128" s="24" t="s">
        <v>119</v>
      </c>
      <c r="BF128" s="125" t="str">
        <f>IF(AND(AW128&gt;=56543,AW128&lt;=76543,LEN(AW128)&gt;0),"3 Feb 2020",IF(AND(AW128&gt;=66544,AW128&lt;=99999,LEN(AW128)&gt;0),"12 Sep 2020",""))</f>
        <v/>
      </c>
      <c r="BG128" s="125" t="str">
        <f>IF((AND(BF128="3 Feb 2020",LEN(BF128)&gt;0)),"Completed",IF((AND(BF128="12 Sep 2020",LEN(BF128)&gt;0)),"Pending",""))</f>
        <v/>
      </c>
      <c r="BH128" s="90" t="str">
        <f>IF((AND(BF128="3 Feb 2020",LEN(BF128)&gt;0)),"3 Feb 2020","")</f>
        <v/>
      </c>
      <c r="BI128" s="90">
        <v>121044</v>
      </c>
      <c r="BJ128" s="90" t="str">
        <f>L128</f>
        <v>9R87AR86979-86</v>
      </c>
      <c r="BK128" s="127">
        <v>43508</v>
      </c>
      <c r="BL128" s="127">
        <v>44239</v>
      </c>
      <c r="BM128" s="128">
        <f>P128*1.1</f>
        <v>995134.8</v>
      </c>
      <c r="BN128" s="129">
        <f>P128*0.9</f>
        <v>814201.20000000007</v>
      </c>
      <c r="BO128" s="130">
        <f>P128*0.8</f>
        <v>723734.4</v>
      </c>
      <c r="BP128" s="90">
        <f>IF(Z128="Y",BM128*0.4,BM128*1.05)</f>
        <v>1044891.54</v>
      </c>
      <c r="BQ128" s="90">
        <f>BP128*0.8</f>
        <v>835913.23200000008</v>
      </c>
      <c r="BR128" s="90" t="str">
        <f>IF(ISNUMBER(SEARCH("subrecipient",AI124)),P128*0.6,"")</f>
        <v/>
      </c>
      <c r="BS128" s="90">
        <v>121044</v>
      </c>
      <c r="BT128" s="90" t="str">
        <f>BJ128</f>
        <v>9R87AR86979-86</v>
      </c>
      <c r="BU128" s="127">
        <f>BK128</f>
        <v>43508</v>
      </c>
      <c r="BV128" s="127">
        <f>BL128</f>
        <v>44239</v>
      </c>
      <c r="BW128" s="90" t="str">
        <f>H128</f>
        <v>ACF</v>
      </c>
      <c r="BX128" s="90" t="str">
        <f>IF(H128="NATIONAL HEMOPHILIA FOUNDATION","Non Federal","Federal")</f>
        <v>Federal</v>
      </c>
      <c r="BY128" s="128">
        <f>BM128</f>
        <v>995134.8</v>
      </c>
      <c r="BZ128" s="90" t="str">
        <f>IF(LEN(BR128)&gt;0,1,"")</f>
        <v/>
      </c>
      <c r="CA128" s="90" t="str">
        <f>IF(LEN(BR128)&gt;0,"VIRAL HEPATITIS PROJECT","")</f>
        <v/>
      </c>
      <c r="CB128" s="129" t="str">
        <f>IF(LEN(BR128)&gt;0,BM128*0.7,"")</f>
        <v/>
      </c>
      <c r="CC128" s="90">
        <f>BP128</f>
        <v>1044891.54</v>
      </c>
      <c r="CD128" s="90" t="str">
        <f>IF(LEN(BR128)&gt;0,"70%","")</f>
        <v/>
      </c>
      <c r="CE128" s="90">
        <f>BS128</f>
        <v>121044</v>
      </c>
      <c r="CF128" s="90" t="str">
        <f>CA128</f>
        <v/>
      </c>
      <c r="CG128" s="90"/>
      <c r="CH128" s="90"/>
      <c r="CI128" s="90"/>
      <c r="CJ128" s="90"/>
      <c r="CK128" s="90"/>
      <c r="CL128" s="90"/>
      <c r="CM128" s="90"/>
      <c r="CN128" s="90"/>
      <c r="CO128" s="90"/>
      <c r="CP128" s="90"/>
      <c r="CQ128" s="90"/>
      <c r="CR128" s="90"/>
      <c r="CS128" s="90"/>
      <c r="CT128" s="137"/>
    </row>
    <row r="129" spans="1:98" ht="105">
      <c r="A129" s="89">
        <v>121044</v>
      </c>
      <c r="B129" s="90">
        <v>2020</v>
      </c>
      <c r="C129" s="90" t="s">
        <v>81</v>
      </c>
      <c r="D129" s="90" t="s">
        <v>544</v>
      </c>
      <c r="E129" s="125" t="s">
        <v>550</v>
      </c>
      <c r="F129" s="24" t="s">
        <v>546</v>
      </c>
      <c r="G129" s="90" t="s">
        <v>85</v>
      </c>
      <c r="H129" s="90" t="s">
        <v>150</v>
      </c>
      <c r="I129" s="90">
        <v>93</v>
      </c>
      <c r="J129" s="90">
        <v>157</v>
      </c>
      <c r="K129" s="90" t="s">
        <v>85</v>
      </c>
      <c r="L129" s="90" t="s">
        <v>547</v>
      </c>
      <c r="M129" s="90" t="s">
        <v>119</v>
      </c>
      <c r="N129" s="24" t="s">
        <v>548</v>
      </c>
      <c r="O129" s="24" t="str">
        <f>IF(ISNUMBER(SEARCH("Cancer",N129)),"Cancer",IF(ISNUMBER(SEARCH("health",N129)),"Public health",IF(ISNUMBER(SEARCH("disabilities",N129)),"Disabilities","Other")))</f>
        <v>Other</v>
      </c>
      <c r="P129" s="126">
        <v>904668</v>
      </c>
      <c r="Q129" s="90" t="s">
        <v>85</v>
      </c>
      <c r="R129" s="90" t="str">
        <f>IF(P129&gt;20000000,"B","A")</f>
        <v>A</v>
      </c>
      <c r="S129" s="90" t="s">
        <v>90</v>
      </c>
      <c r="T129" s="90" t="s">
        <v>119</v>
      </c>
      <c r="U129" s="90" t="s">
        <v>119</v>
      </c>
      <c r="V129" s="90" t="s">
        <v>119</v>
      </c>
      <c r="W129" s="90" t="s">
        <v>119</v>
      </c>
      <c r="X129" s="90" t="s">
        <v>119</v>
      </c>
      <c r="Y129" s="90" t="s">
        <v>119</v>
      </c>
      <c r="Z129" s="90" t="s">
        <v>119</v>
      </c>
      <c r="AA129" s="90" t="s">
        <v>119</v>
      </c>
      <c r="AB129" s="90" t="s">
        <v>119</v>
      </c>
      <c r="AC129" s="90" t="s">
        <v>119</v>
      </c>
      <c r="AD129" s="90" t="s">
        <v>119</v>
      </c>
      <c r="AE129" s="24">
        <v>0</v>
      </c>
      <c r="AF129" s="90">
        <v>0</v>
      </c>
      <c r="AG129" s="24">
        <v>0</v>
      </c>
      <c r="AH129" s="90">
        <v>86868</v>
      </c>
      <c r="AI129" s="24" t="s">
        <v>102</v>
      </c>
      <c r="AJ129" s="24" t="s">
        <v>103</v>
      </c>
      <c r="AK129" s="90" t="s">
        <v>85</v>
      </c>
      <c r="AL129" s="90">
        <v>121044</v>
      </c>
      <c r="AM129" s="90" t="s">
        <v>81</v>
      </c>
      <c r="AN129" s="90" t="s">
        <v>544</v>
      </c>
      <c r="AO129" s="125" t="s">
        <v>550</v>
      </c>
      <c r="AP129" s="24" t="s">
        <v>548</v>
      </c>
      <c r="AQ129" s="90" t="s">
        <v>547</v>
      </c>
      <c r="AR129" s="24" t="s">
        <v>548</v>
      </c>
      <c r="AS129" s="90" t="s">
        <v>119</v>
      </c>
      <c r="AT129" s="24" t="s">
        <v>102</v>
      </c>
      <c r="AU129" s="90" t="s">
        <v>119</v>
      </c>
      <c r="AV129" s="90" t="str">
        <f>IF(ISNUMBER(SEARCH("disagree",AE129)),"N","Y")</f>
        <v>Y</v>
      </c>
      <c r="AW129" s="90" t="s">
        <v>119</v>
      </c>
      <c r="AX129" s="24" t="s">
        <v>119</v>
      </c>
      <c r="AY129" s="90" t="str">
        <f>CONCATENATE(AZ129,BA129,BB129,BC129)</f>
        <v/>
      </c>
      <c r="AZ129" s="90" t="str">
        <f>IF(ISNUMBER(SEARCH("Y",AC129)),"R","")</f>
        <v/>
      </c>
      <c r="BA129" s="90" t="str">
        <f>IF(ISNUMBER(SEARCH("Y",Y129)),"M","")</f>
        <v/>
      </c>
      <c r="BB129" s="90" t="str">
        <f>IF(ISNUMBER(SEARCH("Y",AB129)),"QC","")</f>
        <v/>
      </c>
      <c r="BC129" s="90" t="str">
        <f>IF(ISNUMBER(SEARCH("Y",Z129)),"S","")</f>
        <v/>
      </c>
      <c r="BD129" s="90"/>
      <c r="BE129" s="24" t="s">
        <v>119</v>
      </c>
      <c r="BF129" s="125" t="str">
        <f>IF(AND(AW129&gt;=56543,AW129&lt;=76543,LEN(AW129)&gt;0),"3 Feb 2020",IF(AND(AW129&gt;=66544,AW129&lt;=99999,LEN(AW129)&gt;0),"12 Sep 2020",""))</f>
        <v/>
      </c>
      <c r="BG129" s="125" t="str">
        <f>IF((AND(BF129="3 Feb 2020",LEN(BF129)&gt;0)),"Completed",IF((AND(BF129="12 Sep 2020",LEN(BF129)&gt;0)),"Pending",""))</f>
        <v/>
      </c>
      <c r="BH129" s="90" t="str">
        <f>IF((AND(BF129="3 Feb 2020",LEN(BF129)&gt;0)),"3 Feb 2020","")</f>
        <v/>
      </c>
      <c r="BI129" s="90">
        <v>121044</v>
      </c>
      <c r="BJ129" s="90" t="str">
        <f>L129</f>
        <v>9R87AR86979-86</v>
      </c>
      <c r="BK129" s="127">
        <v>43508</v>
      </c>
      <c r="BL129" s="127">
        <v>44239</v>
      </c>
      <c r="BM129" s="128">
        <f>P129*1.1</f>
        <v>995134.8</v>
      </c>
      <c r="BN129" s="129">
        <f>P129*0.9</f>
        <v>814201.20000000007</v>
      </c>
      <c r="BO129" s="130">
        <f>P129*0.8</f>
        <v>723734.4</v>
      </c>
      <c r="BP129" s="90">
        <f>IF(Z129="Y",BM129*0.4,BM129*1.05)</f>
        <v>1044891.54</v>
      </c>
      <c r="BQ129" s="90">
        <f>BP129*0.8</f>
        <v>835913.23200000008</v>
      </c>
      <c r="BR129" s="90" t="str">
        <f>IF(ISNUMBER(SEARCH("subrecipient",AI125)),P129*0.6,"")</f>
        <v/>
      </c>
      <c r="BS129" s="90">
        <v>121044</v>
      </c>
      <c r="BT129" s="90" t="str">
        <f>BJ129</f>
        <v>9R87AR86979-86</v>
      </c>
      <c r="BU129" s="127">
        <f>BK129</f>
        <v>43508</v>
      </c>
      <c r="BV129" s="127">
        <f>BL129</f>
        <v>44239</v>
      </c>
      <c r="BW129" s="90" t="str">
        <f>H129</f>
        <v>ACF</v>
      </c>
      <c r="BX129" s="90" t="str">
        <f>IF(H129="NATIONAL HEMOPHILIA FOUNDATION","Non Federal","Federal")</f>
        <v>Federal</v>
      </c>
      <c r="BY129" s="128">
        <f>BM129</f>
        <v>995134.8</v>
      </c>
      <c r="BZ129" s="90" t="str">
        <f>IF(LEN(BR129)&gt;0,1,"")</f>
        <v/>
      </c>
      <c r="CA129" s="90" t="str">
        <f>IF(LEN(BR129)&gt;0,"VIRAL HEPATITIS PROJECT","")</f>
        <v/>
      </c>
      <c r="CB129" s="129" t="str">
        <f>IF(LEN(BR129)&gt;0,BM129*0.7,"")</f>
        <v/>
      </c>
      <c r="CC129" s="90">
        <f>BP129</f>
        <v>1044891.54</v>
      </c>
      <c r="CD129" s="90" t="str">
        <f>IF(LEN(BR129)&gt;0,"70%","")</f>
        <v/>
      </c>
      <c r="CE129" s="90">
        <f>BS129</f>
        <v>121044</v>
      </c>
      <c r="CF129" s="90" t="str">
        <f>CA129</f>
        <v/>
      </c>
      <c r="CG129" s="90"/>
      <c r="CH129" s="90"/>
      <c r="CI129" s="90"/>
      <c r="CJ129" s="90"/>
      <c r="CK129" s="90"/>
      <c r="CL129" s="90"/>
      <c r="CM129" s="90"/>
      <c r="CN129" s="90"/>
      <c r="CO129" s="90"/>
      <c r="CP129" s="90"/>
      <c r="CQ129" s="90"/>
      <c r="CR129" s="90"/>
      <c r="CS129" s="90"/>
      <c r="CT129" s="137"/>
    </row>
    <row r="130" spans="1:98" ht="105">
      <c r="A130" s="89">
        <v>121044</v>
      </c>
      <c r="B130" s="90">
        <v>2020</v>
      </c>
      <c r="C130" s="90" t="s">
        <v>81</v>
      </c>
      <c r="D130" s="90" t="s">
        <v>544</v>
      </c>
      <c r="E130" s="125" t="s">
        <v>551</v>
      </c>
      <c r="F130" s="24" t="s">
        <v>546</v>
      </c>
      <c r="G130" s="90" t="s">
        <v>85</v>
      </c>
      <c r="H130" s="90" t="s">
        <v>150</v>
      </c>
      <c r="I130" s="90">
        <v>93</v>
      </c>
      <c r="J130" s="90">
        <v>157</v>
      </c>
      <c r="K130" s="90" t="s">
        <v>85</v>
      </c>
      <c r="L130" s="90" t="s">
        <v>547</v>
      </c>
      <c r="M130" s="90" t="s">
        <v>119</v>
      </c>
      <c r="N130" s="24" t="s">
        <v>548</v>
      </c>
      <c r="O130" s="24" t="str">
        <f>IF(ISNUMBER(SEARCH("Cancer",N130)),"Cancer",IF(ISNUMBER(SEARCH("health",N130)),"Public health",IF(ISNUMBER(SEARCH("disabilities",N130)),"Disabilities","Other")))</f>
        <v>Other</v>
      </c>
      <c r="P130" s="126">
        <v>904668</v>
      </c>
      <c r="Q130" s="90" t="s">
        <v>85</v>
      </c>
      <c r="R130" s="90" t="str">
        <f>IF(P130&gt;20000000,"B","A")</f>
        <v>A</v>
      </c>
      <c r="S130" s="90" t="s">
        <v>90</v>
      </c>
      <c r="T130" s="90" t="s">
        <v>119</v>
      </c>
      <c r="U130" s="90" t="s">
        <v>119</v>
      </c>
      <c r="V130" s="90" t="s">
        <v>119</v>
      </c>
      <c r="W130" s="90" t="s">
        <v>119</v>
      </c>
      <c r="X130" s="90" t="s">
        <v>119</v>
      </c>
      <c r="Y130" s="90" t="s">
        <v>119</v>
      </c>
      <c r="Z130" s="90" t="s">
        <v>119</v>
      </c>
      <c r="AA130" s="90" t="s">
        <v>119</v>
      </c>
      <c r="AB130" s="90" t="s">
        <v>119</v>
      </c>
      <c r="AC130" s="90" t="s">
        <v>119</v>
      </c>
      <c r="AD130" s="90" t="s">
        <v>119</v>
      </c>
      <c r="AE130" s="24">
        <v>0</v>
      </c>
      <c r="AF130" s="90">
        <v>0</v>
      </c>
      <c r="AG130" s="24">
        <v>0</v>
      </c>
      <c r="AH130" s="90">
        <v>86869</v>
      </c>
      <c r="AI130" s="24" t="s">
        <v>552</v>
      </c>
      <c r="AJ130" s="24" t="s">
        <v>553</v>
      </c>
      <c r="AK130" s="90" t="s">
        <v>85</v>
      </c>
      <c r="AL130" s="90">
        <v>121044</v>
      </c>
      <c r="AM130" s="90" t="s">
        <v>81</v>
      </c>
      <c r="AN130" s="90" t="s">
        <v>544</v>
      </c>
      <c r="AO130" s="125" t="s">
        <v>551</v>
      </c>
      <c r="AP130" s="24" t="s">
        <v>548</v>
      </c>
      <c r="AQ130" s="90" t="s">
        <v>547</v>
      </c>
      <c r="AR130" s="24" t="s">
        <v>548</v>
      </c>
      <c r="AS130" s="90" t="s">
        <v>119</v>
      </c>
      <c r="AT130" s="24" t="s">
        <v>552</v>
      </c>
      <c r="AU130" s="90" t="s">
        <v>119</v>
      </c>
      <c r="AV130" s="90" t="str">
        <f>IF(ISNUMBER(SEARCH("disagree",AE130)),"N","Y")</f>
        <v>Y</v>
      </c>
      <c r="AW130" s="90" t="s">
        <v>119</v>
      </c>
      <c r="AX130" s="24" t="s">
        <v>119</v>
      </c>
      <c r="AY130" s="90" t="str">
        <f>CONCATENATE(AZ130,BA130,BB130,BC130)</f>
        <v/>
      </c>
      <c r="AZ130" s="90" t="str">
        <f>IF(ISNUMBER(SEARCH("Y",AC130)),"R","")</f>
        <v/>
      </c>
      <c r="BA130" s="90" t="str">
        <f>IF(ISNUMBER(SEARCH("Y",Y130)),"M","")</f>
        <v/>
      </c>
      <c r="BB130" s="90" t="str">
        <f>IF(ISNUMBER(SEARCH("Y",AB130)),"QC","")</f>
        <v/>
      </c>
      <c r="BC130" s="90" t="str">
        <f>IF(ISNUMBER(SEARCH("Y",Z130)),"S","")</f>
        <v/>
      </c>
      <c r="BD130" s="90"/>
      <c r="BE130" s="24" t="s">
        <v>119</v>
      </c>
      <c r="BF130" s="125" t="str">
        <f>IF(AND(AW130&gt;=56543,AW130&lt;=76543,LEN(AW130)&gt;0),"3 Feb 2020",IF(AND(AW130&gt;=66544,AW130&lt;=99999,LEN(AW130)&gt;0),"12 Sep 2020",""))</f>
        <v/>
      </c>
      <c r="BG130" s="125" t="str">
        <f>IF((AND(BF130="3 Feb 2020",LEN(BF130)&gt;0)),"Completed",IF((AND(BF130="12 Sep 2020",LEN(BF130)&gt;0)),"Pending",""))</f>
        <v/>
      </c>
      <c r="BH130" s="90" t="str">
        <f>IF((AND(BF130="3 Feb 2020",LEN(BF130)&gt;0)),"3 Feb 2020","")</f>
        <v/>
      </c>
      <c r="BI130" s="90">
        <v>121044</v>
      </c>
      <c r="BJ130" s="90" t="str">
        <f>L130</f>
        <v>9R87AR86979-86</v>
      </c>
      <c r="BK130" s="127">
        <v>43508</v>
      </c>
      <c r="BL130" s="127">
        <v>44239</v>
      </c>
      <c r="BM130" s="128">
        <f>P130*1.1</f>
        <v>995134.8</v>
      </c>
      <c r="BN130" s="129">
        <f>P130*0.9</f>
        <v>814201.20000000007</v>
      </c>
      <c r="BO130" s="130">
        <f>P130*0.8</f>
        <v>723734.4</v>
      </c>
      <c r="BP130" s="90">
        <f>IF(Z130="Y",BM130*0.4,BM130*1.05)</f>
        <v>1044891.54</v>
      </c>
      <c r="BQ130" s="90">
        <f>BP130*0.8</f>
        <v>835913.23200000008</v>
      </c>
      <c r="BR130" s="90" t="str">
        <f>IF(ISNUMBER(SEARCH("subrecipient",AI126)),P130*0.6,"")</f>
        <v/>
      </c>
      <c r="BS130" s="90">
        <v>121044</v>
      </c>
      <c r="BT130" s="90" t="str">
        <f>BJ130</f>
        <v>9R87AR86979-86</v>
      </c>
      <c r="BU130" s="127">
        <f>BK130</f>
        <v>43508</v>
      </c>
      <c r="BV130" s="127">
        <f>BL130</f>
        <v>44239</v>
      </c>
      <c r="BW130" s="90" t="str">
        <f>H130</f>
        <v>ACF</v>
      </c>
      <c r="BX130" s="90" t="str">
        <f>IF(H130="NATIONAL HEMOPHILIA FOUNDATION","Non Federal","Federal")</f>
        <v>Federal</v>
      </c>
      <c r="BY130" s="128">
        <f>BM130</f>
        <v>995134.8</v>
      </c>
      <c r="BZ130" s="90" t="str">
        <f>IF(LEN(BR130)&gt;0,1,"")</f>
        <v/>
      </c>
      <c r="CA130" s="90" t="str">
        <f>IF(LEN(BR130)&gt;0,"VIRAL HEPATITIS PROJECT","")</f>
        <v/>
      </c>
      <c r="CB130" s="129" t="str">
        <f>IF(LEN(BR130)&gt;0,BM130*0.7,"")</f>
        <v/>
      </c>
      <c r="CC130" s="90">
        <f>BP130</f>
        <v>1044891.54</v>
      </c>
      <c r="CD130" s="90" t="str">
        <f>IF(LEN(BR130)&gt;0,"70%","")</f>
        <v/>
      </c>
      <c r="CE130" s="90">
        <f>BS130</f>
        <v>121044</v>
      </c>
      <c r="CF130" s="90" t="str">
        <f>CA130</f>
        <v/>
      </c>
      <c r="CG130" s="90"/>
      <c r="CH130" s="90"/>
      <c r="CI130" s="90"/>
      <c r="CJ130" s="90"/>
      <c r="CK130" s="90"/>
      <c r="CL130" s="90"/>
      <c r="CM130" s="90"/>
      <c r="CN130" s="90"/>
      <c r="CO130" s="90"/>
      <c r="CP130" s="90"/>
      <c r="CQ130" s="90"/>
      <c r="CR130" s="90"/>
      <c r="CS130" s="90"/>
      <c r="CT130" s="137"/>
    </row>
    <row r="131" spans="1:98" ht="105">
      <c r="A131" s="89">
        <v>121044</v>
      </c>
      <c r="B131" s="90">
        <v>2020</v>
      </c>
      <c r="C131" s="90" t="s">
        <v>81</v>
      </c>
      <c r="D131" s="90" t="s">
        <v>544</v>
      </c>
      <c r="E131" s="125" t="s">
        <v>554</v>
      </c>
      <c r="F131" s="24" t="s">
        <v>546</v>
      </c>
      <c r="G131" s="90" t="s">
        <v>85</v>
      </c>
      <c r="H131" s="90" t="s">
        <v>150</v>
      </c>
      <c r="I131" s="90">
        <v>93</v>
      </c>
      <c r="J131" s="90">
        <v>157</v>
      </c>
      <c r="K131" s="90" t="s">
        <v>85</v>
      </c>
      <c r="L131" s="90" t="s">
        <v>547</v>
      </c>
      <c r="M131" s="90" t="s">
        <v>119</v>
      </c>
      <c r="N131" s="24" t="s">
        <v>548</v>
      </c>
      <c r="O131" s="24" t="str">
        <f>IF(ISNUMBER(SEARCH("Cancer",N131)),"Cancer",IF(ISNUMBER(SEARCH("health",N131)),"Public health",IF(ISNUMBER(SEARCH("disabilities",N131)),"Disabilities","Other")))</f>
        <v>Other</v>
      </c>
      <c r="P131" s="126">
        <v>904668</v>
      </c>
      <c r="Q131" s="90" t="s">
        <v>85</v>
      </c>
      <c r="R131" s="90" t="str">
        <f>IF(P131&gt;20000000,"B","A")</f>
        <v>A</v>
      </c>
      <c r="S131" s="90" t="s">
        <v>90</v>
      </c>
      <c r="T131" s="90" t="s">
        <v>119</v>
      </c>
      <c r="U131" s="90" t="s">
        <v>119</v>
      </c>
      <c r="V131" s="90" t="s">
        <v>119</v>
      </c>
      <c r="W131" s="90" t="s">
        <v>119</v>
      </c>
      <c r="X131" s="90" t="s">
        <v>119</v>
      </c>
      <c r="Y131" s="90" t="s">
        <v>119</v>
      </c>
      <c r="Z131" s="90" t="s">
        <v>119</v>
      </c>
      <c r="AA131" s="90" t="s">
        <v>119</v>
      </c>
      <c r="AB131" s="90" t="s">
        <v>119</v>
      </c>
      <c r="AC131" s="90" t="s">
        <v>119</v>
      </c>
      <c r="AD131" s="90" t="s">
        <v>119</v>
      </c>
      <c r="AE131" s="24">
        <v>0</v>
      </c>
      <c r="AF131" s="90">
        <v>0</v>
      </c>
      <c r="AG131" s="24">
        <v>0</v>
      </c>
      <c r="AH131" s="90">
        <v>86870</v>
      </c>
      <c r="AI131" s="24" t="s">
        <v>555</v>
      </c>
      <c r="AJ131" s="24" t="s">
        <v>556</v>
      </c>
      <c r="AK131" s="90" t="s">
        <v>85</v>
      </c>
      <c r="AL131" s="90">
        <v>121044</v>
      </c>
      <c r="AM131" s="90" t="s">
        <v>81</v>
      </c>
      <c r="AN131" s="90" t="s">
        <v>544</v>
      </c>
      <c r="AO131" s="125" t="s">
        <v>554</v>
      </c>
      <c r="AP131" s="24" t="s">
        <v>548</v>
      </c>
      <c r="AQ131" s="90" t="s">
        <v>547</v>
      </c>
      <c r="AR131" s="24" t="s">
        <v>548</v>
      </c>
      <c r="AS131" s="90" t="s">
        <v>119</v>
      </c>
      <c r="AT131" s="24" t="s">
        <v>555</v>
      </c>
      <c r="AU131" s="90" t="s">
        <v>119</v>
      </c>
      <c r="AV131" s="90" t="str">
        <f>IF(ISNUMBER(SEARCH("disagree",AE131)),"N","Y")</f>
        <v>Y</v>
      </c>
      <c r="AW131" s="90" t="s">
        <v>119</v>
      </c>
      <c r="AX131" s="24" t="s">
        <v>119</v>
      </c>
      <c r="AY131" s="90" t="str">
        <f>CONCATENATE(AZ131,BA131,BB131,BC131)</f>
        <v/>
      </c>
      <c r="AZ131" s="90" t="str">
        <f>IF(ISNUMBER(SEARCH("Y",AC131)),"R","")</f>
        <v/>
      </c>
      <c r="BA131" s="90" t="str">
        <f>IF(ISNUMBER(SEARCH("Y",Y131)),"M","")</f>
        <v/>
      </c>
      <c r="BB131" s="90" t="str">
        <f>IF(ISNUMBER(SEARCH("Y",AB131)),"QC","")</f>
        <v/>
      </c>
      <c r="BC131" s="90" t="str">
        <f>IF(ISNUMBER(SEARCH("Y",Z131)),"S","")</f>
        <v/>
      </c>
      <c r="BD131" s="90"/>
      <c r="BE131" s="24" t="s">
        <v>119</v>
      </c>
      <c r="BF131" s="125" t="str">
        <f>IF(AND(AW131&gt;=56543,AW131&lt;=76543,LEN(AW131)&gt;0),"3 Feb 2020",IF(AND(AW131&gt;=66544,AW131&lt;=99999,LEN(AW131)&gt;0),"12 Sep 2020",""))</f>
        <v/>
      </c>
      <c r="BG131" s="125" t="str">
        <f>IF((AND(BF131="3 Feb 2020",LEN(BF131)&gt;0)),"Completed",IF((AND(BF131="12 Sep 2020",LEN(BF131)&gt;0)),"Pending",""))</f>
        <v/>
      </c>
      <c r="BH131" s="90" t="str">
        <f>IF((AND(BF131="3 Feb 2020",LEN(BF131)&gt;0)),"3 Feb 2020","")</f>
        <v/>
      </c>
      <c r="BI131" s="90">
        <v>121044</v>
      </c>
      <c r="BJ131" s="90" t="str">
        <f>L131</f>
        <v>9R87AR86979-86</v>
      </c>
      <c r="BK131" s="127">
        <v>43508</v>
      </c>
      <c r="BL131" s="127">
        <v>44239</v>
      </c>
      <c r="BM131" s="128">
        <f>P131*1.1</f>
        <v>995134.8</v>
      </c>
      <c r="BN131" s="129">
        <f>P131*0.9</f>
        <v>814201.20000000007</v>
      </c>
      <c r="BO131" s="130">
        <f>P131*0.8</f>
        <v>723734.4</v>
      </c>
      <c r="BP131" s="90">
        <f>IF(Z131="Y",BM131*0.4,BM131*1.05)</f>
        <v>1044891.54</v>
      </c>
      <c r="BQ131" s="90">
        <f>BP131*0.8</f>
        <v>835913.23200000008</v>
      </c>
      <c r="BR131" s="90" t="str">
        <f>IF(ISNUMBER(SEARCH("subrecipient",AI127)),P131*0.6,"")</f>
        <v/>
      </c>
      <c r="BS131" s="90">
        <v>121044</v>
      </c>
      <c r="BT131" s="90" t="str">
        <f>BJ131</f>
        <v>9R87AR86979-86</v>
      </c>
      <c r="BU131" s="127">
        <f>BK131</f>
        <v>43508</v>
      </c>
      <c r="BV131" s="127">
        <f>BL131</f>
        <v>44239</v>
      </c>
      <c r="BW131" s="90" t="str">
        <f>H131</f>
        <v>ACF</v>
      </c>
      <c r="BX131" s="90" t="str">
        <f>IF(H131="NATIONAL HEMOPHILIA FOUNDATION","Non Federal","Federal")</f>
        <v>Federal</v>
      </c>
      <c r="BY131" s="128">
        <f>BM131</f>
        <v>995134.8</v>
      </c>
      <c r="BZ131" s="90" t="str">
        <f>IF(LEN(BR131)&gt;0,1,"")</f>
        <v/>
      </c>
      <c r="CA131" s="90" t="str">
        <f>IF(LEN(BR131)&gt;0,"VIRAL HEPATITIS PROJECT","")</f>
        <v/>
      </c>
      <c r="CB131" s="129" t="str">
        <f>IF(LEN(BR131)&gt;0,BM131*0.7,"")</f>
        <v/>
      </c>
      <c r="CC131" s="90">
        <f>BP131</f>
        <v>1044891.54</v>
      </c>
      <c r="CD131" s="90" t="str">
        <f>IF(LEN(BR131)&gt;0,"70%","")</f>
        <v/>
      </c>
      <c r="CE131" s="90">
        <f>BS131</f>
        <v>121044</v>
      </c>
      <c r="CF131" s="90" t="str">
        <f>CA131</f>
        <v/>
      </c>
      <c r="CG131" s="90"/>
      <c r="CH131" s="90"/>
      <c r="CI131" s="90"/>
      <c r="CJ131" s="90"/>
      <c r="CK131" s="90"/>
      <c r="CL131" s="90"/>
      <c r="CM131" s="90"/>
      <c r="CN131" s="90"/>
      <c r="CO131" s="90"/>
      <c r="CP131" s="90"/>
      <c r="CQ131" s="90"/>
      <c r="CR131" s="90"/>
      <c r="CS131" s="90"/>
      <c r="CT131" s="137"/>
    </row>
    <row r="132" spans="1:98" ht="105">
      <c r="A132" s="89">
        <v>121044</v>
      </c>
      <c r="B132" s="90">
        <v>2020</v>
      </c>
      <c r="C132" s="90" t="s">
        <v>81</v>
      </c>
      <c r="D132" s="90" t="s">
        <v>544</v>
      </c>
      <c r="E132" s="125" t="s">
        <v>557</v>
      </c>
      <c r="F132" s="24" t="s">
        <v>546</v>
      </c>
      <c r="G132" s="90" t="s">
        <v>85</v>
      </c>
      <c r="H132" s="90" t="s">
        <v>150</v>
      </c>
      <c r="I132" s="90">
        <v>93</v>
      </c>
      <c r="J132" s="90">
        <v>157</v>
      </c>
      <c r="K132" s="90" t="s">
        <v>85</v>
      </c>
      <c r="L132" s="90" t="s">
        <v>547</v>
      </c>
      <c r="M132" s="90" t="s">
        <v>119</v>
      </c>
      <c r="N132" s="24" t="s">
        <v>548</v>
      </c>
      <c r="O132" s="24" t="str">
        <f>IF(ISNUMBER(SEARCH("Cancer",N132)),"Cancer",IF(ISNUMBER(SEARCH("health",N132)),"Public health",IF(ISNUMBER(SEARCH("disabilities",N132)),"Disabilities","Other")))</f>
        <v>Other</v>
      </c>
      <c r="P132" s="126">
        <v>904668</v>
      </c>
      <c r="Q132" s="90" t="s">
        <v>85</v>
      </c>
      <c r="R132" s="90" t="str">
        <f>IF(P132&gt;20000000,"B","A")</f>
        <v>A</v>
      </c>
      <c r="S132" s="90" t="s">
        <v>90</v>
      </c>
      <c r="T132" s="90" t="s">
        <v>119</v>
      </c>
      <c r="U132" s="90" t="s">
        <v>119</v>
      </c>
      <c r="V132" s="90" t="s">
        <v>119</v>
      </c>
      <c r="W132" s="90" t="s">
        <v>119</v>
      </c>
      <c r="X132" s="90" t="s">
        <v>119</v>
      </c>
      <c r="Y132" s="90" t="s">
        <v>119</v>
      </c>
      <c r="Z132" s="90" t="s">
        <v>119</v>
      </c>
      <c r="AA132" s="90" t="s">
        <v>119</v>
      </c>
      <c r="AB132" s="90" t="s">
        <v>119</v>
      </c>
      <c r="AC132" s="90" t="s">
        <v>119</v>
      </c>
      <c r="AD132" s="90" t="s">
        <v>119</v>
      </c>
      <c r="AE132" s="24">
        <v>0</v>
      </c>
      <c r="AF132" s="90">
        <v>0</v>
      </c>
      <c r="AG132" s="24">
        <v>0</v>
      </c>
      <c r="AH132" s="90">
        <v>86871</v>
      </c>
      <c r="AI132" s="24" t="s">
        <v>186</v>
      </c>
      <c r="AJ132" s="24" t="s">
        <v>558</v>
      </c>
      <c r="AK132" s="90" t="s">
        <v>85</v>
      </c>
      <c r="AL132" s="90">
        <v>121044</v>
      </c>
      <c r="AM132" s="90" t="s">
        <v>81</v>
      </c>
      <c r="AN132" s="90" t="s">
        <v>544</v>
      </c>
      <c r="AO132" s="125" t="s">
        <v>557</v>
      </c>
      <c r="AP132" s="24" t="s">
        <v>548</v>
      </c>
      <c r="AQ132" s="90" t="s">
        <v>547</v>
      </c>
      <c r="AR132" s="24" t="s">
        <v>548</v>
      </c>
      <c r="AS132" s="90" t="s">
        <v>119</v>
      </c>
      <c r="AT132" s="24" t="s">
        <v>186</v>
      </c>
      <c r="AU132" s="90" t="s">
        <v>119</v>
      </c>
      <c r="AV132" s="90" t="str">
        <f>IF(ISNUMBER(SEARCH("disagree",AE132)),"N","Y")</f>
        <v>Y</v>
      </c>
      <c r="AW132" s="90" t="s">
        <v>119</v>
      </c>
      <c r="AX132" s="24" t="s">
        <v>119</v>
      </c>
      <c r="AY132" s="90" t="str">
        <f>CONCATENATE(AZ132,BA132,BB132,BC132)</f>
        <v/>
      </c>
      <c r="AZ132" s="90" t="str">
        <f>IF(ISNUMBER(SEARCH("Y",AC132)),"R","")</f>
        <v/>
      </c>
      <c r="BA132" s="90" t="str">
        <f>IF(ISNUMBER(SEARCH("Y",Y132)),"M","")</f>
        <v/>
      </c>
      <c r="BB132" s="90" t="str">
        <f>IF(ISNUMBER(SEARCH("Y",AB132)),"QC","")</f>
        <v/>
      </c>
      <c r="BC132" s="90" t="str">
        <f>IF(ISNUMBER(SEARCH("Y",Z132)),"S","")</f>
        <v/>
      </c>
      <c r="BD132" s="90"/>
      <c r="BE132" s="24" t="s">
        <v>119</v>
      </c>
      <c r="BF132" s="125" t="str">
        <f>IF(AND(AW132&gt;=56543,AW132&lt;=76543,LEN(AW132)&gt;0),"3 Feb 2020",IF(AND(AW132&gt;=66544,AW132&lt;=99999,LEN(AW132)&gt;0),"12 Sep 2020",""))</f>
        <v/>
      </c>
      <c r="BG132" s="125" t="str">
        <f>IF((AND(BF132="3 Feb 2020",LEN(BF132)&gt;0)),"Completed",IF((AND(BF132="12 Sep 2020",LEN(BF132)&gt;0)),"Pending",""))</f>
        <v/>
      </c>
      <c r="BH132" s="90" t="str">
        <f>IF((AND(BF132="3 Feb 2020",LEN(BF132)&gt;0)),"3 Feb 2020","")</f>
        <v/>
      </c>
      <c r="BI132" s="90">
        <v>121044</v>
      </c>
      <c r="BJ132" s="90" t="str">
        <f>L132</f>
        <v>9R87AR86979-86</v>
      </c>
      <c r="BK132" s="127">
        <v>43508</v>
      </c>
      <c r="BL132" s="127">
        <v>44239</v>
      </c>
      <c r="BM132" s="128">
        <f>P132*1.1</f>
        <v>995134.8</v>
      </c>
      <c r="BN132" s="129">
        <f>P132*0.9</f>
        <v>814201.20000000007</v>
      </c>
      <c r="BO132" s="130">
        <f>P132*0.8</f>
        <v>723734.4</v>
      </c>
      <c r="BP132" s="90">
        <f>IF(Z132="Y",BM132*0.4,BM132*1.05)</f>
        <v>1044891.54</v>
      </c>
      <c r="BQ132" s="90">
        <f>BP132*0.8</f>
        <v>835913.23200000008</v>
      </c>
      <c r="BR132" s="90" t="str">
        <f>IF(ISNUMBER(SEARCH("subrecipient",AI128)),P132*0.6,"")</f>
        <v/>
      </c>
      <c r="BS132" s="90">
        <v>121044</v>
      </c>
      <c r="BT132" s="90" t="str">
        <f>BJ132</f>
        <v>9R87AR86979-86</v>
      </c>
      <c r="BU132" s="127">
        <f>BK132</f>
        <v>43508</v>
      </c>
      <c r="BV132" s="127">
        <f>BL132</f>
        <v>44239</v>
      </c>
      <c r="BW132" s="90" t="str">
        <f>H132</f>
        <v>ACF</v>
      </c>
      <c r="BX132" s="90" t="str">
        <f>IF(H132="NATIONAL HEMOPHILIA FOUNDATION","Non Federal","Federal")</f>
        <v>Federal</v>
      </c>
      <c r="BY132" s="128">
        <f>BM132</f>
        <v>995134.8</v>
      </c>
      <c r="BZ132" s="90" t="str">
        <f>IF(LEN(BR132)&gt;0,1,"")</f>
        <v/>
      </c>
      <c r="CA132" s="90" t="str">
        <f>IF(LEN(BR132)&gt;0,"VIRAL HEPATITIS PROJECT","")</f>
        <v/>
      </c>
      <c r="CB132" s="129" t="str">
        <f>IF(LEN(BR132)&gt;0,BM132*0.7,"")</f>
        <v/>
      </c>
      <c r="CC132" s="90">
        <f>BP132</f>
        <v>1044891.54</v>
      </c>
      <c r="CD132" s="90" t="str">
        <f>IF(LEN(BR132)&gt;0,"70%","")</f>
        <v/>
      </c>
      <c r="CE132" s="90">
        <f>BS132</f>
        <v>121044</v>
      </c>
      <c r="CF132" s="90" t="str">
        <f>CA132</f>
        <v/>
      </c>
      <c r="CG132" s="90"/>
      <c r="CH132" s="90"/>
      <c r="CI132" s="90"/>
      <c r="CJ132" s="90"/>
      <c r="CK132" s="90"/>
      <c r="CL132" s="90"/>
      <c r="CM132" s="90"/>
      <c r="CN132" s="90"/>
      <c r="CO132" s="90"/>
      <c r="CP132" s="90"/>
      <c r="CQ132" s="90"/>
      <c r="CR132" s="90"/>
      <c r="CS132" s="90"/>
      <c r="CT132" s="137"/>
    </row>
    <row r="133" spans="1:98" ht="60">
      <c r="A133" s="89">
        <v>125403</v>
      </c>
      <c r="B133" s="90">
        <v>2020</v>
      </c>
      <c r="C133" s="90" t="s">
        <v>81</v>
      </c>
      <c r="D133" s="90" t="s">
        <v>559</v>
      </c>
      <c r="E133" s="125" t="s">
        <v>560</v>
      </c>
      <c r="F133" s="24" t="s">
        <v>561</v>
      </c>
      <c r="G133" s="90" t="s">
        <v>85</v>
      </c>
      <c r="H133" s="90" t="s">
        <v>86</v>
      </c>
      <c r="I133" s="90">
        <v>93</v>
      </c>
      <c r="J133" s="90">
        <v>157</v>
      </c>
      <c r="K133" s="90" t="s">
        <v>85</v>
      </c>
      <c r="L133" s="90" t="s">
        <v>562</v>
      </c>
      <c r="M133" s="90" t="s">
        <v>119</v>
      </c>
      <c r="N133" s="24" t="s">
        <v>563</v>
      </c>
      <c r="O133" s="24" t="str">
        <f>IF(ISNUMBER(SEARCH("Cancer",N133)),"Cancer",IF(ISNUMBER(SEARCH("health",N133)),"Public health",IF(ISNUMBER(SEARCH("disabilities",N133)),"Disabilities","Other")))</f>
        <v>Other</v>
      </c>
      <c r="P133" s="126">
        <v>762021</v>
      </c>
      <c r="Q133" s="90" t="s">
        <v>85</v>
      </c>
      <c r="R133" s="90" t="str">
        <f>IF(P133&gt;20000000,"B","A")</f>
        <v>A</v>
      </c>
      <c r="S133" s="90" t="s">
        <v>90</v>
      </c>
      <c r="T133" s="90" t="s">
        <v>119</v>
      </c>
      <c r="U133" s="90" t="s">
        <v>119</v>
      </c>
      <c r="V133" s="90" t="s">
        <v>119</v>
      </c>
      <c r="W133" s="90" t="s">
        <v>119</v>
      </c>
      <c r="X133" s="90" t="s">
        <v>119</v>
      </c>
      <c r="Y133" s="90" t="s">
        <v>119</v>
      </c>
      <c r="Z133" s="90" t="s">
        <v>119</v>
      </c>
      <c r="AA133" s="90" t="s">
        <v>119</v>
      </c>
      <c r="AB133" s="90" t="s">
        <v>119</v>
      </c>
      <c r="AC133" s="90" t="s">
        <v>119</v>
      </c>
      <c r="AD133" s="90" t="s">
        <v>119</v>
      </c>
      <c r="AE133" s="24">
        <v>0</v>
      </c>
      <c r="AF133" s="90">
        <v>0</v>
      </c>
      <c r="AG133" s="24">
        <v>0</v>
      </c>
      <c r="AH133" s="90">
        <v>88522</v>
      </c>
      <c r="AI133" s="24" t="s">
        <v>94</v>
      </c>
      <c r="AJ133" s="24" t="s">
        <v>564</v>
      </c>
      <c r="AK133" s="90" t="s">
        <v>85</v>
      </c>
      <c r="AL133" s="90">
        <v>125403</v>
      </c>
      <c r="AM133" s="90" t="s">
        <v>81</v>
      </c>
      <c r="AN133" s="90" t="s">
        <v>559</v>
      </c>
      <c r="AO133" s="125" t="s">
        <v>560</v>
      </c>
      <c r="AP133" s="24" t="s">
        <v>563</v>
      </c>
      <c r="AQ133" s="90" t="s">
        <v>562</v>
      </c>
      <c r="AR133" s="24" t="s">
        <v>563</v>
      </c>
      <c r="AS133" s="90" t="s">
        <v>119</v>
      </c>
      <c r="AT133" s="24" t="s">
        <v>94</v>
      </c>
      <c r="AU133" s="90" t="s">
        <v>119</v>
      </c>
      <c r="AV133" s="90" t="str">
        <f>IF(ISNUMBER(SEARCH("disagree",AE133)),"N","Y")</f>
        <v>Y</v>
      </c>
      <c r="AW133" s="90" t="s">
        <v>119</v>
      </c>
      <c r="AX133" s="24" t="s">
        <v>119</v>
      </c>
      <c r="AY133" s="90" t="str">
        <f>CONCATENATE(AZ133,BA133,BB133,BC133)</f>
        <v/>
      </c>
      <c r="AZ133" s="90" t="str">
        <f>IF(ISNUMBER(SEARCH("Y",AC133)),"R","")</f>
        <v/>
      </c>
      <c r="BA133" s="90" t="str">
        <f>IF(ISNUMBER(SEARCH("Y",Y133)),"M","")</f>
        <v/>
      </c>
      <c r="BB133" s="90" t="str">
        <f>IF(ISNUMBER(SEARCH("Y",AB133)),"QC","")</f>
        <v/>
      </c>
      <c r="BC133" s="90" t="str">
        <f>IF(ISNUMBER(SEARCH("Y",Z133)),"S","")</f>
        <v/>
      </c>
      <c r="BD133" s="90"/>
      <c r="BE133" s="24" t="s">
        <v>119</v>
      </c>
      <c r="BF133" s="125" t="str">
        <f>IF(AND(AW133&gt;=56543,AW133&lt;=76543,LEN(AW133)&gt;0),"3 Feb 2020",IF(AND(AW133&gt;=66544,AW133&lt;=99999,LEN(AW133)&gt;0),"12 Sep 2020",""))</f>
        <v/>
      </c>
      <c r="BG133" s="125" t="str">
        <f>IF((AND(BF133="3 Feb 2020",LEN(BF133)&gt;0)),"Completed",IF((AND(BF133="12 Sep 2020",LEN(BF133)&gt;0)),"Pending",""))</f>
        <v/>
      </c>
      <c r="BH133" s="90" t="str">
        <f>IF((AND(BF133="3 Feb 2020",LEN(BF133)&gt;0)),"3 Feb 2020","")</f>
        <v/>
      </c>
      <c r="BI133" s="90">
        <v>125403</v>
      </c>
      <c r="BJ133" s="90" t="str">
        <f>L133</f>
        <v>9H33HT86977-61</v>
      </c>
      <c r="BK133" s="127">
        <v>43508</v>
      </c>
      <c r="BL133" s="127">
        <v>44239</v>
      </c>
      <c r="BM133" s="128">
        <f>P133*1.1</f>
        <v>838223.10000000009</v>
      </c>
      <c r="BN133" s="129">
        <f>P133*0.9</f>
        <v>685818.9</v>
      </c>
      <c r="BO133" s="130">
        <f>P133*0.8</f>
        <v>609616.80000000005</v>
      </c>
      <c r="BP133" s="90">
        <f>IF(Z133="Y",BM133*0.4,BM133*1.05)</f>
        <v>880134.25500000012</v>
      </c>
      <c r="BQ133" s="90">
        <f>BP133*0.8</f>
        <v>704107.4040000001</v>
      </c>
      <c r="BR133" s="90" t="str">
        <f>IF(ISNUMBER(SEARCH("subrecipient",AI129)),P133*0.6,"")</f>
        <v/>
      </c>
      <c r="BS133" s="90">
        <v>125403</v>
      </c>
      <c r="BT133" s="90" t="str">
        <f>BJ133</f>
        <v>9H33HT86977-61</v>
      </c>
      <c r="BU133" s="127">
        <f>BK133</f>
        <v>43508</v>
      </c>
      <c r="BV133" s="127">
        <f>BL133</f>
        <v>44239</v>
      </c>
      <c r="BW133" s="90" t="str">
        <f>H133</f>
        <v>CDC</v>
      </c>
      <c r="BX133" s="90" t="str">
        <f>IF(H133="NATIONAL HEMOPHILIA FOUNDATION","Non Federal","Federal")</f>
        <v>Federal</v>
      </c>
      <c r="BY133" s="128">
        <f>BM133</f>
        <v>838223.10000000009</v>
      </c>
      <c r="BZ133" s="90" t="str">
        <f>IF(LEN(BR133)&gt;0,1,"")</f>
        <v/>
      </c>
      <c r="CA133" s="90" t="str">
        <f>IF(LEN(BR133)&gt;0,"VIRAL HEPATITIS PROJECT","")</f>
        <v/>
      </c>
      <c r="CB133" s="129" t="str">
        <f>IF(LEN(BR133)&gt;0,BM133*0.7,"")</f>
        <v/>
      </c>
      <c r="CC133" s="90">
        <f>BP133</f>
        <v>880134.25500000012</v>
      </c>
      <c r="CD133" s="90" t="str">
        <f>IF(LEN(BR133)&gt;0,"70%","")</f>
        <v/>
      </c>
      <c r="CE133" s="90">
        <f>BS133</f>
        <v>125403</v>
      </c>
      <c r="CF133" s="90" t="str">
        <f>CA133</f>
        <v/>
      </c>
      <c r="CG133" s="90"/>
      <c r="CH133" s="90"/>
      <c r="CI133" s="90"/>
      <c r="CJ133" s="90"/>
      <c r="CK133" s="90"/>
      <c r="CL133" s="90"/>
      <c r="CM133" s="90"/>
      <c r="CN133" s="90"/>
      <c r="CO133" s="90"/>
      <c r="CP133" s="90"/>
      <c r="CQ133" s="90"/>
      <c r="CR133" s="90"/>
      <c r="CS133" s="90"/>
      <c r="CT133" s="137"/>
    </row>
    <row r="134" spans="1:98" ht="60">
      <c r="A134" s="89">
        <v>125403</v>
      </c>
      <c r="B134" s="90">
        <v>2020</v>
      </c>
      <c r="C134" s="90" t="s">
        <v>81</v>
      </c>
      <c r="D134" s="90" t="s">
        <v>559</v>
      </c>
      <c r="E134" s="125" t="s">
        <v>565</v>
      </c>
      <c r="F134" s="24" t="s">
        <v>561</v>
      </c>
      <c r="G134" s="90" t="s">
        <v>85</v>
      </c>
      <c r="H134" s="90" t="s">
        <v>86</v>
      </c>
      <c r="I134" s="90">
        <v>93</v>
      </c>
      <c r="J134" s="90">
        <v>157</v>
      </c>
      <c r="K134" s="90" t="s">
        <v>85</v>
      </c>
      <c r="L134" s="90" t="s">
        <v>562</v>
      </c>
      <c r="M134" s="90" t="s">
        <v>119</v>
      </c>
      <c r="N134" s="24" t="s">
        <v>563</v>
      </c>
      <c r="O134" s="24" t="str">
        <f>IF(ISNUMBER(SEARCH("Cancer",N134)),"Cancer",IF(ISNUMBER(SEARCH("health",N134)),"Public health",IF(ISNUMBER(SEARCH("disabilities",N134)),"Disabilities","Other")))</f>
        <v>Other</v>
      </c>
      <c r="P134" s="126">
        <v>762021</v>
      </c>
      <c r="Q134" s="90" t="s">
        <v>85</v>
      </c>
      <c r="R134" s="90" t="str">
        <f>IF(P134&gt;20000000,"B","A")</f>
        <v>A</v>
      </c>
      <c r="S134" s="90" t="s">
        <v>90</v>
      </c>
      <c r="T134" s="90" t="s">
        <v>119</v>
      </c>
      <c r="U134" s="90" t="s">
        <v>119</v>
      </c>
      <c r="V134" s="90" t="s">
        <v>119</v>
      </c>
      <c r="W134" s="90" t="s">
        <v>119</v>
      </c>
      <c r="X134" s="90" t="s">
        <v>119</v>
      </c>
      <c r="Y134" s="90" t="s">
        <v>119</v>
      </c>
      <c r="Z134" s="90" t="s">
        <v>119</v>
      </c>
      <c r="AA134" s="90" t="s">
        <v>119</v>
      </c>
      <c r="AB134" s="90" t="s">
        <v>119</v>
      </c>
      <c r="AC134" s="90" t="s">
        <v>119</v>
      </c>
      <c r="AD134" s="90" t="s">
        <v>119</v>
      </c>
      <c r="AE134" s="24">
        <v>0</v>
      </c>
      <c r="AF134" s="90">
        <v>0</v>
      </c>
      <c r="AG134" s="24">
        <v>0</v>
      </c>
      <c r="AH134" s="90">
        <v>88523</v>
      </c>
      <c r="AI134" s="24" t="s">
        <v>102</v>
      </c>
      <c r="AJ134" s="24" t="s">
        <v>316</v>
      </c>
      <c r="AK134" s="90" t="s">
        <v>85</v>
      </c>
      <c r="AL134" s="90">
        <v>125403</v>
      </c>
      <c r="AM134" s="90" t="s">
        <v>81</v>
      </c>
      <c r="AN134" s="90" t="s">
        <v>559</v>
      </c>
      <c r="AO134" s="125" t="s">
        <v>565</v>
      </c>
      <c r="AP134" s="24" t="s">
        <v>563</v>
      </c>
      <c r="AQ134" s="90" t="s">
        <v>562</v>
      </c>
      <c r="AR134" s="24" t="s">
        <v>563</v>
      </c>
      <c r="AS134" s="90" t="s">
        <v>119</v>
      </c>
      <c r="AT134" s="24" t="s">
        <v>102</v>
      </c>
      <c r="AU134" s="90" t="s">
        <v>119</v>
      </c>
      <c r="AV134" s="90" t="str">
        <f>IF(ISNUMBER(SEARCH("disagree",AE134)),"N","Y")</f>
        <v>Y</v>
      </c>
      <c r="AW134" s="90" t="s">
        <v>119</v>
      </c>
      <c r="AX134" s="24" t="s">
        <v>119</v>
      </c>
      <c r="AY134" s="90" t="str">
        <f>CONCATENATE(AZ134,BA134,BB134,BC134)</f>
        <v/>
      </c>
      <c r="AZ134" s="90" t="str">
        <f>IF(ISNUMBER(SEARCH("Y",AC134)),"R","")</f>
        <v/>
      </c>
      <c r="BA134" s="90" t="str">
        <f>IF(ISNUMBER(SEARCH("Y",Y134)),"M","")</f>
        <v/>
      </c>
      <c r="BB134" s="90" t="str">
        <f>IF(ISNUMBER(SEARCH("Y",AB134)),"QC","")</f>
        <v/>
      </c>
      <c r="BC134" s="90" t="str">
        <f>IF(ISNUMBER(SEARCH("Y",Z134)),"S","")</f>
        <v/>
      </c>
      <c r="BD134" s="90"/>
      <c r="BE134" s="24" t="s">
        <v>119</v>
      </c>
      <c r="BF134" s="125" t="str">
        <f>IF(AND(AW134&gt;=56543,AW134&lt;=76543,LEN(AW134)&gt;0),"3 Feb 2020",IF(AND(AW134&gt;=66544,AW134&lt;=99999,LEN(AW134)&gt;0),"12 Sep 2020",""))</f>
        <v/>
      </c>
      <c r="BG134" s="125" t="str">
        <f>IF((AND(BF134="3 Feb 2020",LEN(BF134)&gt;0)),"Completed",IF((AND(BF134="12 Sep 2020",LEN(BF134)&gt;0)),"Pending",""))</f>
        <v/>
      </c>
      <c r="BH134" s="90" t="str">
        <f>IF((AND(BF134="3 Feb 2020",LEN(BF134)&gt;0)),"3 Feb 2020","")</f>
        <v/>
      </c>
      <c r="BI134" s="90">
        <v>125403</v>
      </c>
      <c r="BJ134" s="90" t="str">
        <f>L134</f>
        <v>9H33HT86977-61</v>
      </c>
      <c r="BK134" s="127">
        <v>43508</v>
      </c>
      <c r="BL134" s="127">
        <v>44239</v>
      </c>
      <c r="BM134" s="128">
        <f>P134*1.1</f>
        <v>838223.10000000009</v>
      </c>
      <c r="BN134" s="129">
        <f>P134*0.9</f>
        <v>685818.9</v>
      </c>
      <c r="BO134" s="130">
        <f>P134*0.8</f>
        <v>609616.80000000005</v>
      </c>
      <c r="BP134" s="90">
        <f>IF(Z134="Y",BM134*0.4,BM134*1.05)</f>
        <v>880134.25500000012</v>
      </c>
      <c r="BQ134" s="90">
        <f>BP134*0.8</f>
        <v>704107.4040000001</v>
      </c>
      <c r="BR134" s="90" t="str">
        <f>IF(ISNUMBER(SEARCH("subrecipient",AI130)),P134*0.6,"")</f>
        <v/>
      </c>
      <c r="BS134" s="90">
        <v>125403</v>
      </c>
      <c r="BT134" s="90" t="str">
        <f>BJ134</f>
        <v>9H33HT86977-61</v>
      </c>
      <c r="BU134" s="127">
        <f>BK134</f>
        <v>43508</v>
      </c>
      <c r="BV134" s="127">
        <f>BL134</f>
        <v>44239</v>
      </c>
      <c r="BW134" s="90" t="str">
        <f>H134</f>
        <v>CDC</v>
      </c>
      <c r="BX134" s="90" t="str">
        <f>IF(H134="NATIONAL HEMOPHILIA FOUNDATION","Non Federal","Federal")</f>
        <v>Federal</v>
      </c>
      <c r="BY134" s="128">
        <f>BM134</f>
        <v>838223.10000000009</v>
      </c>
      <c r="BZ134" s="90" t="str">
        <f>IF(LEN(BR134)&gt;0,1,"")</f>
        <v/>
      </c>
      <c r="CA134" s="90" t="str">
        <f>IF(LEN(BR134)&gt;0,"VIRAL HEPATITIS PROJECT","")</f>
        <v/>
      </c>
      <c r="CB134" s="129" t="str">
        <f>IF(LEN(BR134)&gt;0,BM134*0.7,"")</f>
        <v/>
      </c>
      <c r="CC134" s="90">
        <f>BP134</f>
        <v>880134.25500000012</v>
      </c>
      <c r="CD134" s="90" t="str">
        <f>IF(LEN(BR134)&gt;0,"70%","")</f>
        <v/>
      </c>
      <c r="CE134" s="90">
        <f>BS134</f>
        <v>125403</v>
      </c>
      <c r="CF134" s="90" t="str">
        <f>CA134</f>
        <v/>
      </c>
      <c r="CG134" s="90"/>
      <c r="CH134" s="90"/>
      <c r="CI134" s="90"/>
      <c r="CJ134" s="90"/>
      <c r="CK134" s="90"/>
      <c r="CL134" s="90"/>
      <c r="CM134" s="90"/>
      <c r="CN134" s="90"/>
      <c r="CO134" s="90"/>
      <c r="CP134" s="90"/>
      <c r="CQ134" s="90"/>
      <c r="CR134" s="90"/>
      <c r="CS134" s="90"/>
      <c r="CT134" s="137"/>
    </row>
    <row r="135" spans="1:98" ht="60">
      <c r="A135" s="89">
        <v>125403</v>
      </c>
      <c r="B135" s="90">
        <v>2020</v>
      </c>
      <c r="C135" s="90" t="s">
        <v>81</v>
      </c>
      <c r="D135" s="90" t="s">
        <v>559</v>
      </c>
      <c r="E135" s="125" t="s">
        <v>566</v>
      </c>
      <c r="F135" s="24" t="s">
        <v>561</v>
      </c>
      <c r="G135" s="90" t="s">
        <v>85</v>
      </c>
      <c r="H135" s="90" t="s">
        <v>86</v>
      </c>
      <c r="I135" s="90">
        <v>93</v>
      </c>
      <c r="J135" s="90">
        <v>157</v>
      </c>
      <c r="K135" s="90" t="s">
        <v>85</v>
      </c>
      <c r="L135" s="90" t="s">
        <v>562</v>
      </c>
      <c r="M135" s="90" t="s">
        <v>119</v>
      </c>
      <c r="N135" s="24" t="s">
        <v>563</v>
      </c>
      <c r="O135" s="24" t="str">
        <f>IF(ISNUMBER(SEARCH("Cancer",N135)),"Cancer",IF(ISNUMBER(SEARCH("health",N135)),"Public health",IF(ISNUMBER(SEARCH("disabilities",N135)),"Disabilities","Other")))</f>
        <v>Other</v>
      </c>
      <c r="P135" s="126">
        <v>762021</v>
      </c>
      <c r="Q135" s="90" t="s">
        <v>85</v>
      </c>
      <c r="R135" s="90" t="str">
        <f>IF(P135&gt;20000000,"B","A")</f>
        <v>A</v>
      </c>
      <c r="S135" s="90" t="s">
        <v>90</v>
      </c>
      <c r="T135" s="90" t="s">
        <v>119</v>
      </c>
      <c r="U135" s="90" t="s">
        <v>119</v>
      </c>
      <c r="V135" s="90" t="s">
        <v>119</v>
      </c>
      <c r="W135" s="90" t="s">
        <v>119</v>
      </c>
      <c r="X135" s="90" t="s">
        <v>119</v>
      </c>
      <c r="Y135" s="90" t="s">
        <v>119</v>
      </c>
      <c r="Z135" s="90" t="s">
        <v>119</v>
      </c>
      <c r="AA135" s="90" t="s">
        <v>119</v>
      </c>
      <c r="AB135" s="90" t="s">
        <v>119</v>
      </c>
      <c r="AC135" s="90" t="s">
        <v>119</v>
      </c>
      <c r="AD135" s="90" t="s">
        <v>119</v>
      </c>
      <c r="AE135" s="24">
        <v>0</v>
      </c>
      <c r="AF135" s="90">
        <v>0</v>
      </c>
      <c r="AG135" s="24">
        <v>0</v>
      </c>
      <c r="AH135" s="90">
        <v>88524</v>
      </c>
      <c r="AI135" s="24" t="s">
        <v>567</v>
      </c>
      <c r="AJ135" s="24" t="s">
        <v>568</v>
      </c>
      <c r="AK135" s="90" t="s">
        <v>85</v>
      </c>
      <c r="AL135" s="90">
        <v>125403</v>
      </c>
      <c r="AM135" s="90" t="s">
        <v>81</v>
      </c>
      <c r="AN135" s="90" t="s">
        <v>559</v>
      </c>
      <c r="AO135" s="125" t="s">
        <v>566</v>
      </c>
      <c r="AP135" s="24" t="s">
        <v>563</v>
      </c>
      <c r="AQ135" s="90" t="s">
        <v>562</v>
      </c>
      <c r="AR135" s="24" t="s">
        <v>563</v>
      </c>
      <c r="AS135" s="90" t="s">
        <v>119</v>
      </c>
      <c r="AT135" s="24" t="s">
        <v>567</v>
      </c>
      <c r="AU135" s="90" t="s">
        <v>119</v>
      </c>
      <c r="AV135" s="90" t="str">
        <f>IF(ISNUMBER(SEARCH("disagree",AE135)),"N","Y")</f>
        <v>Y</v>
      </c>
      <c r="AW135" s="90" t="s">
        <v>119</v>
      </c>
      <c r="AX135" s="24" t="s">
        <v>119</v>
      </c>
      <c r="AY135" s="90" t="str">
        <f>CONCATENATE(AZ135,BA135,BB135,BC135)</f>
        <v/>
      </c>
      <c r="AZ135" s="90" t="str">
        <f>IF(ISNUMBER(SEARCH("Y",AC135)),"R","")</f>
        <v/>
      </c>
      <c r="BA135" s="90" t="str">
        <f>IF(ISNUMBER(SEARCH("Y",Y135)),"M","")</f>
        <v/>
      </c>
      <c r="BB135" s="90" t="str">
        <f>IF(ISNUMBER(SEARCH("Y",AB135)),"QC","")</f>
        <v/>
      </c>
      <c r="BC135" s="90" t="str">
        <f>IF(ISNUMBER(SEARCH("Y",Z135)),"S","")</f>
        <v/>
      </c>
      <c r="BD135" s="90"/>
      <c r="BE135" s="24" t="s">
        <v>119</v>
      </c>
      <c r="BF135" s="125" t="str">
        <f>IF(AND(AW135&gt;=56543,AW135&lt;=76543,LEN(AW135)&gt;0),"3 Feb 2020",IF(AND(AW135&gt;=66544,AW135&lt;=99999,LEN(AW135)&gt;0),"12 Sep 2020",""))</f>
        <v/>
      </c>
      <c r="BG135" s="125" t="str">
        <f>IF((AND(BF135="3 Feb 2020",LEN(BF135)&gt;0)),"Completed",IF((AND(BF135="12 Sep 2020",LEN(BF135)&gt;0)),"Pending",""))</f>
        <v/>
      </c>
      <c r="BH135" s="90" t="str">
        <f>IF((AND(BF135="3 Feb 2020",LEN(BF135)&gt;0)),"3 Feb 2020","")</f>
        <v/>
      </c>
      <c r="BI135" s="90">
        <v>125403</v>
      </c>
      <c r="BJ135" s="90" t="str">
        <f>L135</f>
        <v>9H33HT86977-61</v>
      </c>
      <c r="BK135" s="127">
        <v>43508</v>
      </c>
      <c r="BL135" s="127">
        <v>44239</v>
      </c>
      <c r="BM135" s="128">
        <f>P135*1.1</f>
        <v>838223.10000000009</v>
      </c>
      <c r="BN135" s="129">
        <f>P135*0.9</f>
        <v>685818.9</v>
      </c>
      <c r="BO135" s="130">
        <f>P135*0.8</f>
        <v>609616.80000000005</v>
      </c>
      <c r="BP135" s="90">
        <f>IF(Z135="Y",BM135*0.4,BM135*1.05)</f>
        <v>880134.25500000012</v>
      </c>
      <c r="BQ135" s="90">
        <f>BP135*0.8</f>
        <v>704107.4040000001</v>
      </c>
      <c r="BR135" s="90" t="str">
        <f>IF(ISNUMBER(SEARCH("subrecipient",AI131)),P135*0.6,"")</f>
        <v/>
      </c>
      <c r="BS135" s="90">
        <v>125403</v>
      </c>
      <c r="BT135" s="90" t="str">
        <f>BJ135</f>
        <v>9H33HT86977-61</v>
      </c>
      <c r="BU135" s="127">
        <f>BK135</f>
        <v>43508</v>
      </c>
      <c r="BV135" s="127">
        <f>BL135</f>
        <v>44239</v>
      </c>
      <c r="BW135" s="90" t="str">
        <f>H135</f>
        <v>CDC</v>
      </c>
      <c r="BX135" s="90" t="str">
        <f>IF(H135="NATIONAL HEMOPHILIA FOUNDATION","Non Federal","Federal")</f>
        <v>Federal</v>
      </c>
      <c r="BY135" s="128">
        <f>BM135</f>
        <v>838223.10000000009</v>
      </c>
      <c r="BZ135" s="90" t="str">
        <f>IF(LEN(BR135)&gt;0,1,"")</f>
        <v/>
      </c>
      <c r="CA135" s="90" t="str">
        <f>IF(LEN(BR135)&gt;0,"VIRAL HEPATITIS PROJECT","")</f>
        <v/>
      </c>
      <c r="CB135" s="129" t="str">
        <f>IF(LEN(BR135)&gt;0,BM135*0.7,"")</f>
        <v/>
      </c>
      <c r="CC135" s="90">
        <f>BP135</f>
        <v>880134.25500000012</v>
      </c>
      <c r="CD135" s="90" t="str">
        <f>IF(LEN(BR135)&gt;0,"70%","")</f>
        <v/>
      </c>
      <c r="CE135" s="90">
        <f>BS135</f>
        <v>125403</v>
      </c>
      <c r="CF135" s="90" t="str">
        <f>CA135</f>
        <v/>
      </c>
      <c r="CG135" s="90"/>
      <c r="CH135" s="90"/>
      <c r="CI135" s="90"/>
      <c r="CJ135" s="90"/>
      <c r="CK135" s="90"/>
      <c r="CL135" s="90"/>
      <c r="CM135" s="90"/>
      <c r="CN135" s="90"/>
      <c r="CO135" s="90"/>
      <c r="CP135" s="90"/>
      <c r="CQ135" s="90"/>
      <c r="CR135" s="90"/>
      <c r="CS135" s="90"/>
      <c r="CT135" s="137"/>
    </row>
    <row r="136" spans="1:98" ht="60">
      <c r="A136" s="89">
        <v>125970</v>
      </c>
      <c r="B136" s="90">
        <v>2020</v>
      </c>
      <c r="C136" s="90" t="s">
        <v>81</v>
      </c>
      <c r="D136" s="90" t="s">
        <v>569</v>
      </c>
      <c r="E136" s="125" t="s">
        <v>570</v>
      </c>
      <c r="F136" s="24" t="s">
        <v>571</v>
      </c>
      <c r="G136" s="90" t="s">
        <v>85</v>
      </c>
      <c r="H136" s="90" t="s">
        <v>117</v>
      </c>
      <c r="I136" s="90">
        <v>93</v>
      </c>
      <c r="J136" s="90">
        <v>157</v>
      </c>
      <c r="K136" s="90" t="s">
        <v>85</v>
      </c>
      <c r="L136" s="90" t="s">
        <v>572</v>
      </c>
      <c r="M136" s="90" t="s">
        <v>119</v>
      </c>
      <c r="N136" s="24" t="s">
        <v>573</v>
      </c>
      <c r="O136" s="24" t="str">
        <f>IF(ISNUMBER(SEARCH("Cancer",N136)),"Cancer",IF(ISNUMBER(SEARCH("health",N136)),"Public health",IF(ISNUMBER(SEARCH("disabilities",N136)),"Disabilities","Other")))</f>
        <v>Other</v>
      </c>
      <c r="P136" s="126">
        <v>764825</v>
      </c>
      <c r="Q136" s="90" t="s">
        <v>85</v>
      </c>
      <c r="R136" s="90" t="str">
        <f>IF(P136&gt;20000000,"B","A")</f>
        <v>A</v>
      </c>
      <c r="S136" s="90" t="s">
        <v>90</v>
      </c>
      <c r="T136" s="90" t="s">
        <v>119</v>
      </c>
      <c r="U136" s="90" t="s">
        <v>119</v>
      </c>
      <c r="V136" s="90" t="s">
        <v>119</v>
      </c>
      <c r="W136" s="90" t="s">
        <v>119</v>
      </c>
      <c r="X136" s="90" t="s">
        <v>119</v>
      </c>
      <c r="Y136" s="90" t="s">
        <v>119</v>
      </c>
      <c r="Z136" s="90" t="s">
        <v>119</v>
      </c>
      <c r="AA136" s="90" t="s">
        <v>119</v>
      </c>
      <c r="AB136" s="90" t="s">
        <v>119</v>
      </c>
      <c r="AC136" s="90" t="s">
        <v>119</v>
      </c>
      <c r="AD136" s="90" t="s">
        <v>119</v>
      </c>
      <c r="AE136" s="24">
        <v>0</v>
      </c>
      <c r="AF136" s="90">
        <v>0</v>
      </c>
      <c r="AG136" s="24">
        <v>0</v>
      </c>
      <c r="AH136" s="90">
        <v>89898</v>
      </c>
      <c r="AI136" s="24" t="s">
        <v>94</v>
      </c>
      <c r="AJ136" s="24" t="s">
        <v>574</v>
      </c>
      <c r="AK136" s="90" t="s">
        <v>85</v>
      </c>
      <c r="AL136" s="90">
        <v>125970</v>
      </c>
      <c r="AM136" s="90" t="s">
        <v>81</v>
      </c>
      <c r="AN136" s="90" t="s">
        <v>569</v>
      </c>
      <c r="AO136" s="125" t="s">
        <v>570</v>
      </c>
      <c r="AP136" s="24" t="s">
        <v>573</v>
      </c>
      <c r="AQ136" s="90" t="s">
        <v>572</v>
      </c>
      <c r="AR136" s="24" t="s">
        <v>573</v>
      </c>
      <c r="AS136" s="90" t="s">
        <v>119</v>
      </c>
      <c r="AT136" s="24" t="s">
        <v>94</v>
      </c>
      <c r="AU136" s="90" t="s">
        <v>119</v>
      </c>
      <c r="AV136" s="90" t="str">
        <f>IF(ISNUMBER(SEARCH("disagree",AE136)),"N","Y")</f>
        <v>Y</v>
      </c>
      <c r="AW136" s="90" t="s">
        <v>119</v>
      </c>
      <c r="AX136" s="24" t="s">
        <v>119</v>
      </c>
      <c r="AY136" s="90" t="str">
        <f>CONCATENATE(AZ136,BA136,BB136,BC136)</f>
        <v/>
      </c>
      <c r="AZ136" s="90" t="str">
        <f>IF(ISNUMBER(SEARCH("Y",AC136)),"R","")</f>
        <v/>
      </c>
      <c r="BA136" s="90" t="str">
        <f>IF(ISNUMBER(SEARCH("Y",Y136)),"M","")</f>
        <v/>
      </c>
      <c r="BB136" s="90" t="str">
        <f>IF(ISNUMBER(SEARCH("Y",AB136)),"QC","")</f>
        <v/>
      </c>
      <c r="BC136" s="90" t="str">
        <f>IF(ISNUMBER(SEARCH("Y",Z136)),"S","")</f>
        <v/>
      </c>
      <c r="BD136" s="90"/>
      <c r="BE136" s="24" t="s">
        <v>119</v>
      </c>
      <c r="BF136" s="125" t="str">
        <f>IF(AND(AW136&gt;=56543,AW136&lt;=76543,LEN(AW136)&gt;0),"3 Feb 2020",IF(AND(AW136&gt;=66544,AW136&lt;=99999,LEN(AW136)&gt;0),"12 Sep 2020",""))</f>
        <v/>
      </c>
      <c r="BG136" s="125" t="str">
        <f>IF((AND(BF136="3 Feb 2020",LEN(BF136)&gt;0)),"Completed",IF((AND(BF136="12 Sep 2020",LEN(BF136)&gt;0)),"Pending",""))</f>
        <v/>
      </c>
      <c r="BH136" s="90" t="str">
        <f>IF((AND(BF136="3 Feb 2020",LEN(BF136)&gt;0)),"3 Feb 2020","")</f>
        <v/>
      </c>
      <c r="BI136" s="90">
        <v>125970</v>
      </c>
      <c r="BJ136" s="90" t="str">
        <f>L136</f>
        <v>5S15DS86867-75</v>
      </c>
      <c r="BK136" s="127">
        <v>43508</v>
      </c>
      <c r="BL136" s="127">
        <v>44239</v>
      </c>
      <c r="BM136" s="128">
        <f>P136*1.1</f>
        <v>841307.50000000012</v>
      </c>
      <c r="BN136" s="129">
        <f>P136*0.9</f>
        <v>688342.5</v>
      </c>
      <c r="BO136" s="130">
        <f>P136*0.8</f>
        <v>611860</v>
      </c>
      <c r="BP136" s="90">
        <f>IF(Z136="Y",BM136*0.4,BM136*1.05)</f>
        <v>883372.87500000012</v>
      </c>
      <c r="BQ136" s="90">
        <f>BP136*0.8</f>
        <v>706698.30000000016</v>
      </c>
      <c r="BR136" s="90" t="str">
        <f>IF(ISNUMBER(SEARCH("subrecipient",AI132)),P136*0.6,"")</f>
        <v/>
      </c>
      <c r="BS136" s="90">
        <v>125970</v>
      </c>
      <c r="BT136" s="90" t="str">
        <f>BJ136</f>
        <v>5S15DS86867-75</v>
      </c>
      <c r="BU136" s="127">
        <f>BK136</f>
        <v>43508</v>
      </c>
      <c r="BV136" s="127">
        <f>BL136</f>
        <v>44239</v>
      </c>
      <c r="BW136" s="90" t="str">
        <f>H136</f>
        <v>NIH</v>
      </c>
      <c r="BX136" s="90" t="str">
        <f>IF(H136="NATIONAL HEMOPHILIA FOUNDATION","Non Federal","Federal")</f>
        <v>Federal</v>
      </c>
      <c r="BY136" s="128">
        <f>BM136</f>
        <v>841307.50000000012</v>
      </c>
      <c r="BZ136" s="90" t="str">
        <f>IF(LEN(BR136)&gt;0,1,"")</f>
        <v/>
      </c>
      <c r="CA136" s="90" t="str">
        <f>IF(LEN(BR136)&gt;0,"VIRAL HEPATITIS PROJECT","")</f>
        <v/>
      </c>
      <c r="CB136" s="129" t="str">
        <f>IF(LEN(BR136)&gt;0,BM136*0.7,"")</f>
        <v/>
      </c>
      <c r="CC136" s="90">
        <f>BP136</f>
        <v>883372.87500000012</v>
      </c>
      <c r="CD136" s="90" t="str">
        <f>IF(LEN(BR136)&gt;0,"70%","")</f>
        <v/>
      </c>
      <c r="CE136" s="90">
        <f>BS136</f>
        <v>125970</v>
      </c>
      <c r="CF136" s="90" t="str">
        <f>CA136</f>
        <v/>
      </c>
      <c r="CG136" s="90"/>
      <c r="CH136" s="90"/>
      <c r="CI136" s="90"/>
      <c r="CJ136" s="90"/>
      <c r="CK136" s="90"/>
      <c r="CL136" s="90"/>
      <c r="CM136" s="90"/>
      <c r="CN136" s="90"/>
      <c r="CO136" s="90"/>
      <c r="CP136" s="90"/>
      <c r="CQ136" s="90"/>
      <c r="CR136" s="90"/>
      <c r="CS136" s="90"/>
      <c r="CT136" s="137"/>
    </row>
    <row r="137" spans="1:98" ht="30">
      <c r="A137" s="89">
        <v>125970</v>
      </c>
      <c r="B137" s="90">
        <v>2020</v>
      </c>
      <c r="C137" s="90" t="s">
        <v>81</v>
      </c>
      <c r="D137" s="90" t="s">
        <v>569</v>
      </c>
      <c r="E137" s="125" t="s">
        <v>575</v>
      </c>
      <c r="F137" s="24" t="s">
        <v>571</v>
      </c>
      <c r="G137" s="90" t="s">
        <v>85</v>
      </c>
      <c r="H137" s="90" t="s">
        <v>117</v>
      </c>
      <c r="I137" s="90">
        <v>93</v>
      </c>
      <c r="J137" s="90">
        <v>157</v>
      </c>
      <c r="K137" s="90" t="s">
        <v>85</v>
      </c>
      <c r="L137" s="90" t="s">
        <v>572</v>
      </c>
      <c r="M137" s="90" t="s">
        <v>119</v>
      </c>
      <c r="N137" s="24" t="s">
        <v>573</v>
      </c>
      <c r="O137" s="24" t="str">
        <f>IF(ISNUMBER(SEARCH("Cancer",N137)),"Cancer",IF(ISNUMBER(SEARCH("health",N137)),"Public health",IF(ISNUMBER(SEARCH("disabilities",N137)),"Disabilities","Other")))</f>
        <v>Other</v>
      </c>
      <c r="P137" s="126">
        <v>764825</v>
      </c>
      <c r="Q137" s="90" t="s">
        <v>85</v>
      </c>
      <c r="R137" s="90" t="str">
        <f>IF(P137&gt;20000000,"B","A")</f>
        <v>A</v>
      </c>
      <c r="S137" s="90" t="s">
        <v>90</v>
      </c>
      <c r="T137" s="90" t="s">
        <v>119</v>
      </c>
      <c r="U137" s="90" t="s">
        <v>119</v>
      </c>
      <c r="V137" s="90" t="s">
        <v>119</v>
      </c>
      <c r="W137" s="90" t="s">
        <v>119</v>
      </c>
      <c r="X137" s="90" t="s">
        <v>119</v>
      </c>
      <c r="Y137" s="90" t="s">
        <v>119</v>
      </c>
      <c r="Z137" s="90" t="s">
        <v>119</v>
      </c>
      <c r="AA137" s="90" t="s">
        <v>119</v>
      </c>
      <c r="AB137" s="90" t="s">
        <v>119</v>
      </c>
      <c r="AC137" s="90" t="s">
        <v>119</v>
      </c>
      <c r="AD137" s="90" t="s">
        <v>119</v>
      </c>
      <c r="AE137" s="24">
        <v>0</v>
      </c>
      <c r="AF137" s="90">
        <v>0</v>
      </c>
      <c r="AG137" s="24">
        <v>0</v>
      </c>
      <c r="AH137" s="90">
        <v>89900</v>
      </c>
      <c r="AI137" s="24" t="s">
        <v>102</v>
      </c>
      <c r="AJ137" s="24" t="s">
        <v>576</v>
      </c>
      <c r="AK137" s="90" t="s">
        <v>85</v>
      </c>
      <c r="AL137" s="90">
        <v>125970</v>
      </c>
      <c r="AM137" s="90" t="s">
        <v>81</v>
      </c>
      <c r="AN137" s="90" t="s">
        <v>569</v>
      </c>
      <c r="AO137" s="125" t="s">
        <v>575</v>
      </c>
      <c r="AP137" s="24" t="s">
        <v>573</v>
      </c>
      <c r="AQ137" s="90" t="s">
        <v>572</v>
      </c>
      <c r="AR137" s="24" t="s">
        <v>573</v>
      </c>
      <c r="AS137" s="90" t="s">
        <v>119</v>
      </c>
      <c r="AT137" s="24" t="s">
        <v>102</v>
      </c>
      <c r="AU137" s="90" t="s">
        <v>119</v>
      </c>
      <c r="AV137" s="90" t="str">
        <f>IF(ISNUMBER(SEARCH("disagree",AE137)),"N","Y")</f>
        <v>Y</v>
      </c>
      <c r="AW137" s="90" t="s">
        <v>119</v>
      </c>
      <c r="AX137" s="24" t="s">
        <v>119</v>
      </c>
      <c r="AY137" s="90" t="str">
        <f>CONCATENATE(AZ137,BA137,BB137,BC137)</f>
        <v/>
      </c>
      <c r="AZ137" s="90" t="str">
        <f>IF(ISNUMBER(SEARCH("Y",AC137)),"R","")</f>
        <v/>
      </c>
      <c r="BA137" s="90" t="str">
        <f>IF(ISNUMBER(SEARCH("Y",Y137)),"M","")</f>
        <v/>
      </c>
      <c r="BB137" s="90" t="str">
        <f>IF(ISNUMBER(SEARCH("Y",AB137)),"QC","")</f>
        <v/>
      </c>
      <c r="BC137" s="90" t="str">
        <f>IF(ISNUMBER(SEARCH("Y",Z137)),"S","")</f>
        <v/>
      </c>
      <c r="BD137" s="90"/>
      <c r="BE137" s="24" t="s">
        <v>119</v>
      </c>
      <c r="BF137" s="125" t="str">
        <f>IF(AND(AW137&gt;=56543,AW137&lt;=76543,LEN(AW137)&gt;0),"3 Feb 2020",IF(AND(AW137&gt;=66544,AW137&lt;=99999,LEN(AW137)&gt;0),"12 Sep 2020",""))</f>
        <v/>
      </c>
      <c r="BG137" s="125" t="str">
        <f>IF((AND(BF137="3 Feb 2020",LEN(BF137)&gt;0)),"Completed",IF((AND(BF137="12 Sep 2020",LEN(BF137)&gt;0)),"Pending",""))</f>
        <v/>
      </c>
      <c r="BH137" s="90" t="str">
        <f>IF((AND(BF137="3 Feb 2020",LEN(BF137)&gt;0)),"3 Feb 2020","")</f>
        <v/>
      </c>
      <c r="BI137" s="90">
        <v>125970</v>
      </c>
      <c r="BJ137" s="90" t="str">
        <f>L137</f>
        <v>5S15DS86867-75</v>
      </c>
      <c r="BK137" s="127">
        <v>43508</v>
      </c>
      <c r="BL137" s="127">
        <v>44239</v>
      </c>
      <c r="BM137" s="128">
        <f>P137*1.1</f>
        <v>841307.50000000012</v>
      </c>
      <c r="BN137" s="129">
        <f>P137*0.9</f>
        <v>688342.5</v>
      </c>
      <c r="BO137" s="130">
        <f>P137*0.8</f>
        <v>611860</v>
      </c>
      <c r="BP137" s="90">
        <f>IF(Z137="Y",BM137*0.4,BM137*1.05)</f>
        <v>883372.87500000012</v>
      </c>
      <c r="BQ137" s="90">
        <f>BP137*0.8</f>
        <v>706698.30000000016</v>
      </c>
      <c r="BR137" s="90" t="str">
        <f>IF(ISNUMBER(SEARCH("subrecipient",AI133)),P137*0.6,"")</f>
        <v/>
      </c>
      <c r="BS137" s="90">
        <v>125970</v>
      </c>
      <c r="BT137" s="90" t="str">
        <f>BJ137</f>
        <v>5S15DS86867-75</v>
      </c>
      <c r="BU137" s="127">
        <f>BK137</f>
        <v>43508</v>
      </c>
      <c r="BV137" s="127">
        <f>BL137</f>
        <v>44239</v>
      </c>
      <c r="BW137" s="90" t="str">
        <f>H137</f>
        <v>NIH</v>
      </c>
      <c r="BX137" s="90" t="str">
        <f>IF(H137="NATIONAL HEMOPHILIA FOUNDATION","Non Federal","Federal")</f>
        <v>Federal</v>
      </c>
      <c r="BY137" s="128">
        <f>BM137</f>
        <v>841307.50000000012</v>
      </c>
      <c r="BZ137" s="90" t="str">
        <f>IF(LEN(BR137)&gt;0,1,"")</f>
        <v/>
      </c>
      <c r="CA137" s="90" t="str">
        <f>IF(LEN(BR137)&gt;0,"VIRAL HEPATITIS PROJECT","")</f>
        <v/>
      </c>
      <c r="CB137" s="129" t="str">
        <f>IF(LEN(BR137)&gt;0,BM137*0.7,"")</f>
        <v/>
      </c>
      <c r="CC137" s="90">
        <f>BP137</f>
        <v>883372.87500000012</v>
      </c>
      <c r="CD137" s="90" t="str">
        <f>IF(LEN(BR137)&gt;0,"70%","")</f>
        <v/>
      </c>
      <c r="CE137" s="90">
        <f>BS137</f>
        <v>125970</v>
      </c>
      <c r="CF137" s="90" t="str">
        <f>CA137</f>
        <v/>
      </c>
      <c r="CG137" s="90"/>
      <c r="CH137" s="90"/>
      <c r="CI137" s="90"/>
      <c r="CJ137" s="90"/>
      <c r="CK137" s="90"/>
      <c r="CL137" s="90"/>
      <c r="CM137" s="90"/>
      <c r="CN137" s="90"/>
      <c r="CO137" s="90"/>
      <c r="CP137" s="90"/>
      <c r="CQ137" s="90"/>
      <c r="CR137" s="90"/>
      <c r="CS137" s="90"/>
      <c r="CT137" s="137"/>
    </row>
    <row r="138" spans="1:98" ht="60">
      <c r="A138" s="89">
        <v>125970</v>
      </c>
      <c r="B138" s="90">
        <v>2020</v>
      </c>
      <c r="C138" s="90" t="s">
        <v>81</v>
      </c>
      <c r="D138" s="90" t="s">
        <v>569</v>
      </c>
      <c r="E138" s="125" t="s">
        <v>577</v>
      </c>
      <c r="F138" s="24" t="s">
        <v>571</v>
      </c>
      <c r="G138" s="90" t="s">
        <v>85</v>
      </c>
      <c r="H138" s="90" t="s">
        <v>117</v>
      </c>
      <c r="I138" s="90">
        <v>93</v>
      </c>
      <c r="J138" s="90">
        <v>157</v>
      </c>
      <c r="K138" s="90" t="s">
        <v>85</v>
      </c>
      <c r="L138" s="90" t="s">
        <v>572</v>
      </c>
      <c r="M138" s="90" t="s">
        <v>119</v>
      </c>
      <c r="N138" s="24" t="s">
        <v>573</v>
      </c>
      <c r="O138" s="24" t="str">
        <f>IF(ISNUMBER(SEARCH("Cancer",N138)),"Cancer",IF(ISNUMBER(SEARCH("health",N138)),"Public health",IF(ISNUMBER(SEARCH("disabilities",N138)),"Disabilities","Other")))</f>
        <v>Other</v>
      </c>
      <c r="P138" s="126">
        <v>764825</v>
      </c>
      <c r="Q138" s="90" t="s">
        <v>85</v>
      </c>
      <c r="R138" s="90" t="str">
        <f>IF(P138&gt;20000000,"B","A")</f>
        <v>A</v>
      </c>
      <c r="S138" s="90" t="s">
        <v>90</v>
      </c>
      <c r="T138" s="90" t="s">
        <v>119</v>
      </c>
      <c r="U138" s="90" t="s">
        <v>119</v>
      </c>
      <c r="V138" s="90" t="s">
        <v>119</v>
      </c>
      <c r="W138" s="90" t="s">
        <v>119</v>
      </c>
      <c r="X138" s="90" t="s">
        <v>119</v>
      </c>
      <c r="Y138" s="90" t="s">
        <v>119</v>
      </c>
      <c r="Z138" s="90" t="s">
        <v>119</v>
      </c>
      <c r="AA138" s="90" t="s">
        <v>119</v>
      </c>
      <c r="AB138" s="90" t="s">
        <v>119</v>
      </c>
      <c r="AC138" s="90" t="s">
        <v>119</v>
      </c>
      <c r="AD138" s="90" t="s">
        <v>119</v>
      </c>
      <c r="AE138" s="24">
        <v>0</v>
      </c>
      <c r="AF138" s="90">
        <v>0</v>
      </c>
      <c r="AG138" s="24">
        <v>0</v>
      </c>
      <c r="AH138" s="90">
        <v>89899</v>
      </c>
      <c r="AI138" s="24" t="s">
        <v>110</v>
      </c>
      <c r="AJ138" s="24" t="s">
        <v>578</v>
      </c>
      <c r="AK138" s="90" t="s">
        <v>85</v>
      </c>
      <c r="AL138" s="90">
        <v>125970</v>
      </c>
      <c r="AM138" s="90" t="s">
        <v>81</v>
      </c>
      <c r="AN138" s="90" t="s">
        <v>569</v>
      </c>
      <c r="AO138" s="125" t="s">
        <v>577</v>
      </c>
      <c r="AP138" s="24" t="s">
        <v>573</v>
      </c>
      <c r="AQ138" s="90" t="s">
        <v>572</v>
      </c>
      <c r="AR138" s="24" t="s">
        <v>573</v>
      </c>
      <c r="AS138" s="90" t="s">
        <v>119</v>
      </c>
      <c r="AT138" s="24" t="s">
        <v>110</v>
      </c>
      <c r="AU138" s="90" t="s">
        <v>119</v>
      </c>
      <c r="AV138" s="90" t="str">
        <f>IF(ISNUMBER(SEARCH("disagree",AE138)),"N","Y")</f>
        <v>Y</v>
      </c>
      <c r="AW138" s="90" t="s">
        <v>119</v>
      </c>
      <c r="AX138" s="24" t="s">
        <v>119</v>
      </c>
      <c r="AY138" s="90" t="str">
        <f>CONCATENATE(AZ138,BA138,BB138,BC138)</f>
        <v/>
      </c>
      <c r="AZ138" s="90" t="str">
        <f>IF(ISNUMBER(SEARCH("Y",AC138)),"R","")</f>
        <v/>
      </c>
      <c r="BA138" s="90" t="str">
        <f>IF(ISNUMBER(SEARCH("Y",Y138)),"M","")</f>
        <v/>
      </c>
      <c r="BB138" s="90" t="str">
        <f>IF(ISNUMBER(SEARCH("Y",AB138)),"QC","")</f>
        <v/>
      </c>
      <c r="BC138" s="90" t="str">
        <f>IF(ISNUMBER(SEARCH("Y",Z138)),"S","")</f>
        <v/>
      </c>
      <c r="BD138" s="90"/>
      <c r="BE138" s="24" t="s">
        <v>119</v>
      </c>
      <c r="BF138" s="125" t="str">
        <f>IF(AND(AW138&gt;=56543,AW138&lt;=76543,LEN(AW138)&gt;0),"3 Feb 2020",IF(AND(AW138&gt;=66544,AW138&lt;=99999,LEN(AW138)&gt;0),"12 Sep 2020",""))</f>
        <v/>
      </c>
      <c r="BG138" s="125" t="str">
        <f>IF((AND(BF138="3 Feb 2020",LEN(BF138)&gt;0)),"Completed",IF((AND(BF138="12 Sep 2020",LEN(BF138)&gt;0)),"Pending",""))</f>
        <v/>
      </c>
      <c r="BH138" s="90" t="str">
        <f>IF((AND(BF138="3 Feb 2020",LEN(BF138)&gt;0)),"3 Feb 2020","")</f>
        <v/>
      </c>
      <c r="BI138" s="90">
        <v>125970</v>
      </c>
      <c r="BJ138" s="90" t="str">
        <f>L138</f>
        <v>5S15DS86867-75</v>
      </c>
      <c r="BK138" s="127">
        <v>43508</v>
      </c>
      <c r="BL138" s="127">
        <v>44239</v>
      </c>
      <c r="BM138" s="128">
        <f>P138*1.1</f>
        <v>841307.50000000012</v>
      </c>
      <c r="BN138" s="129">
        <f>P138*0.9</f>
        <v>688342.5</v>
      </c>
      <c r="BO138" s="130">
        <f>P138*0.8</f>
        <v>611860</v>
      </c>
      <c r="BP138" s="90">
        <f>IF(Z138="Y",BM138*0.4,BM138*1.05)</f>
        <v>883372.87500000012</v>
      </c>
      <c r="BQ138" s="90">
        <f>BP138*0.8</f>
        <v>706698.30000000016</v>
      </c>
      <c r="BR138" s="90" t="str">
        <f>IF(ISNUMBER(SEARCH("subrecipient",AI134)),P138*0.6,"")</f>
        <v/>
      </c>
      <c r="BS138" s="90">
        <v>125970</v>
      </c>
      <c r="BT138" s="90" t="str">
        <f>BJ138</f>
        <v>5S15DS86867-75</v>
      </c>
      <c r="BU138" s="127">
        <f>BK138</f>
        <v>43508</v>
      </c>
      <c r="BV138" s="127">
        <f>BL138</f>
        <v>44239</v>
      </c>
      <c r="BW138" s="90" t="str">
        <f>H138</f>
        <v>NIH</v>
      </c>
      <c r="BX138" s="90" t="str">
        <f>IF(H138="NATIONAL HEMOPHILIA FOUNDATION","Non Federal","Federal")</f>
        <v>Federal</v>
      </c>
      <c r="BY138" s="128">
        <f>BM138</f>
        <v>841307.50000000012</v>
      </c>
      <c r="BZ138" s="90" t="str">
        <f>IF(LEN(BR138)&gt;0,1,"")</f>
        <v/>
      </c>
      <c r="CA138" s="90" t="str">
        <f>IF(LEN(BR138)&gt;0,"VIRAL HEPATITIS PROJECT","")</f>
        <v/>
      </c>
      <c r="CB138" s="129" t="str">
        <f>IF(LEN(BR138)&gt;0,BM138*0.7,"")</f>
        <v/>
      </c>
      <c r="CC138" s="90">
        <f>BP138</f>
        <v>883372.87500000012</v>
      </c>
      <c r="CD138" s="90" t="str">
        <f>IF(LEN(BR138)&gt;0,"70%","")</f>
        <v/>
      </c>
      <c r="CE138" s="90">
        <f>BS138</f>
        <v>125970</v>
      </c>
      <c r="CF138" s="90" t="str">
        <f>CA138</f>
        <v/>
      </c>
      <c r="CG138" s="90"/>
      <c r="CH138" s="90"/>
      <c r="CI138" s="90"/>
      <c r="CJ138" s="90"/>
      <c r="CK138" s="90"/>
      <c r="CL138" s="90"/>
      <c r="CM138" s="90"/>
      <c r="CN138" s="90"/>
      <c r="CO138" s="90"/>
      <c r="CP138" s="90"/>
      <c r="CQ138" s="90"/>
      <c r="CR138" s="90"/>
      <c r="CS138" s="90"/>
      <c r="CT138" s="137"/>
    </row>
    <row r="139" spans="1:98" ht="195">
      <c r="A139" s="89">
        <v>126069</v>
      </c>
      <c r="B139" s="90">
        <v>2020</v>
      </c>
      <c r="C139" s="90" t="s">
        <v>81</v>
      </c>
      <c r="D139" s="90" t="s">
        <v>579</v>
      </c>
      <c r="E139" s="125" t="s">
        <v>580</v>
      </c>
      <c r="F139" s="24" t="s">
        <v>581</v>
      </c>
      <c r="G139" s="90" t="s">
        <v>85</v>
      </c>
      <c r="H139" s="90" t="s">
        <v>132</v>
      </c>
      <c r="I139" s="90">
        <v>93</v>
      </c>
      <c r="J139" s="90">
        <v>157</v>
      </c>
      <c r="K139" s="90" t="s">
        <v>85</v>
      </c>
      <c r="L139" s="90" t="s">
        <v>582</v>
      </c>
      <c r="M139" s="90" t="s">
        <v>87</v>
      </c>
      <c r="N139" s="24" t="s">
        <v>583</v>
      </c>
      <c r="O139" s="24" t="str">
        <f>IF(ISNUMBER(SEARCH("Cancer",N139)),"Cancer",IF(ISNUMBER(SEARCH("health",N139)),"Public health",IF(ISNUMBER(SEARCH("disabilities",N139)),"Disabilities","Other")))</f>
        <v>Public health</v>
      </c>
      <c r="P139" s="126">
        <v>779690</v>
      </c>
      <c r="Q139" s="90" t="s">
        <v>85</v>
      </c>
      <c r="R139" s="90" t="str">
        <f>IF(P139&gt;20000000,"B","A")</f>
        <v>A</v>
      </c>
      <c r="S139" s="90" t="s">
        <v>90</v>
      </c>
      <c r="T139" s="90">
        <v>2568982</v>
      </c>
      <c r="U139" s="90" t="s">
        <v>91</v>
      </c>
      <c r="V139" s="90" t="s">
        <v>584</v>
      </c>
      <c r="W139" s="90" t="s">
        <v>87</v>
      </c>
      <c r="X139" s="90" t="s">
        <v>85</v>
      </c>
      <c r="Y139" s="90" t="s">
        <v>85</v>
      </c>
      <c r="Z139" s="90" t="s">
        <v>85</v>
      </c>
      <c r="AA139" s="90" t="s">
        <v>85</v>
      </c>
      <c r="AB139" s="90" t="s">
        <v>87</v>
      </c>
      <c r="AC139" s="90" t="s">
        <v>85</v>
      </c>
      <c r="AD139" s="90">
        <v>0</v>
      </c>
      <c r="AE139" s="24" t="s">
        <v>585</v>
      </c>
      <c r="AF139" s="90" t="s">
        <v>91</v>
      </c>
      <c r="AG139" s="24" t="s">
        <v>586</v>
      </c>
      <c r="AH139" s="90">
        <v>84820</v>
      </c>
      <c r="AI139" s="24" t="s">
        <v>94</v>
      </c>
      <c r="AJ139" s="24" t="s">
        <v>95</v>
      </c>
      <c r="AK139" s="90" t="s">
        <v>87</v>
      </c>
      <c r="AL139" s="90">
        <v>126069</v>
      </c>
      <c r="AM139" s="90" t="s">
        <v>81</v>
      </c>
      <c r="AN139" s="90" t="s">
        <v>579</v>
      </c>
      <c r="AO139" s="125" t="s">
        <v>580</v>
      </c>
      <c r="AP139" s="24" t="s">
        <v>583</v>
      </c>
      <c r="AQ139" s="90" t="s">
        <v>582</v>
      </c>
      <c r="AR139" s="24" t="s">
        <v>583</v>
      </c>
      <c r="AS139" s="90">
        <v>2568982</v>
      </c>
      <c r="AT139" s="24" t="s">
        <v>94</v>
      </c>
      <c r="AU139" s="90" t="s">
        <v>584</v>
      </c>
      <c r="AV139" s="90" t="str">
        <f>IF(ISNUMBER(SEARCH("disagree",AE139)),"N","Y")</f>
        <v>Y</v>
      </c>
      <c r="AW139" s="90">
        <v>80678</v>
      </c>
      <c r="AX139" s="24" t="s">
        <v>96</v>
      </c>
      <c r="AY139" s="90" t="str">
        <f>CONCATENATE(AZ139,BA139,BB139,BC139)</f>
        <v>QC</v>
      </c>
      <c r="AZ139" s="90" t="str">
        <f>IF(ISNUMBER(SEARCH("Y",AC139)),"R","")</f>
        <v/>
      </c>
      <c r="BA139" s="90" t="str">
        <f>IF(ISNUMBER(SEARCH("Y",Y139)),"M","")</f>
        <v/>
      </c>
      <c r="BB139" s="90" t="str">
        <f>IF(ISNUMBER(SEARCH("Y",AB139)),"QC","")</f>
        <v>QC</v>
      </c>
      <c r="BC139" s="90" t="str">
        <f>IF(ISNUMBER(SEARCH("Y",Z139)),"S","")</f>
        <v/>
      </c>
      <c r="BD139" s="90"/>
      <c r="BE139" s="24" t="s">
        <v>97</v>
      </c>
      <c r="BF139" s="125" t="str">
        <f>IF(AND(AW139&gt;=56543,AW139&lt;=76543,LEN(AW139)&gt;0),"3 Feb 2020",IF(AND(AW139&gt;=66544,AW139&lt;=99999,LEN(AW139)&gt;0),"12 Sep 2020",""))</f>
        <v>12 Sep 2020</v>
      </c>
      <c r="BG139" s="125" t="str">
        <f>IF((AND(BF139="3 Feb 2020",LEN(BF139)&gt;0)),"Completed",IF((AND(BF139="12 Sep 2020",LEN(BF139)&gt;0)),"Pending",""))</f>
        <v>Pending</v>
      </c>
      <c r="BH139" s="90" t="str">
        <f>IF((AND(BF139="3 Feb 2020",LEN(BF139)&gt;0)),"3 Feb 2020","")</f>
        <v/>
      </c>
      <c r="BI139" s="90">
        <v>126069</v>
      </c>
      <c r="BJ139" s="90" t="str">
        <f>L139</f>
        <v>7R47IR86869-67</v>
      </c>
      <c r="BK139" s="127">
        <v>43508</v>
      </c>
      <c r="BL139" s="127">
        <v>44239</v>
      </c>
      <c r="BM139" s="128">
        <f>P139*1.1</f>
        <v>857659.00000000012</v>
      </c>
      <c r="BN139" s="129">
        <f>P139*0.9</f>
        <v>701721</v>
      </c>
      <c r="BO139" s="130">
        <f>P139*0.8</f>
        <v>623752</v>
      </c>
      <c r="BP139" s="90">
        <f>IF(Z139="Y",BM139*0.4,BM139*1.05)</f>
        <v>900541.95000000019</v>
      </c>
      <c r="BQ139" s="90">
        <f>BP139*0.8</f>
        <v>720433.56000000017</v>
      </c>
      <c r="BR139" s="90" t="str">
        <f>IF(ISNUMBER(SEARCH("subrecipient",AI135)),P139*0.6,"")</f>
        <v/>
      </c>
      <c r="BS139" s="90">
        <v>126069</v>
      </c>
      <c r="BT139" s="90" t="str">
        <f>BJ139</f>
        <v>7R47IR86869-67</v>
      </c>
      <c r="BU139" s="127">
        <f>BK139</f>
        <v>43508</v>
      </c>
      <c r="BV139" s="127">
        <f>BL139</f>
        <v>44239</v>
      </c>
      <c r="BW139" s="90" t="str">
        <f>H139</f>
        <v>FDA</v>
      </c>
      <c r="BX139" s="90" t="str">
        <f>IF(H139="NATIONAL HEMOPHILIA FOUNDATION","Non Federal","Federal")</f>
        <v>Federal</v>
      </c>
      <c r="BY139" s="128">
        <f>BM139</f>
        <v>857659.00000000012</v>
      </c>
      <c r="BZ139" s="90" t="str">
        <f>IF(LEN(BR139)&gt;0,1,"")</f>
        <v/>
      </c>
      <c r="CA139" s="90" t="str">
        <f>IF(LEN(BR139)&gt;0,"VIRAL HEPATITIS PROJECT","")</f>
        <v/>
      </c>
      <c r="CB139" s="129" t="str">
        <f>IF(LEN(BR139)&gt;0,BM139*0.7,"")</f>
        <v/>
      </c>
      <c r="CC139" s="90">
        <f>BP139</f>
        <v>900541.95000000019</v>
      </c>
      <c r="CD139" s="90" t="str">
        <f>IF(LEN(BR139)&gt;0,"70%","")</f>
        <v/>
      </c>
      <c r="CE139" s="90">
        <f>BS139</f>
        <v>126069</v>
      </c>
      <c r="CF139" s="90" t="str">
        <f>CA139</f>
        <v/>
      </c>
      <c r="CG139" s="90"/>
      <c r="CH139" s="90"/>
      <c r="CI139" s="90"/>
      <c r="CJ139" s="90"/>
      <c r="CK139" s="90"/>
      <c r="CL139" s="90"/>
      <c r="CM139" s="90"/>
      <c r="CN139" s="90"/>
      <c r="CO139" s="90"/>
      <c r="CP139" s="90"/>
      <c r="CQ139" s="90"/>
      <c r="CR139" s="90"/>
      <c r="CS139" s="90"/>
      <c r="CT139" s="137"/>
    </row>
    <row r="140" spans="1:98" ht="165">
      <c r="A140" s="89">
        <v>126069</v>
      </c>
      <c r="B140" s="90">
        <v>2020</v>
      </c>
      <c r="C140" s="90" t="s">
        <v>81</v>
      </c>
      <c r="D140" s="90" t="s">
        <v>579</v>
      </c>
      <c r="E140" s="125" t="s">
        <v>587</v>
      </c>
      <c r="F140" s="24" t="s">
        <v>581</v>
      </c>
      <c r="G140" s="90" t="s">
        <v>85</v>
      </c>
      <c r="H140" s="90" t="s">
        <v>132</v>
      </c>
      <c r="I140" s="90">
        <v>93</v>
      </c>
      <c r="J140" s="90">
        <v>157</v>
      </c>
      <c r="K140" s="90" t="s">
        <v>85</v>
      </c>
      <c r="L140" s="90" t="s">
        <v>582</v>
      </c>
      <c r="M140" s="90" t="s">
        <v>87</v>
      </c>
      <c r="N140" s="24" t="s">
        <v>583</v>
      </c>
      <c r="O140" s="24" t="str">
        <f>IF(ISNUMBER(SEARCH("Cancer",N140)),"Cancer",IF(ISNUMBER(SEARCH("health",N140)),"Public health",IF(ISNUMBER(SEARCH("disabilities",N140)),"Disabilities","Other")))</f>
        <v>Public health</v>
      </c>
      <c r="P140" s="126">
        <v>779690</v>
      </c>
      <c r="Q140" s="90" t="s">
        <v>85</v>
      </c>
      <c r="R140" s="90" t="str">
        <f>IF(P140&gt;20000000,"B","A")</f>
        <v>A</v>
      </c>
      <c r="S140" s="90" t="s">
        <v>90</v>
      </c>
      <c r="T140" s="90">
        <v>2568982</v>
      </c>
      <c r="U140" s="90" t="s">
        <v>91</v>
      </c>
      <c r="V140" s="90" t="s">
        <v>584</v>
      </c>
      <c r="W140" s="90" t="s">
        <v>87</v>
      </c>
      <c r="X140" s="90" t="s">
        <v>85</v>
      </c>
      <c r="Y140" s="90" t="s">
        <v>85</v>
      </c>
      <c r="Z140" s="90" t="s">
        <v>85</v>
      </c>
      <c r="AA140" s="90" t="s">
        <v>85</v>
      </c>
      <c r="AB140" s="90" t="s">
        <v>87</v>
      </c>
      <c r="AC140" s="90" t="s">
        <v>85</v>
      </c>
      <c r="AD140" s="90">
        <v>0</v>
      </c>
      <c r="AE140" s="24">
        <v>0</v>
      </c>
      <c r="AF140" s="90">
        <v>0</v>
      </c>
      <c r="AG140" s="24">
        <v>0</v>
      </c>
      <c r="AH140" s="90">
        <v>84821</v>
      </c>
      <c r="AI140" s="24" t="s">
        <v>102</v>
      </c>
      <c r="AJ140" s="24" t="s">
        <v>103</v>
      </c>
      <c r="AK140" s="90" t="s">
        <v>85</v>
      </c>
      <c r="AL140" s="90">
        <v>126069</v>
      </c>
      <c r="AM140" s="90" t="s">
        <v>81</v>
      </c>
      <c r="AN140" s="90" t="s">
        <v>579</v>
      </c>
      <c r="AO140" s="125" t="s">
        <v>587</v>
      </c>
      <c r="AP140" s="24" t="s">
        <v>583</v>
      </c>
      <c r="AQ140" s="90" t="s">
        <v>582</v>
      </c>
      <c r="AR140" s="24" t="s">
        <v>583</v>
      </c>
      <c r="AS140" s="90">
        <v>2568982</v>
      </c>
      <c r="AT140" s="24" t="s">
        <v>102</v>
      </c>
      <c r="AU140" s="90" t="s">
        <v>584</v>
      </c>
      <c r="AV140" s="90" t="str">
        <f>IF(ISNUMBER(SEARCH("disagree",AE140)),"N","Y")</f>
        <v>Y</v>
      </c>
      <c r="AW140" s="90">
        <v>88279</v>
      </c>
      <c r="AX140" s="24" t="s">
        <v>104</v>
      </c>
      <c r="AY140" s="90" t="str">
        <f>CONCATENATE(AZ140,BA140,BB140,BC140)</f>
        <v>QC</v>
      </c>
      <c r="AZ140" s="90" t="str">
        <f>IF(ISNUMBER(SEARCH("Y",AC140)),"R","")</f>
        <v/>
      </c>
      <c r="BA140" s="90" t="str">
        <f>IF(ISNUMBER(SEARCH("Y",Y140)),"M","")</f>
        <v/>
      </c>
      <c r="BB140" s="90" t="str">
        <f>IF(ISNUMBER(SEARCH("Y",AB140)),"QC","")</f>
        <v>QC</v>
      </c>
      <c r="BC140" s="90" t="str">
        <f>IF(ISNUMBER(SEARCH("Y",Z140)),"S","")</f>
        <v/>
      </c>
      <c r="BD140" s="90"/>
      <c r="BE140" s="24" t="s">
        <v>327</v>
      </c>
      <c r="BF140" s="125" t="str">
        <f>IF(AND(AW140&gt;=56543,AW140&lt;=76543,LEN(AW140)&gt;0),"3 Feb 2020",IF(AND(AW140&gt;=66544,AW140&lt;=99999,LEN(AW140)&gt;0),"12 Sep 2020",""))</f>
        <v>12 Sep 2020</v>
      </c>
      <c r="BG140" s="125" t="str">
        <f>IF((AND(BF140="3 Feb 2020",LEN(BF140)&gt;0)),"Completed",IF((AND(BF140="12 Sep 2020",LEN(BF140)&gt;0)),"Pending",""))</f>
        <v>Pending</v>
      </c>
      <c r="BH140" s="90" t="str">
        <f>IF((AND(BF140="3 Feb 2020",LEN(BF140)&gt;0)),"3 Feb 2020","")</f>
        <v/>
      </c>
      <c r="BI140" s="90">
        <v>126069</v>
      </c>
      <c r="BJ140" s="90" t="str">
        <f>L140</f>
        <v>7R47IR86869-67</v>
      </c>
      <c r="BK140" s="127">
        <v>43508</v>
      </c>
      <c r="BL140" s="127">
        <v>44239</v>
      </c>
      <c r="BM140" s="128">
        <f>P140*1.1</f>
        <v>857659.00000000012</v>
      </c>
      <c r="BN140" s="129">
        <f>P140*0.9</f>
        <v>701721</v>
      </c>
      <c r="BO140" s="130">
        <f>P140*0.8</f>
        <v>623752</v>
      </c>
      <c r="BP140" s="90">
        <f>IF(Z140="Y",BM140*0.4,BM140*1.05)</f>
        <v>900541.95000000019</v>
      </c>
      <c r="BQ140" s="90">
        <f>BP140*0.8</f>
        <v>720433.56000000017</v>
      </c>
      <c r="BR140" s="90" t="str">
        <f>IF(ISNUMBER(SEARCH("subrecipient",AI136)),P140*0.6,"")</f>
        <v/>
      </c>
      <c r="BS140" s="90">
        <v>126069</v>
      </c>
      <c r="BT140" s="90" t="str">
        <f>BJ140</f>
        <v>7R47IR86869-67</v>
      </c>
      <c r="BU140" s="127">
        <f>BK140</f>
        <v>43508</v>
      </c>
      <c r="BV140" s="127">
        <f>BL140</f>
        <v>44239</v>
      </c>
      <c r="BW140" s="90" t="str">
        <f>H140</f>
        <v>FDA</v>
      </c>
      <c r="BX140" s="90" t="str">
        <f>IF(H140="NATIONAL HEMOPHILIA FOUNDATION","Non Federal","Federal")</f>
        <v>Federal</v>
      </c>
      <c r="BY140" s="128">
        <f>BM140</f>
        <v>857659.00000000012</v>
      </c>
      <c r="BZ140" s="90" t="str">
        <f>IF(LEN(BR140)&gt;0,1,"")</f>
        <v/>
      </c>
      <c r="CA140" s="90" t="str">
        <f>IF(LEN(BR140)&gt;0,"VIRAL HEPATITIS PROJECT","")</f>
        <v/>
      </c>
      <c r="CB140" s="129" t="str">
        <f>IF(LEN(BR140)&gt;0,BM140*0.7,"")</f>
        <v/>
      </c>
      <c r="CC140" s="90">
        <f>BP140</f>
        <v>900541.95000000019</v>
      </c>
      <c r="CD140" s="90" t="str">
        <f>IF(LEN(BR140)&gt;0,"70%","")</f>
        <v/>
      </c>
      <c r="CE140" s="90">
        <f>BS140</f>
        <v>126069</v>
      </c>
      <c r="CF140" s="90" t="str">
        <f>CA140</f>
        <v/>
      </c>
      <c r="CG140" s="90"/>
      <c r="CH140" s="90"/>
      <c r="CI140" s="90"/>
      <c r="CJ140" s="90"/>
      <c r="CK140" s="90"/>
      <c r="CL140" s="90"/>
      <c r="CM140" s="90"/>
      <c r="CN140" s="90"/>
      <c r="CO140" s="90"/>
      <c r="CP140" s="90"/>
      <c r="CQ140" s="90"/>
      <c r="CR140" s="90"/>
      <c r="CS140" s="90"/>
      <c r="CT140" s="137"/>
    </row>
    <row r="141" spans="1:98" ht="165">
      <c r="A141" s="89">
        <v>126069</v>
      </c>
      <c r="B141" s="90">
        <v>2020</v>
      </c>
      <c r="C141" s="90" t="s">
        <v>81</v>
      </c>
      <c r="D141" s="90" t="s">
        <v>579</v>
      </c>
      <c r="E141" s="125" t="s">
        <v>588</v>
      </c>
      <c r="F141" s="24" t="s">
        <v>581</v>
      </c>
      <c r="G141" s="90" t="s">
        <v>85</v>
      </c>
      <c r="H141" s="90" t="s">
        <v>132</v>
      </c>
      <c r="I141" s="90">
        <v>93</v>
      </c>
      <c r="J141" s="90">
        <v>157</v>
      </c>
      <c r="K141" s="90" t="s">
        <v>85</v>
      </c>
      <c r="L141" s="90" t="s">
        <v>582</v>
      </c>
      <c r="M141" s="90" t="s">
        <v>87</v>
      </c>
      <c r="N141" s="24" t="s">
        <v>583</v>
      </c>
      <c r="O141" s="24" t="str">
        <f>IF(ISNUMBER(SEARCH("Cancer",N141)),"Cancer",IF(ISNUMBER(SEARCH("health",N141)),"Public health",IF(ISNUMBER(SEARCH("disabilities",N141)),"Disabilities","Other")))</f>
        <v>Public health</v>
      </c>
      <c r="P141" s="126">
        <v>779690</v>
      </c>
      <c r="Q141" s="90" t="s">
        <v>85</v>
      </c>
      <c r="R141" s="90" t="str">
        <f>IF(P141&gt;20000000,"B","A")</f>
        <v>A</v>
      </c>
      <c r="S141" s="90" t="s">
        <v>90</v>
      </c>
      <c r="T141" s="90">
        <v>2568982</v>
      </c>
      <c r="U141" s="90" t="s">
        <v>91</v>
      </c>
      <c r="V141" s="90" t="s">
        <v>584</v>
      </c>
      <c r="W141" s="90" t="s">
        <v>87</v>
      </c>
      <c r="X141" s="90" t="s">
        <v>85</v>
      </c>
      <c r="Y141" s="90" t="s">
        <v>85</v>
      </c>
      <c r="Z141" s="90" t="s">
        <v>87</v>
      </c>
      <c r="AA141" s="90" t="s">
        <v>85</v>
      </c>
      <c r="AB141" s="90" t="s">
        <v>87</v>
      </c>
      <c r="AC141" s="90" t="s">
        <v>85</v>
      </c>
      <c r="AD141" s="90">
        <v>0</v>
      </c>
      <c r="AE141" s="24">
        <v>0</v>
      </c>
      <c r="AF141" s="90">
        <v>0</v>
      </c>
      <c r="AG141" s="24">
        <v>0</v>
      </c>
      <c r="AH141" s="90">
        <v>84819</v>
      </c>
      <c r="AI141" s="24" t="s">
        <v>110</v>
      </c>
      <c r="AJ141" s="24" t="s">
        <v>589</v>
      </c>
      <c r="AK141" s="90" t="s">
        <v>85</v>
      </c>
      <c r="AL141" s="90">
        <v>126069</v>
      </c>
      <c r="AM141" s="90" t="s">
        <v>81</v>
      </c>
      <c r="AN141" s="90" t="s">
        <v>579</v>
      </c>
      <c r="AO141" s="125" t="s">
        <v>588</v>
      </c>
      <c r="AP141" s="24" t="s">
        <v>583</v>
      </c>
      <c r="AQ141" s="90" t="s">
        <v>582</v>
      </c>
      <c r="AR141" s="24" t="s">
        <v>583</v>
      </c>
      <c r="AS141" s="90">
        <v>2568982</v>
      </c>
      <c r="AT141" s="24" t="s">
        <v>110</v>
      </c>
      <c r="AU141" s="90" t="s">
        <v>584</v>
      </c>
      <c r="AV141" s="90" t="str">
        <f>IF(ISNUMBER(SEARCH("disagree",AE141)),"N","Y")</f>
        <v>Y</v>
      </c>
      <c r="AW141" s="90">
        <v>72582</v>
      </c>
      <c r="AX141" s="24" t="s">
        <v>112</v>
      </c>
      <c r="AY141" s="90" t="str">
        <f>CONCATENATE(AZ141,BA141,BB141,BC141)</f>
        <v>QCS</v>
      </c>
      <c r="AZ141" s="90" t="str">
        <f>IF(ISNUMBER(SEARCH("Y",AC141)),"R","")</f>
        <v/>
      </c>
      <c r="BA141" s="90" t="str">
        <f>IF(ISNUMBER(SEARCH("Y",Y141)),"M","")</f>
        <v/>
      </c>
      <c r="BB141" s="90" t="str">
        <f>IF(ISNUMBER(SEARCH("Y",AB141)),"QC","")</f>
        <v>QC</v>
      </c>
      <c r="BC141" s="90" t="str">
        <f>IF(ISNUMBER(SEARCH("Y",Z141)),"S","")</f>
        <v>S</v>
      </c>
      <c r="BD141" s="90"/>
      <c r="BE141" s="24" t="s">
        <v>590</v>
      </c>
      <c r="BF141" s="125" t="str">
        <f>IF(AND(AW141&gt;=56543,AW141&lt;=76543,LEN(AW141)&gt;0),"3 Feb 2020",IF(AND(AW141&gt;=66544,AW141&lt;=99999,LEN(AW141)&gt;0),"12 Sep 2020",""))</f>
        <v>3 Feb 2020</v>
      </c>
      <c r="BG141" s="125" t="str">
        <f>IF((AND(BF141="3 Feb 2020",LEN(BF141)&gt;0)),"Completed",IF((AND(BF141="12 Sep 2020",LEN(BF141)&gt;0)),"Pending",""))</f>
        <v>Completed</v>
      </c>
      <c r="BH141" s="90" t="str">
        <f>IF((AND(BF141="3 Feb 2020",LEN(BF141)&gt;0)),"3 Feb 2020","")</f>
        <v>3 Feb 2020</v>
      </c>
      <c r="BI141" s="90">
        <v>126069</v>
      </c>
      <c r="BJ141" s="90" t="str">
        <f>L141</f>
        <v>7R47IR86869-67</v>
      </c>
      <c r="BK141" s="127">
        <v>43508</v>
      </c>
      <c r="BL141" s="127">
        <v>44239</v>
      </c>
      <c r="BM141" s="128">
        <f>P141*1.1</f>
        <v>857659.00000000012</v>
      </c>
      <c r="BN141" s="129">
        <f>P141*0.9</f>
        <v>701721</v>
      </c>
      <c r="BO141" s="130">
        <f>P141*0.8</f>
        <v>623752</v>
      </c>
      <c r="BP141" s="90">
        <f>IF(Z141="Y",BM141*0.4,BM141*1.05)</f>
        <v>343063.60000000009</v>
      </c>
      <c r="BQ141" s="90">
        <f>BP141*0.8</f>
        <v>274450.88000000006</v>
      </c>
      <c r="BR141" s="90" t="str">
        <f>IF(ISNUMBER(SEARCH("subrecipient",AI137)),P141*0.6,"")</f>
        <v/>
      </c>
      <c r="BS141" s="90">
        <v>126069</v>
      </c>
      <c r="BT141" s="90" t="str">
        <f>BJ141</f>
        <v>7R47IR86869-67</v>
      </c>
      <c r="BU141" s="127">
        <f>BK141</f>
        <v>43508</v>
      </c>
      <c r="BV141" s="127">
        <f>BL141</f>
        <v>44239</v>
      </c>
      <c r="BW141" s="90" t="str">
        <f>H141</f>
        <v>FDA</v>
      </c>
      <c r="BX141" s="90" t="str">
        <f>IF(H141="NATIONAL HEMOPHILIA FOUNDATION","Non Federal","Federal")</f>
        <v>Federal</v>
      </c>
      <c r="BY141" s="128">
        <f>BM141</f>
        <v>857659.00000000012</v>
      </c>
      <c r="BZ141" s="90" t="str">
        <f>IF(LEN(BR141)&gt;0,1,"")</f>
        <v/>
      </c>
      <c r="CA141" s="90" t="str">
        <f>IF(LEN(BR141)&gt;0,"VIRAL HEPATITIS PROJECT","")</f>
        <v/>
      </c>
      <c r="CB141" s="129" t="str">
        <f>IF(LEN(BR141)&gt;0,BM141*0.7,"")</f>
        <v/>
      </c>
      <c r="CC141" s="90">
        <f>BP141</f>
        <v>343063.60000000009</v>
      </c>
      <c r="CD141" s="90" t="str">
        <f>IF(LEN(BR141)&gt;0,"70%","")</f>
        <v/>
      </c>
      <c r="CE141" s="90">
        <f>BS141</f>
        <v>126069</v>
      </c>
      <c r="CF141" s="90" t="str">
        <f>CA141</f>
        <v/>
      </c>
      <c r="CG141" s="90"/>
      <c r="CH141" s="90"/>
      <c r="CI141" s="90"/>
      <c r="CJ141" s="90"/>
      <c r="CK141" s="90"/>
      <c r="CL141" s="90"/>
      <c r="CM141" s="90"/>
      <c r="CN141" s="90"/>
      <c r="CO141" s="90"/>
      <c r="CP141" s="90"/>
      <c r="CQ141" s="90"/>
      <c r="CR141" s="90"/>
      <c r="CS141" s="90"/>
      <c r="CT141" s="137"/>
    </row>
    <row r="142" spans="1:98" ht="165">
      <c r="A142" s="89">
        <v>126181</v>
      </c>
      <c r="B142" s="90">
        <v>2020</v>
      </c>
      <c r="C142" s="90" t="s">
        <v>81</v>
      </c>
      <c r="D142" s="90" t="s">
        <v>591</v>
      </c>
      <c r="E142" s="125" t="s">
        <v>592</v>
      </c>
      <c r="F142" s="24" t="s">
        <v>593</v>
      </c>
      <c r="G142" s="90" t="s">
        <v>85</v>
      </c>
      <c r="H142" s="90" t="s">
        <v>150</v>
      </c>
      <c r="I142" s="90">
        <v>93</v>
      </c>
      <c r="J142" s="90">
        <v>157</v>
      </c>
      <c r="K142" s="90" t="s">
        <v>85</v>
      </c>
      <c r="L142" s="90" t="s">
        <v>594</v>
      </c>
      <c r="M142" s="90" t="s">
        <v>119</v>
      </c>
      <c r="N142" s="24" t="s">
        <v>595</v>
      </c>
      <c r="O142" s="24" t="str">
        <f>IF(ISNUMBER(SEARCH("Cancer",N142)),"Cancer",IF(ISNUMBER(SEARCH("health",N142)),"Public health",IF(ISNUMBER(SEARCH("disabilities",N142)),"Disabilities","Other")))</f>
        <v>Public health</v>
      </c>
      <c r="P142" s="126">
        <v>912015</v>
      </c>
      <c r="Q142" s="90" t="s">
        <v>85</v>
      </c>
      <c r="R142" s="90" t="str">
        <f>IF(P142&gt;20000000,"B","A")</f>
        <v>A</v>
      </c>
      <c r="S142" s="90" t="s">
        <v>90</v>
      </c>
      <c r="T142" s="90" t="s">
        <v>119</v>
      </c>
      <c r="U142" s="90" t="s">
        <v>119</v>
      </c>
      <c r="V142" s="90" t="s">
        <v>119</v>
      </c>
      <c r="W142" s="90" t="s">
        <v>119</v>
      </c>
      <c r="X142" s="90" t="s">
        <v>119</v>
      </c>
      <c r="Y142" s="90" t="s">
        <v>119</v>
      </c>
      <c r="Z142" s="90" t="s">
        <v>119</v>
      </c>
      <c r="AA142" s="90" t="s">
        <v>119</v>
      </c>
      <c r="AB142" s="90" t="s">
        <v>119</v>
      </c>
      <c r="AC142" s="90" t="s">
        <v>119</v>
      </c>
      <c r="AD142" s="90" t="s">
        <v>119</v>
      </c>
      <c r="AE142" s="24">
        <v>0</v>
      </c>
      <c r="AF142" s="90">
        <v>0</v>
      </c>
      <c r="AG142" s="24">
        <v>0</v>
      </c>
      <c r="AH142" s="90">
        <v>77004</v>
      </c>
      <c r="AI142" s="24" t="s">
        <v>94</v>
      </c>
      <c r="AJ142" s="24" t="s">
        <v>95</v>
      </c>
      <c r="AK142" s="90" t="s">
        <v>85</v>
      </c>
      <c r="AL142" s="90">
        <v>126181</v>
      </c>
      <c r="AM142" s="90" t="s">
        <v>81</v>
      </c>
      <c r="AN142" s="90" t="s">
        <v>591</v>
      </c>
      <c r="AO142" s="125" t="s">
        <v>592</v>
      </c>
      <c r="AP142" s="24" t="s">
        <v>595</v>
      </c>
      <c r="AQ142" s="90" t="s">
        <v>594</v>
      </c>
      <c r="AR142" s="24" t="s">
        <v>595</v>
      </c>
      <c r="AS142" s="90" t="s">
        <v>119</v>
      </c>
      <c r="AT142" s="24" t="s">
        <v>94</v>
      </c>
      <c r="AU142" s="90" t="s">
        <v>119</v>
      </c>
      <c r="AV142" s="90" t="str">
        <f>IF(ISNUMBER(SEARCH("disagree",AE142)),"N","Y")</f>
        <v>Y</v>
      </c>
      <c r="AW142" s="90" t="s">
        <v>119</v>
      </c>
      <c r="AX142" s="24" t="s">
        <v>119</v>
      </c>
      <c r="AY142" s="90" t="str">
        <f>CONCATENATE(AZ142,BA142,BB142,BC142)</f>
        <v/>
      </c>
      <c r="AZ142" s="90" t="str">
        <f>IF(ISNUMBER(SEARCH("Y",AC142)),"R","")</f>
        <v/>
      </c>
      <c r="BA142" s="90" t="str">
        <f>IF(ISNUMBER(SEARCH("Y",Y142)),"M","")</f>
        <v/>
      </c>
      <c r="BB142" s="90" t="str">
        <f>IF(ISNUMBER(SEARCH("Y",AB142)),"QC","")</f>
        <v/>
      </c>
      <c r="BC142" s="90" t="str">
        <f>IF(ISNUMBER(SEARCH("Y",Z142)),"S","")</f>
        <v/>
      </c>
      <c r="BD142" s="90"/>
      <c r="BE142" s="24" t="s">
        <v>119</v>
      </c>
      <c r="BF142" s="125" t="str">
        <f>IF(AND(AW142&gt;=56543,AW142&lt;=76543,LEN(AW142)&gt;0),"3 Feb 2020",IF(AND(AW142&gt;=66544,AW142&lt;=99999,LEN(AW142)&gt;0),"12 Sep 2020",""))</f>
        <v/>
      </c>
      <c r="BG142" s="125" t="str">
        <f>IF((AND(BF142="3 Feb 2020",LEN(BF142)&gt;0)),"Completed",IF((AND(BF142="12 Sep 2020",LEN(BF142)&gt;0)),"Pending",""))</f>
        <v/>
      </c>
      <c r="BH142" s="90" t="str">
        <f>IF((AND(BF142="3 Feb 2020",LEN(BF142)&gt;0)),"3 Feb 2020","")</f>
        <v/>
      </c>
      <c r="BI142" s="90">
        <v>126181</v>
      </c>
      <c r="BJ142" s="90" t="str">
        <f>L142</f>
        <v>2H82IT86871-84</v>
      </c>
      <c r="BK142" s="127">
        <v>43508</v>
      </c>
      <c r="BL142" s="127">
        <v>44239</v>
      </c>
      <c r="BM142" s="128">
        <f>P142*1.1</f>
        <v>1003216.5000000001</v>
      </c>
      <c r="BN142" s="129">
        <f>P142*0.9</f>
        <v>820813.5</v>
      </c>
      <c r="BO142" s="130">
        <f>P142*0.8</f>
        <v>729612</v>
      </c>
      <c r="BP142" s="90">
        <f>IF(Z142="Y",BM142*0.4,BM142*1.05)</f>
        <v>1053377.3250000002</v>
      </c>
      <c r="BQ142" s="90">
        <f>BP142*0.8</f>
        <v>842701.86000000022</v>
      </c>
      <c r="BR142" s="90" t="str">
        <f>IF(ISNUMBER(SEARCH("subrecipient",AI138)),P142*0.6,"")</f>
        <v/>
      </c>
      <c r="BS142" s="90">
        <v>126181</v>
      </c>
      <c r="BT142" s="90" t="str">
        <f>BJ142</f>
        <v>2H82IT86871-84</v>
      </c>
      <c r="BU142" s="127">
        <f>BK142</f>
        <v>43508</v>
      </c>
      <c r="BV142" s="127">
        <f>BL142</f>
        <v>44239</v>
      </c>
      <c r="BW142" s="90" t="str">
        <f>H142</f>
        <v>ACF</v>
      </c>
      <c r="BX142" s="90" t="str">
        <f>IF(H142="NATIONAL HEMOPHILIA FOUNDATION","Non Federal","Federal")</f>
        <v>Federal</v>
      </c>
      <c r="BY142" s="128">
        <f>BM142</f>
        <v>1003216.5000000001</v>
      </c>
      <c r="BZ142" s="90" t="str">
        <f>IF(LEN(BR142)&gt;0,1,"")</f>
        <v/>
      </c>
      <c r="CA142" s="90" t="str">
        <f>IF(LEN(BR142)&gt;0,"VIRAL HEPATITIS PROJECT","")</f>
        <v/>
      </c>
      <c r="CB142" s="129" t="str">
        <f>IF(LEN(BR142)&gt;0,BM142*0.7,"")</f>
        <v/>
      </c>
      <c r="CC142" s="90">
        <f>BP142</f>
        <v>1053377.3250000002</v>
      </c>
      <c r="CD142" s="90" t="str">
        <f>IF(LEN(BR142)&gt;0,"70%","")</f>
        <v/>
      </c>
      <c r="CE142" s="90">
        <f>BS142</f>
        <v>126181</v>
      </c>
      <c r="CF142" s="90" t="str">
        <f>CA142</f>
        <v/>
      </c>
      <c r="CG142" s="90"/>
      <c r="CH142" s="90"/>
      <c r="CI142" s="90"/>
      <c r="CJ142" s="90"/>
      <c r="CK142" s="90"/>
      <c r="CL142" s="90"/>
      <c r="CM142" s="90"/>
      <c r="CN142" s="90"/>
      <c r="CO142" s="90"/>
      <c r="CP142" s="90"/>
      <c r="CQ142" s="90"/>
      <c r="CR142" s="90"/>
      <c r="CS142" s="90"/>
      <c r="CT142" s="137"/>
    </row>
    <row r="143" spans="1:98" ht="165">
      <c r="A143" s="89">
        <v>126181</v>
      </c>
      <c r="B143" s="90">
        <v>2020</v>
      </c>
      <c r="C143" s="90" t="s">
        <v>81</v>
      </c>
      <c r="D143" s="90" t="s">
        <v>591</v>
      </c>
      <c r="E143" s="125" t="s">
        <v>596</v>
      </c>
      <c r="F143" s="24" t="s">
        <v>593</v>
      </c>
      <c r="G143" s="90" t="s">
        <v>85</v>
      </c>
      <c r="H143" s="90" t="s">
        <v>150</v>
      </c>
      <c r="I143" s="90">
        <v>93</v>
      </c>
      <c r="J143" s="90">
        <v>157</v>
      </c>
      <c r="K143" s="90" t="s">
        <v>85</v>
      </c>
      <c r="L143" s="90" t="s">
        <v>594</v>
      </c>
      <c r="M143" s="90" t="s">
        <v>119</v>
      </c>
      <c r="N143" s="24" t="s">
        <v>595</v>
      </c>
      <c r="O143" s="24" t="str">
        <f>IF(ISNUMBER(SEARCH("Cancer",N143)),"Cancer",IF(ISNUMBER(SEARCH("health",N143)),"Public health",IF(ISNUMBER(SEARCH("disabilities",N143)),"Disabilities","Other")))</f>
        <v>Public health</v>
      </c>
      <c r="P143" s="126">
        <v>912015</v>
      </c>
      <c r="Q143" s="90" t="s">
        <v>85</v>
      </c>
      <c r="R143" s="90" t="str">
        <f>IF(P143&gt;20000000,"B","A")</f>
        <v>A</v>
      </c>
      <c r="S143" s="90" t="s">
        <v>90</v>
      </c>
      <c r="T143" s="90" t="s">
        <v>119</v>
      </c>
      <c r="U143" s="90" t="s">
        <v>119</v>
      </c>
      <c r="V143" s="90" t="s">
        <v>119</v>
      </c>
      <c r="W143" s="90" t="s">
        <v>119</v>
      </c>
      <c r="X143" s="90" t="s">
        <v>119</v>
      </c>
      <c r="Y143" s="90" t="s">
        <v>119</v>
      </c>
      <c r="Z143" s="90" t="s">
        <v>119</v>
      </c>
      <c r="AA143" s="90" t="s">
        <v>119</v>
      </c>
      <c r="AB143" s="90" t="s">
        <v>119</v>
      </c>
      <c r="AC143" s="90" t="s">
        <v>119</v>
      </c>
      <c r="AD143" s="90" t="s">
        <v>119</v>
      </c>
      <c r="AE143" s="24">
        <v>0</v>
      </c>
      <c r="AF143" s="90">
        <v>0</v>
      </c>
      <c r="AG143" s="24">
        <v>0</v>
      </c>
      <c r="AH143" s="90">
        <v>77002</v>
      </c>
      <c r="AI143" s="24" t="s">
        <v>102</v>
      </c>
      <c r="AJ143" s="24" t="s">
        <v>103</v>
      </c>
      <c r="AK143" s="90" t="s">
        <v>85</v>
      </c>
      <c r="AL143" s="90">
        <v>126181</v>
      </c>
      <c r="AM143" s="90" t="s">
        <v>81</v>
      </c>
      <c r="AN143" s="90" t="s">
        <v>591</v>
      </c>
      <c r="AO143" s="125" t="s">
        <v>596</v>
      </c>
      <c r="AP143" s="24" t="s">
        <v>595</v>
      </c>
      <c r="AQ143" s="90" t="s">
        <v>594</v>
      </c>
      <c r="AR143" s="24" t="s">
        <v>595</v>
      </c>
      <c r="AS143" s="90" t="s">
        <v>119</v>
      </c>
      <c r="AT143" s="24" t="s">
        <v>102</v>
      </c>
      <c r="AU143" s="90" t="s">
        <v>119</v>
      </c>
      <c r="AV143" s="90" t="str">
        <f>IF(ISNUMBER(SEARCH("disagree",AE143)),"N","Y")</f>
        <v>Y</v>
      </c>
      <c r="AW143" s="90" t="s">
        <v>119</v>
      </c>
      <c r="AX143" s="24" t="s">
        <v>119</v>
      </c>
      <c r="AY143" s="90" t="str">
        <f>CONCATENATE(AZ143,BA143,BB143,BC143)</f>
        <v/>
      </c>
      <c r="AZ143" s="90" t="str">
        <f>IF(ISNUMBER(SEARCH("Y",AC143)),"R","")</f>
        <v/>
      </c>
      <c r="BA143" s="90" t="str">
        <f>IF(ISNUMBER(SEARCH("Y",Y143)),"M","")</f>
        <v/>
      </c>
      <c r="BB143" s="90" t="str">
        <f>IF(ISNUMBER(SEARCH("Y",AB143)),"QC","")</f>
        <v/>
      </c>
      <c r="BC143" s="90" t="str">
        <f>IF(ISNUMBER(SEARCH("Y",Z143)),"S","")</f>
        <v/>
      </c>
      <c r="BD143" s="90"/>
      <c r="BE143" s="24" t="s">
        <v>119</v>
      </c>
      <c r="BF143" s="125" t="str">
        <f>IF(AND(AW143&gt;=56543,AW143&lt;=76543,LEN(AW143)&gt;0),"3 Feb 2020",IF(AND(AW143&gt;=66544,AW143&lt;=99999,LEN(AW143)&gt;0),"12 Sep 2020",""))</f>
        <v/>
      </c>
      <c r="BG143" s="125" t="str">
        <f>IF((AND(BF143="3 Feb 2020",LEN(BF143)&gt;0)),"Completed",IF((AND(BF143="12 Sep 2020",LEN(BF143)&gt;0)),"Pending",""))</f>
        <v/>
      </c>
      <c r="BH143" s="90" t="str">
        <f>IF((AND(BF143="3 Feb 2020",LEN(BF143)&gt;0)),"3 Feb 2020","")</f>
        <v/>
      </c>
      <c r="BI143" s="90">
        <v>126181</v>
      </c>
      <c r="BJ143" s="90" t="str">
        <f>L143</f>
        <v>2H82IT86871-84</v>
      </c>
      <c r="BK143" s="127">
        <v>43508</v>
      </c>
      <c r="BL143" s="127">
        <v>44239</v>
      </c>
      <c r="BM143" s="128">
        <f>P143*1.1</f>
        <v>1003216.5000000001</v>
      </c>
      <c r="BN143" s="129">
        <f>P143*0.9</f>
        <v>820813.5</v>
      </c>
      <c r="BO143" s="130">
        <f>P143*0.8</f>
        <v>729612</v>
      </c>
      <c r="BP143" s="90">
        <f>IF(Z143="Y",BM143*0.4,BM143*1.05)</f>
        <v>1053377.3250000002</v>
      </c>
      <c r="BQ143" s="90">
        <f>BP143*0.8</f>
        <v>842701.86000000022</v>
      </c>
      <c r="BR143" s="90" t="str">
        <f>IF(ISNUMBER(SEARCH("subrecipient",AI139)),P143*0.6,"")</f>
        <v/>
      </c>
      <c r="BS143" s="90">
        <v>126181</v>
      </c>
      <c r="BT143" s="90" t="str">
        <f>BJ143</f>
        <v>2H82IT86871-84</v>
      </c>
      <c r="BU143" s="127">
        <f>BK143</f>
        <v>43508</v>
      </c>
      <c r="BV143" s="127">
        <f>BL143</f>
        <v>44239</v>
      </c>
      <c r="BW143" s="90" t="str">
        <f>H143</f>
        <v>ACF</v>
      </c>
      <c r="BX143" s="90" t="str">
        <f>IF(H143="NATIONAL HEMOPHILIA FOUNDATION","Non Federal","Federal")</f>
        <v>Federal</v>
      </c>
      <c r="BY143" s="128">
        <f>BM143</f>
        <v>1003216.5000000001</v>
      </c>
      <c r="BZ143" s="90" t="str">
        <f>IF(LEN(BR143)&gt;0,1,"")</f>
        <v/>
      </c>
      <c r="CA143" s="90" t="str">
        <f>IF(LEN(BR143)&gt;0,"VIRAL HEPATITIS PROJECT","")</f>
        <v/>
      </c>
      <c r="CB143" s="129" t="str">
        <f>IF(LEN(BR143)&gt;0,BM143*0.7,"")</f>
        <v/>
      </c>
      <c r="CC143" s="90">
        <f>BP143</f>
        <v>1053377.3250000002</v>
      </c>
      <c r="CD143" s="90" t="str">
        <f>IF(LEN(BR143)&gt;0,"70%","")</f>
        <v/>
      </c>
      <c r="CE143" s="90">
        <f>BS143</f>
        <v>126181</v>
      </c>
      <c r="CF143" s="90" t="str">
        <f>CA143</f>
        <v/>
      </c>
      <c r="CG143" s="90"/>
      <c r="CH143" s="90"/>
      <c r="CI143" s="90"/>
      <c r="CJ143" s="90"/>
      <c r="CK143" s="90"/>
      <c r="CL143" s="90"/>
      <c r="CM143" s="90"/>
      <c r="CN143" s="90"/>
      <c r="CO143" s="90"/>
      <c r="CP143" s="90"/>
      <c r="CQ143" s="90"/>
      <c r="CR143" s="90"/>
      <c r="CS143" s="90"/>
      <c r="CT143" s="137"/>
    </row>
    <row r="144" spans="1:98" ht="165">
      <c r="A144" s="89">
        <v>126181</v>
      </c>
      <c r="B144" s="90">
        <v>2020</v>
      </c>
      <c r="C144" s="90" t="s">
        <v>81</v>
      </c>
      <c r="D144" s="90" t="s">
        <v>591</v>
      </c>
      <c r="E144" s="125" t="s">
        <v>597</v>
      </c>
      <c r="F144" s="24" t="s">
        <v>593</v>
      </c>
      <c r="G144" s="90" t="s">
        <v>85</v>
      </c>
      <c r="H144" s="90" t="s">
        <v>150</v>
      </c>
      <c r="I144" s="90">
        <v>93</v>
      </c>
      <c r="J144" s="90">
        <v>157</v>
      </c>
      <c r="K144" s="90" t="s">
        <v>85</v>
      </c>
      <c r="L144" s="90" t="s">
        <v>594</v>
      </c>
      <c r="M144" s="90" t="s">
        <v>119</v>
      </c>
      <c r="N144" s="24" t="s">
        <v>595</v>
      </c>
      <c r="O144" s="24" t="str">
        <f>IF(ISNUMBER(SEARCH("Cancer",N144)),"Cancer",IF(ISNUMBER(SEARCH("health",N144)),"Public health",IF(ISNUMBER(SEARCH("disabilities",N144)),"Disabilities","Other")))</f>
        <v>Public health</v>
      </c>
      <c r="P144" s="126">
        <v>912015</v>
      </c>
      <c r="Q144" s="90" t="s">
        <v>85</v>
      </c>
      <c r="R144" s="90" t="str">
        <f>IF(P144&gt;20000000,"B","A")</f>
        <v>A</v>
      </c>
      <c r="S144" s="90" t="s">
        <v>90</v>
      </c>
      <c r="T144" s="90" t="s">
        <v>119</v>
      </c>
      <c r="U144" s="90" t="s">
        <v>119</v>
      </c>
      <c r="V144" s="90" t="s">
        <v>119</v>
      </c>
      <c r="W144" s="90" t="s">
        <v>119</v>
      </c>
      <c r="X144" s="90" t="s">
        <v>119</v>
      </c>
      <c r="Y144" s="90" t="s">
        <v>119</v>
      </c>
      <c r="Z144" s="90" t="s">
        <v>119</v>
      </c>
      <c r="AA144" s="90" t="s">
        <v>119</v>
      </c>
      <c r="AB144" s="90" t="s">
        <v>119</v>
      </c>
      <c r="AC144" s="90" t="s">
        <v>119</v>
      </c>
      <c r="AD144" s="90" t="s">
        <v>119</v>
      </c>
      <c r="AE144" s="24">
        <v>0</v>
      </c>
      <c r="AF144" s="90">
        <v>0</v>
      </c>
      <c r="AG144" s="24">
        <v>0</v>
      </c>
      <c r="AH144" s="90">
        <v>77003</v>
      </c>
      <c r="AI144" s="24" t="s">
        <v>110</v>
      </c>
      <c r="AJ144" s="24" t="s">
        <v>598</v>
      </c>
      <c r="AK144" s="90" t="s">
        <v>85</v>
      </c>
      <c r="AL144" s="90">
        <v>126181</v>
      </c>
      <c r="AM144" s="90" t="s">
        <v>81</v>
      </c>
      <c r="AN144" s="90" t="s">
        <v>591</v>
      </c>
      <c r="AO144" s="125" t="s">
        <v>597</v>
      </c>
      <c r="AP144" s="24" t="s">
        <v>595</v>
      </c>
      <c r="AQ144" s="90" t="s">
        <v>594</v>
      </c>
      <c r="AR144" s="24" t="s">
        <v>595</v>
      </c>
      <c r="AS144" s="90" t="s">
        <v>119</v>
      </c>
      <c r="AT144" s="24" t="s">
        <v>110</v>
      </c>
      <c r="AU144" s="90" t="s">
        <v>119</v>
      </c>
      <c r="AV144" s="90" t="str">
        <f>IF(ISNUMBER(SEARCH("disagree",AE144)),"N","Y")</f>
        <v>Y</v>
      </c>
      <c r="AW144" s="90" t="s">
        <v>119</v>
      </c>
      <c r="AX144" s="24" t="s">
        <v>119</v>
      </c>
      <c r="AY144" s="90" t="str">
        <f>CONCATENATE(AZ144,BA144,BB144,BC144)</f>
        <v/>
      </c>
      <c r="AZ144" s="90" t="str">
        <f>IF(ISNUMBER(SEARCH("Y",AC144)),"R","")</f>
        <v/>
      </c>
      <c r="BA144" s="90" t="str">
        <f>IF(ISNUMBER(SEARCH("Y",Y144)),"M","")</f>
        <v/>
      </c>
      <c r="BB144" s="90" t="str">
        <f>IF(ISNUMBER(SEARCH("Y",AB144)),"QC","")</f>
        <v/>
      </c>
      <c r="BC144" s="90" t="str">
        <f>IF(ISNUMBER(SEARCH("Y",Z144)),"S","")</f>
        <v/>
      </c>
      <c r="BD144" s="90"/>
      <c r="BE144" s="24" t="s">
        <v>119</v>
      </c>
      <c r="BF144" s="125" t="str">
        <f>IF(AND(AW144&gt;=56543,AW144&lt;=76543,LEN(AW144)&gt;0),"3 Feb 2020",IF(AND(AW144&gt;=66544,AW144&lt;=99999,LEN(AW144)&gt;0),"12 Sep 2020",""))</f>
        <v/>
      </c>
      <c r="BG144" s="125" t="str">
        <f>IF((AND(BF144="3 Feb 2020",LEN(BF144)&gt;0)),"Completed",IF((AND(BF144="12 Sep 2020",LEN(BF144)&gt;0)),"Pending",""))</f>
        <v/>
      </c>
      <c r="BH144" s="90" t="str">
        <f>IF((AND(BF144="3 Feb 2020",LEN(BF144)&gt;0)),"3 Feb 2020","")</f>
        <v/>
      </c>
      <c r="BI144" s="90">
        <v>126181</v>
      </c>
      <c r="BJ144" s="90" t="str">
        <f>L144</f>
        <v>2H82IT86871-84</v>
      </c>
      <c r="BK144" s="127">
        <v>43508</v>
      </c>
      <c r="BL144" s="127">
        <v>44239</v>
      </c>
      <c r="BM144" s="128">
        <f>P144*1.1</f>
        <v>1003216.5000000001</v>
      </c>
      <c r="BN144" s="129">
        <f>P144*0.9</f>
        <v>820813.5</v>
      </c>
      <c r="BO144" s="130">
        <f>P144*0.8</f>
        <v>729612</v>
      </c>
      <c r="BP144" s="90">
        <f>IF(Z144="Y",BM144*0.4,BM144*1.05)</f>
        <v>1053377.3250000002</v>
      </c>
      <c r="BQ144" s="90">
        <f>BP144*0.8</f>
        <v>842701.86000000022</v>
      </c>
      <c r="BR144" s="90" t="str">
        <f>IF(ISNUMBER(SEARCH("subrecipient",AI140)),P144*0.6,"")</f>
        <v/>
      </c>
      <c r="BS144" s="90">
        <v>126181</v>
      </c>
      <c r="BT144" s="90" t="str">
        <f>BJ144</f>
        <v>2H82IT86871-84</v>
      </c>
      <c r="BU144" s="127">
        <f>BK144</f>
        <v>43508</v>
      </c>
      <c r="BV144" s="127">
        <f>BL144</f>
        <v>44239</v>
      </c>
      <c r="BW144" s="90" t="str">
        <f>H144</f>
        <v>ACF</v>
      </c>
      <c r="BX144" s="90" t="str">
        <f>IF(H144="NATIONAL HEMOPHILIA FOUNDATION","Non Federal","Federal")</f>
        <v>Federal</v>
      </c>
      <c r="BY144" s="128">
        <f>BM144</f>
        <v>1003216.5000000001</v>
      </c>
      <c r="BZ144" s="90" t="str">
        <f>IF(LEN(BR144)&gt;0,1,"")</f>
        <v/>
      </c>
      <c r="CA144" s="90" t="str">
        <f>IF(LEN(BR144)&gt;0,"VIRAL HEPATITIS PROJECT","")</f>
        <v/>
      </c>
      <c r="CB144" s="129" t="str">
        <f>IF(LEN(BR144)&gt;0,BM144*0.7,"")</f>
        <v/>
      </c>
      <c r="CC144" s="90">
        <f>BP144</f>
        <v>1053377.3250000002</v>
      </c>
      <c r="CD144" s="90" t="str">
        <f>IF(LEN(BR144)&gt;0,"70%","")</f>
        <v/>
      </c>
      <c r="CE144" s="90">
        <f>BS144</f>
        <v>126181</v>
      </c>
      <c r="CF144" s="90" t="str">
        <f>CA144</f>
        <v/>
      </c>
      <c r="CG144" s="90"/>
      <c r="CH144" s="90"/>
      <c r="CI144" s="90"/>
      <c r="CJ144" s="90"/>
      <c r="CK144" s="90"/>
      <c r="CL144" s="90"/>
      <c r="CM144" s="90"/>
      <c r="CN144" s="90"/>
      <c r="CO144" s="90"/>
      <c r="CP144" s="90"/>
      <c r="CQ144" s="90"/>
      <c r="CR144" s="90"/>
      <c r="CS144" s="90"/>
      <c r="CT144" s="137"/>
    </row>
    <row r="145" spans="1:98" ht="60">
      <c r="A145" s="89">
        <v>126273</v>
      </c>
      <c r="B145" s="90">
        <v>2020</v>
      </c>
      <c r="C145" s="90" t="s">
        <v>81</v>
      </c>
      <c r="D145" s="90" t="s">
        <v>599</v>
      </c>
      <c r="E145" s="125" t="s">
        <v>600</v>
      </c>
      <c r="F145" s="24" t="s">
        <v>601</v>
      </c>
      <c r="G145" s="90" t="s">
        <v>85</v>
      </c>
      <c r="H145" s="90" t="s">
        <v>86</v>
      </c>
      <c r="I145" s="90">
        <v>93</v>
      </c>
      <c r="J145" s="90">
        <v>157</v>
      </c>
      <c r="K145" s="90" t="s">
        <v>85</v>
      </c>
      <c r="L145" s="90" t="s">
        <v>602</v>
      </c>
      <c r="M145" s="90" t="s">
        <v>119</v>
      </c>
      <c r="N145" s="24" t="s">
        <v>603</v>
      </c>
      <c r="O145" s="24" t="str">
        <f>IF(ISNUMBER(SEARCH("Cancer",N145)),"Cancer",IF(ISNUMBER(SEARCH("health",N145)),"Public health",IF(ISNUMBER(SEARCH("disabilities",N145)),"Disabilities","Other")))</f>
        <v>Public health</v>
      </c>
      <c r="P145" s="126">
        <v>931249</v>
      </c>
      <c r="Q145" s="90" t="s">
        <v>85</v>
      </c>
      <c r="R145" s="90" t="str">
        <f>IF(P145&gt;20000000,"B","A")</f>
        <v>A</v>
      </c>
      <c r="S145" s="90" t="s">
        <v>90</v>
      </c>
      <c r="T145" s="90" t="s">
        <v>119</v>
      </c>
      <c r="U145" s="90" t="s">
        <v>119</v>
      </c>
      <c r="V145" s="90" t="s">
        <v>119</v>
      </c>
      <c r="W145" s="90" t="s">
        <v>119</v>
      </c>
      <c r="X145" s="90" t="s">
        <v>119</v>
      </c>
      <c r="Y145" s="90" t="s">
        <v>119</v>
      </c>
      <c r="Z145" s="90" t="s">
        <v>119</v>
      </c>
      <c r="AA145" s="90" t="s">
        <v>119</v>
      </c>
      <c r="AB145" s="90" t="s">
        <v>119</v>
      </c>
      <c r="AC145" s="90" t="s">
        <v>119</v>
      </c>
      <c r="AD145" s="90" t="s">
        <v>119</v>
      </c>
      <c r="AE145" s="24">
        <v>0</v>
      </c>
      <c r="AF145" s="90">
        <v>0</v>
      </c>
      <c r="AG145" s="24">
        <v>0</v>
      </c>
      <c r="AH145" s="90">
        <v>84479</v>
      </c>
      <c r="AI145" s="24" t="s">
        <v>94</v>
      </c>
      <c r="AJ145" s="24" t="s">
        <v>95</v>
      </c>
      <c r="AK145" s="90" t="s">
        <v>85</v>
      </c>
      <c r="AL145" s="90">
        <v>126273</v>
      </c>
      <c r="AM145" s="90" t="s">
        <v>81</v>
      </c>
      <c r="AN145" s="90" t="s">
        <v>599</v>
      </c>
      <c r="AO145" s="125" t="s">
        <v>600</v>
      </c>
      <c r="AP145" s="24" t="s">
        <v>603</v>
      </c>
      <c r="AQ145" s="90" t="s">
        <v>602</v>
      </c>
      <c r="AR145" s="24" t="s">
        <v>603</v>
      </c>
      <c r="AS145" s="90" t="s">
        <v>119</v>
      </c>
      <c r="AT145" s="24" t="s">
        <v>94</v>
      </c>
      <c r="AU145" s="90" t="s">
        <v>119</v>
      </c>
      <c r="AV145" s="90" t="str">
        <f>IF(ISNUMBER(SEARCH("disagree",AE145)),"N","Y")</f>
        <v>Y</v>
      </c>
      <c r="AW145" s="90" t="s">
        <v>119</v>
      </c>
      <c r="AX145" s="24" t="s">
        <v>119</v>
      </c>
      <c r="AY145" s="90" t="str">
        <f>CONCATENATE(AZ145,BA145,BB145,BC145)</f>
        <v/>
      </c>
      <c r="AZ145" s="90" t="str">
        <f>IF(ISNUMBER(SEARCH("Y",AC145)),"R","")</f>
        <v/>
      </c>
      <c r="BA145" s="90" t="str">
        <f>IF(ISNUMBER(SEARCH("Y",Y145)),"M","")</f>
        <v/>
      </c>
      <c r="BB145" s="90" t="str">
        <f>IF(ISNUMBER(SEARCH("Y",AB145)),"QC","")</f>
        <v/>
      </c>
      <c r="BC145" s="90" t="str">
        <f>IF(ISNUMBER(SEARCH("Y",Z145)),"S","")</f>
        <v/>
      </c>
      <c r="BD145" s="90"/>
      <c r="BE145" s="24" t="s">
        <v>119</v>
      </c>
      <c r="BF145" s="125" t="str">
        <f>IF(AND(AW145&gt;=56543,AW145&lt;=76543,LEN(AW145)&gt;0),"3 Feb 2020",IF(AND(AW145&gt;=66544,AW145&lt;=99999,LEN(AW145)&gt;0),"12 Sep 2020",""))</f>
        <v/>
      </c>
      <c r="BG145" s="125" t="str">
        <f>IF((AND(BF145="3 Feb 2020",LEN(BF145)&gt;0)),"Completed",IF((AND(BF145="12 Sep 2020",LEN(BF145)&gt;0)),"Pending",""))</f>
        <v/>
      </c>
      <c r="BH145" s="90" t="str">
        <f>IF((AND(BF145="3 Feb 2020",LEN(BF145)&gt;0)),"3 Feb 2020","")</f>
        <v/>
      </c>
      <c r="BI145" s="90">
        <v>126273</v>
      </c>
      <c r="BJ145" s="90" t="str">
        <f>L145</f>
        <v>6H56CT88524-58</v>
      </c>
      <c r="BK145" s="127">
        <v>43508</v>
      </c>
      <c r="BL145" s="127">
        <v>44239</v>
      </c>
      <c r="BM145" s="128">
        <f>P145*1.1</f>
        <v>1024373.9000000001</v>
      </c>
      <c r="BN145" s="129">
        <f>P145*0.9</f>
        <v>838124.1</v>
      </c>
      <c r="BO145" s="130">
        <f>P145*0.8</f>
        <v>744999.20000000007</v>
      </c>
      <c r="BP145" s="90">
        <f>IF(Z145="Y",BM145*0.4,BM145*1.05)</f>
        <v>1075592.5950000002</v>
      </c>
      <c r="BQ145" s="90">
        <f>BP145*0.8</f>
        <v>860474.07600000023</v>
      </c>
      <c r="BR145" s="90" t="str">
        <f>IF(ISNUMBER(SEARCH("subrecipient",AI141)),P145*0.6,"")</f>
        <v/>
      </c>
      <c r="BS145" s="90">
        <v>126273</v>
      </c>
      <c r="BT145" s="90" t="str">
        <f>BJ145</f>
        <v>6H56CT88524-58</v>
      </c>
      <c r="BU145" s="127">
        <f>BK145</f>
        <v>43508</v>
      </c>
      <c r="BV145" s="127">
        <f>BL145</f>
        <v>44239</v>
      </c>
      <c r="BW145" s="90" t="str">
        <f>H145</f>
        <v>CDC</v>
      </c>
      <c r="BX145" s="90" t="str">
        <f>IF(H145="NATIONAL HEMOPHILIA FOUNDATION","Non Federal","Federal")</f>
        <v>Federal</v>
      </c>
      <c r="BY145" s="128">
        <f>BM145</f>
        <v>1024373.9000000001</v>
      </c>
      <c r="BZ145" s="90" t="str">
        <f>IF(LEN(BR145)&gt;0,1,"")</f>
        <v/>
      </c>
      <c r="CA145" s="90" t="str">
        <f>IF(LEN(BR145)&gt;0,"VIRAL HEPATITIS PROJECT","")</f>
        <v/>
      </c>
      <c r="CB145" s="129" t="str">
        <f>IF(LEN(BR145)&gt;0,BM145*0.7,"")</f>
        <v/>
      </c>
      <c r="CC145" s="90">
        <f>BP145</f>
        <v>1075592.5950000002</v>
      </c>
      <c r="CD145" s="90" t="str">
        <f>IF(LEN(BR145)&gt;0,"70%","")</f>
        <v/>
      </c>
      <c r="CE145" s="90">
        <f>BS145</f>
        <v>126273</v>
      </c>
      <c r="CF145" s="90" t="str">
        <f>CA145</f>
        <v/>
      </c>
      <c r="CG145" s="90"/>
      <c r="CH145" s="90"/>
      <c r="CI145" s="90"/>
      <c r="CJ145" s="90"/>
      <c r="CK145" s="90"/>
      <c r="CL145" s="90"/>
      <c r="CM145" s="90"/>
      <c r="CN145" s="90"/>
      <c r="CO145" s="90"/>
      <c r="CP145" s="90"/>
      <c r="CQ145" s="90"/>
      <c r="CR145" s="90"/>
      <c r="CS145" s="90"/>
      <c r="CT145" s="137"/>
    </row>
    <row r="146" spans="1:98" ht="60">
      <c r="A146" s="89">
        <v>126273</v>
      </c>
      <c r="B146" s="90">
        <v>2020</v>
      </c>
      <c r="C146" s="90" t="s">
        <v>81</v>
      </c>
      <c r="D146" s="90" t="s">
        <v>599</v>
      </c>
      <c r="E146" s="125" t="s">
        <v>604</v>
      </c>
      <c r="F146" s="24" t="s">
        <v>601</v>
      </c>
      <c r="G146" s="90" t="s">
        <v>85</v>
      </c>
      <c r="H146" s="90" t="s">
        <v>86</v>
      </c>
      <c r="I146" s="90">
        <v>93</v>
      </c>
      <c r="J146" s="90">
        <v>157</v>
      </c>
      <c r="K146" s="90" t="s">
        <v>85</v>
      </c>
      <c r="L146" s="90" t="s">
        <v>602</v>
      </c>
      <c r="M146" s="90" t="s">
        <v>119</v>
      </c>
      <c r="N146" s="24" t="s">
        <v>603</v>
      </c>
      <c r="O146" s="24" t="str">
        <f>IF(ISNUMBER(SEARCH("Cancer",N146)),"Cancer",IF(ISNUMBER(SEARCH("health",N146)),"Public health",IF(ISNUMBER(SEARCH("disabilities",N146)),"Disabilities","Other")))</f>
        <v>Public health</v>
      </c>
      <c r="P146" s="126">
        <v>931249</v>
      </c>
      <c r="Q146" s="90" t="s">
        <v>85</v>
      </c>
      <c r="R146" s="90" t="str">
        <f>IF(P146&gt;20000000,"B","A")</f>
        <v>A</v>
      </c>
      <c r="S146" s="90" t="s">
        <v>90</v>
      </c>
      <c r="T146" s="90" t="s">
        <v>119</v>
      </c>
      <c r="U146" s="90" t="s">
        <v>119</v>
      </c>
      <c r="V146" s="90" t="s">
        <v>119</v>
      </c>
      <c r="W146" s="90" t="s">
        <v>119</v>
      </c>
      <c r="X146" s="90" t="s">
        <v>119</v>
      </c>
      <c r="Y146" s="90" t="s">
        <v>119</v>
      </c>
      <c r="Z146" s="90" t="s">
        <v>119</v>
      </c>
      <c r="AA146" s="90" t="s">
        <v>119</v>
      </c>
      <c r="AB146" s="90" t="s">
        <v>119</v>
      </c>
      <c r="AC146" s="90" t="s">
        <v>119</v>
      </c>
      <c r="AD146" s="90" t="s">
        <v>119</v>
      </c>
      <c r="AE146" s="24">
        <v>0</v>
      </c>
      <c r="AF146" s="90">
        <v>0</v>
      </c>
      <c r="AG146" s="24">
        <v>0</v>
      </c>
      <c r="AH146" s="90">
        <v>84480</v>
      </c>
      <c r="AI146" s="24" t="s">
        <v>102</v>
      </c>
      <c r="AJ146" s="24" t="s">
        <v>103</v>
      </c>
      <c r="AK146" s="90" t="s">
        <v>85</v>
      </c>
      <c r="AL146" s="90">
        <v>126273</v>
      </c>
      <c r="AM146" s="90" t="s">
        <v>81</v>
      </c>
      <c r="AN146" s="90" t="s">
        <v>599</v>
      </c>
      <c r="AO146" s="125" t="s">
        <v>604</v>
      </c>
      <c r="AP146" s="24" t="s">
        <v>603</v>
      </c>
      <c r="AQ146" s="90" t="s">
        <v>602</v>
      </c>
      <c r="AR146" s="24" t="s">
        <v>603</v>
      </c>
      <c r="AS146" s="90" t="s">
        <v>119</v>
      </c>
      <c r="AT146" s="24" t="s">
        <v>102</v>
      </c>
      <c r="AU146" s="90" t="s">
        <v>119</v>
      </c>
      <c r="AV146" s="90" t="str">
        <f>IF(ISNUMBER(SEARCH("disagree",AE146)),"N","Y")</f>
        <v>Y</v>
      </c>
      <c r="AW146" s="90" t="s">
        <v>119</v>
      </c>
      <c r="AX146" s="24" t="s">
        <v>119</v>
      </c>
      <c r="AY146" s="90" t="str">
        <f>CONCATENATE(AZ146,BA146,BB146,BC146)</f>
        <v/>
      </c>
      <c r="AZ146" s="90" t="str">
        <f>IF(ISNUMBER(SEARCH("Y",AC146)),"R","")</f>
        <v/>
      </c>
      <c r="BA146" s="90" t="str">
        <f>IF(ISNUMBER(SEARCH("Y",Y146)),"M","")</f>
        <v/>
      </c>
      <c r="BB146" s="90" t="str">
        <f>IF(ISNUMBER(SEARCH("Y",AB146)),"QC","")</f>
        <v/>
      </c>
      <c r="BC146" s="90" t="str">
        <f>IF(ISNUMBER(SEARCH("Y",Z146)),"S","")</f>
        <v/>
      </c>
      <c r="BD146" s="90"/>
      <c r="BE146" s="24" t="s">
        <v>119</v>
      </c>
      <c r="BF146" s="125" t="str">
        <f>IF(AND(AW146&gt;=56543,AW146&lt;=76543,LEN(AW146)&gt;0),"3 Feb 2020",IF(AND(AW146&gt;=66544,AW146&lt;=99999,LEN(AW146)&gt;0),"12 Sep 2020",""))</f>
        <v/>
      </c>
      <c r="BG146" s="125" t="str">
        <f>IF((AND(BF146="3 Feb 2020",LEN(BF146)&gt;0)),"Completed",IF((AND(BF146="12 Sep 2020",LEN(BF146)&gt;0)),"Pending",""))</f>
        <v/>
      </c>
      <c r="BH146" s="90" t="str">
        <f>IF((AND(BF146="3 Feb 2020",LEN(BF146)&gt;0)),"3 Feb 2020","")</f>
        <v/>
      </c>
      <c r="BI146" s="90">
        <v>126273</v>
      </c>
      <c r="BJ146" s="90" t="str">
        <f>L146</f>
        <v>6H56CT88524-58</v>
      </c>
      <c r="BK146" s="127">
        <v>43508</v>
      </c>
      <c r="BL146" s="127">
        <v>44239</v>
      </c>
      <c r="BM146" s="128">
        <f>P146*1.1</f>
        <v>1024373.9000000001</v>
      </c>
      <c r="BN146" s="129">
        <f>P146*0.9</f>
        <v>838124.1</v>
      </c>
      <c r="BO146" s="130">
        <f>P146*0.8</f>
        <v>744999.20000000007</v>
      </c>
      <c r="BP146" s="90">
        <f>IF(Z146="Y",BM146*0.4,BM146*1.05)</f>
        <v>1075592.5950000002</v>
      </c>
      <c r="BQ146" s="90">
        <f>BP146*0.8</f>
        <v>860474.07600000023</v>
      </c>
      <c r="BR146" s="90" t="str">
        <f>IF(ISNUMBER(SEARCH("subrecipient",AI142)),P146*0.6,"")</f>
        <v/>
      </c>
      <c r="BS146" s="90">
        <v>126273</v>
      </c>
      <c r="BT146" s="90" t="str">
        <f>BJ146</f>
        <v>6H56CT88524-58</v>
      </c>
      <c r="BU146" s="127">
        <f>BK146</f>
        <v>43508</v>
      </c>
      <c r="BV146" s="127">
        <f>BL146</f>
        <v>44239</v>
      </c>
      <c r="BW146" s="90" t="str">
        <f>H146</f>
        <v>CDC</v>
      </c>
      <c r="BX146" s="90" t="str">
        <f>IF(H146="NATIONAL HEMOPHILIA FOUNDATION","Non Federal","Federal")</f>
        <v>Federal</v>
      </c>
      <c r="BY146" s="128">
        <f>BM146</f>
        <v>1024373.9000000001</v>
      </c>
      <c r="BZ146" s="90" t="str">
        <f>IF(LEN(BR146)&gt;0,1,"")</f>
        <v/>
      </c>
      <c r="CA146" s="90" t="str">
        <f>IF(LEN(BR146)&gt;0,"VIRAL HEPATITIS PROJECT","")</f>
        <v/>
      </c>
      <c r="CB146" s="129" t="str">
        <f>IF(LEN(BR146)&gt;0,BM146*0.7,"")</f>
        <v/>
      </c>
      <c r="CC146" s="90">
        <f>BP146</f>
        <v>1075592.5950000002</v>
      </c>
      <c r="CD146" s="90" t="str">
        <f>IF(LEN(BR146)&gt;0,"70%","")</f>
        <v/>
      </c>
      <c r="CE146" s="90">
        <f>BS146</f>
        <v>126273</v>
      </c>
      <c r="CF146" s="90" t="str">
        <f>CA146</f>
        <v/>
      </c>
      <c r="CG146" s="90"/>
      <c r="CH146" s="90"/>
      <c r="CI146" s="90"/>
      <c r="CJ146" s="90"/>
      <c r="CK146" s="90"/>
      <c r="CL146" s="90"/>
      <c r="CM146" s="90"/>
      <c r="CN146" s="90"/>
      <c r="CO146" s="90"/>
      <c r="CP146" s="90"/>
      <c r="CQ146" s="90"/>
      <c r="CR146" s="90"/>
      <c r="CS146" s="90"/>
      <c r="CT146" s="137"/>
    </row>
    <row r="147" spans="1:98" ht="60">
      <c r="A147" s="89">
        <v>126273</v>
      </c>
      <c r="B147" s="90">
        <v>2020</v>
      </c>
      <c r="C147" s="90" t="s">
        <v>81</v>
      </c>
      <c r="D147" s="90" t="s">
        <v>599</v>
      </c>
      <c r="E147" s="125" t="s">
        <v>605</v>
      </c>
      <c r="F147" s="24" t="s">
        <v>601</v>
      </c>
      <c r="G147" s="90" t="s">
        <v>85</v>
      </c>
      <c r="H147" s="90" t="s">
        <v>86</v>
      </c>
      <c r="I147" s="90">
        <v>93</v>
      </c>
      <c r="J147" s="90">
        <v>157</v>
      </c>
      <c r="K147" s="90" t="s">
        <v>85</v>
      </c>
      <c r="L147" s="90" t="s">
        <v>602</v>
      </c>
      <c r="M147" s="90" t="s">
        <v>119</v>
      </c>
      <c r="N147" s="24" t="s">
        <v>603</v>
      </c>
      <c r="O147" s="24" t="str">
        <f>IF(ISNUMBER(SEARCH("Cancer",N147)),"Cancer",IF(ISNUMBER(SEARCH("health",N147)),"Public health",IF(ISNUMBER(SEARCH("disabilities",N147)),"Disabilities","Other")))</f>
        <v>Public health</v>
      </c>
      <c r="P147" s="126">
        <v>931249</v>
      </c>
      <c r="Q147" s="90" t="s">
        <v>85</v>
      </c>
      <c r="R147" s="90" t="str">
        <f>IF(P147&gt;20000000,"B","A")</f>
        <v>A</v>
      </c>
      <c r="S147" s="90" t="s">
        <v>90</v>
      </c>
      <c r="T147" s="90" t="s">
        <v>119</v>
      </c>
      <c r="U147" s="90" t="s">
        <v>119</v>
      </c>
      <c r="V147" s="90" t="s">
        <v>119</v>
      </c>
      <c r="W147" s="90" t="s">
        <v>119</v>
      </c>
      <c r="X147" s="90" t="s">
        <v>119</v>
      </c>
      <c r="Y147" s="90" t="s">
        <v>119</v>
      </c>
      <c r="Z147" s="90" t="s">
        <v>119</v>
      </c>
      <c r="AA147" s="90" t="s">
        <v>119</v>
      </c>
      <c r="AB147" s="90" t="s">
        <v>119</v>
      </c>
      <c r="AC147" s="90" t="s">
        <v>119</v>
      </c>
      <c r="AD147" s="90" t="s">
        <v>119</v>
      </c>
      <c r="AE147" s="24">
        <v>0</v>
      </c>
      <c r="AF147" s="90">
        <v>0</v>
      </c>
      <c r="AG147" s="24">
        <v>0</v>
      </c>
      <c r="AH147" s="90">
        <v>84478</v>
      </c>
      <c r="AI147" s="24" t="s">
        <v>110</v>
      </c>
      <c r="AJ147" s="24" t="s">
        <v>606</v>
      </c>
      <c r="AK147" s="90" t="s">
        <v>85</v>
      </c>
      <c r="AL147" s="90">
        <v>126273</v>
      </c>
      <c r="AM147" s="90" t="s">
        <v>81</v>
      </c>
      <c r="AN147" s="90" t="s">
        <v>599</v>
      </c>
      <c r="AO147" s="125" t="s">
        <v>605</v>
      </c>
      <c r="AP147" s="24" t="s">
        <v>603</v>
      </c>
      <c r="AQ147" s="90" t="s">
        <v>602</v>
      </c>
      <c r="AR147" s="24" t="s">
        <v>603</v>
      </c>
      <c r="AS147" s="90" t="s">
        <v>119</v>
      </c>
      <c r="AT147" s="24" t="s">
        <v>110</v>
      </c>
      <c r="AU147" s="90" t="s">
        <v>119</v>
      </c>
      <c r="AV147" s="90" t="str">
        <f>IF(ISNUMBER(SEARCH("disagree",AE147)),"N","Y")</f>
        <v>Y</v>
      </c>
      <c r="AW147" s="90" t="s">
        <v>119</v>
      </c>
      <c r="AX147" s="24" t="s">
        <v>119</v>
      </c>
      <c r="AY147" s="90" t="str">
        <f>CONCATENATE(AZ147,BA147,BB147,BC147)</f>
        <v/>
      </c>
      <c r="AZ147" s="90" t="str">
        <f>IF(ISNUMBER(SEARCH("Y",AC147)),"R","")</f>
        <v/>
      </c>
      <c r="BA147" s="90" t="str">
        <f>IF(ISNUMBER(SEARCH("Y",Y147)),"M","")</f>
        <v/>
      </c>
      <c r="BB147" s="90" t="str">
        <f>IF(ISNUMBER(SEARCH("Y",AB147)),"QC","")</f>
        <v/>
      </c>
      <c r="BC147" s="90" t="str">
        <f>IF(ISNUMBER(SEARCH("Y",Z147)),"S","")</f>
        <v/>
      </c>
      <c r="BD147" s="90"/>
      <c r="BE147" s="24" t="s">
        <v>119</v>
      </c>
      <c r="BF147" s="125" t="str">
        <f>IF(AND(AW147&gt;=56543,AW147&lt;=76543,LEN(AW147)&gt;0),"3 Feb 2020",IF(AND(AW147&gt;=66544,AW147&lt;=99999,LEN(AW147)&gt;0),"12 Sep 2020",""))</f>
        <v/>
      </c>
      <c r="BG147" s="125" t="str">
        <f>IF((AND(BF147="3 Feb 2020",LEN(BF147)&gt;0)),"Completed",IF((AND(BF147="12 Sep 2020",LEN(BF147)&gt;0)),"Pending",""))</f>
        <v/>
      </c>
      <c r="BH147" s="90" t="str">
        <f>IF((AND(BF147="3 Feb 2020",LEN(BF147)&gt;0)),"3 Feb 2020","")</f>
        <v/>
      </c>
      <c r="BI147" s="90">
        <v>126273</v>
      </c>
      <c r="BJ147" s="90" t="str">
        <f>L147</f>
        <v>6H56CT88524-58</v>
      </c>
      <c r="BK147" s="127">
        <v>43508</v>
      </c>
      <c r="BL147" s="127">
        <v>44239</v>
      </c>
      <c r="BM147" s="128">
        <f>P147*1.1</f>
        <v>1024373.9000000001</v>
      </c>
      <c r="BN147" s="129">
        <f>P147*0.9</f>
        <v>838124.1</v>
      </c>
      <c r="BO147" s="130">
        <f>P147*0.8</f>
        <v>744999.20000000007</v>
      </c>
      <c r="BP147" s="90">
        <f>IF(Z147="Y",BM147*0.4,BM147*1.05)</f>
        <v>1075592.5950000002</v>
      </c>
      <c r="BQ147" s="90">
        <f>BP147*0.8</f>
        <v>860474.07600000023</v>
      </c>
      <c r="BR147" s="90" t="str">
        <f>IF(ISNUMBER(SEARCH("subrecipient",AI143)),P147*0.6,"")</f>
        <v/>
      </c>
      <c r="BS147" s="90">
        <v>126273</v>
      </c>
      <c r="BT147" s="90" t="str">
        <f>BJ147</f>
        <v>6H56CT88524-58</v>
      </c>
      <c r="BU147" s="127">
        <f>BK147</f>
        <v>43508</v>
      </c>
      <c r="BV147" s="127">
        <f>BL147</f>
        <v>44239</v>
      </c>
      <c r="BW147" s="90" t="str">
        <f>H147</f>
        <v>CDC</v>
      </c>
      <c r="BX147" s="90" t="str">
        <f>IF(H147="NATIONAL HEMOPHILIA FOUNDATION","Non Federal","Federal")</f>
        <v>Federal</v>
      </c>
      <c r="BY147" s="128">
        <f>BM147</f>
        <v>1024373.9000000001</v>
      </c>
      <c r="BZ147" s="90" t="str">
        <f>IF(LEN(BR147)&gt;0,1,"")</f>
        <v/>
      </c>
      <c r="CA147" s="90" t="str">
        <f>IF(LEN(BR147)&gt;0,"VIRAL HEPATITIS PROJECT","")</f>
        <v/>
      </c>
      <c r="CB147" s="129" t="str">
        <f>IF(LEN(BR147)&gt;0,BM147*0.7,"")</f>
        <v/>
      </c>
      <c r="CC147" s="90">
        <f>BP147</f>
        <v>1075592.5950000002</v>
      </c>
      <c r="CD147" s="90" t="str">
        <f>IF(LEN(BR147)&gt;0,"70%","")</f>
        <v/>
      </c>
      <c r="CE147" s="90">
        <f>BS147</f>
        <v>126273</v>
      </c>
      <c r="CF147" s="90" t="str">
        <f>CA147</f>
        <v/>
      </c>
      <c r="CG147" s="90"/>
      <c r="CH147" s="90"/>
      <c r="CI147" s="90"/>
      <c r="CJ147" s="90"/>
      <c r="CK147" s="90"/>
      <c r="CL147" s="90"/>
      <c r="CM147" s="90"/>
      <c r="CN147" s="90"/>
      <c r="CO147" s="90"/>
      <c r="CP147" s="90"/>
      <c r="CQ147" s="90"/>
      <c r="CR147" s="90"/>
      <c r="CS147" s="90"/>
      <c r="CT147" s="137"/>
    </row>
    <row r="148" spans="1:98" ht="165">
      <c r="A148" s="89">
        <v>126274</v>
      </c>
      <c r="B148" s="90">
        <v>2020</v>
      </c>
      <c r="C148" s="90" t="s">
        <v>81</v>
      </c>
      <c r="D148" s="90" t="s">
        <v>607</v>
      </c>
      <c r="E148" s="125" t="s">
        <v>608</v>
      </c>
      <c r="F148" s="24" t="s">
        <v>609</v>
      </c>
      <c r="G148" s="90" t="s">
        <v>85</v>
      </c>
      <c r="H148" s="90" t="s">
        <v>117</v>
      </c>
      <c r="I148" s="90">
        <v>93</v>
      </c>
      <c r="J148" s="90">
        <v>157</v>
      </c>
      <c r="K148" s="90" t="s">
        <v>85</v>
      </c>
      <c r="L148" s="90" t="s">
        <v>610</v>
      </c>
      <c r="M148" s="90" t="s">
        <v>119</v>
      </c>
      <c r="N148" s="24" t="s">
        <v>583</v>
      </c>
      <c r="O148" s="24" t="str">
        <f>IF(ISNUMBER(SEARCH("Cancer",N148)),"Cancer",IF(ISNUMBER(SEARCH("health",N148)),"Public health",IF(ISNUMBER(SEARCH("disabilities",N148)),"Disabilities","Other")))</f>
        <v>Public health</v>
      </c>
      <c r="P148" s="126">
        <v>766055</v>
      </c>
      <c r="Q148" s="90" t="s">
        <v>85</v>
      </c>
      <c r="R148" s="90" t="str">
        <f>IF(P148&gt;20000000,"B","A")</f>
        <v>A</v>
      </c>
      <c r="S148" s="90" t="s">
        <v>90</v>
      </c>
      <c r="T148" s="90" t="s">
        <v>119</v>
      </c>
      <c r="U148" s="90" t="s">
        <v>119</v>
      </c>
      <c r="V148" s="90" t="s">
        <v>119</v>
      </c>
      <c r="W148" s="90" t="s">
        <v>119</v>
      </c>
      <c r="X148" s="90" t="s">
        <v>119</v>
      </c>
      <c r="Y148" s="90" t="s">
        <v>119</v>
      </c>
      <c r="Z148" s="90" t="s">
        <v>119</v>
      </c>
      <c r="AA148" s="90" t="s">
        <v>119</v>
      </c>
      <c r="AB148" s="90" t="s">
        <v>119</v>
      </c>
      <c r="AC148" s="90" t="s">
        <v>119</v>
      </c>
      <c r="AD148" s="90" t="s">
        <v>119</v>
      </c>
      <c r="AE148" s="24">
        <v>0</v>
      </c>
      <c r="AF148" s="90">
        <v>0</v>
      </c>
      <c r="AG148" s="24">
        <v>0</v>
      </c>
      <c r="AH148" s="90">
        <v>84463</v>
      </c>
      <c r="AI148" s="24" t="s">
        <v>94</v>
      </c>
      <c r="AJ148" s="24" t="s">
        <v>95</v>
      </c>
      <c r="AK148" s="90" t="s">
        <v>85</v>
      </c>
      <c r="AL148" s="90">
        <v>126274</v>
      </c>
      <c r="AM148" s="90" t="s">
        <v>81</v>
      </c>
      <c r="AN148" s="90" t="s">
        <v>607</v>
      </c>
      <c r="AO148" s="125" t="s">
        <v>608</v>
      </c>
      <c r="AP148" s="24" t="s">
        <v>583</v>
      </c>
      <c r="AQ148" s="90" t="s">
        <v>610</v>
      </c>
      <c r="AR148" s="24" t="s">
        <v>583</v>
      </c>
      <c r="AS148" s="90" t="s">
        <v>119</v>
      </c>
      <c r="AT148" s="24" t="s">
        <v>94</v>
      </c>
      <c r="AU148" s="90" t="s">
        <v>119</v>
      </c>
      <c r="AV148" s="90" t="str">
        <f>IF(ISNUMBER(SEARCH("disagree",AE148)),"N","Y")</f>
        <v>Y</v>
      </c>
      <c r="AW148" s="90" t="s">
        <v>119</v>
      </c>
      <c r="AX148" s="24" t="s">
        <v>119</v>
      </c>
      <c r="AY148" s="90" t="str">
        <f>CONCATENATE(AZ148,BA148,BB148,BC148)</f>
        <v/>
      </c>
      <c r="AZ148" s="90" t="str">
        <f>IF(ISNUMBER(SEARCH("Y",AC148)),"R","")</f>
        <v/>
      </c>
      <c r="BA148" s="90" t="str">
        <f>IF(ISNUMBER(SEARCH("Y",Y148)),"M","")</f>
        <v/>
      </c>
      <c r="BB148" s="90" t="str">
        <f>IF(ISNUMBER(SEARCH("Y",AB148)),"QC","")</f>
        <v/>
      </c>
      <c r="BC148" s="90" t="str">
        <f>IF(ISNUMBER(SEARCH("Y",Z148)),"S","")</f>
        <v/>
      </c>
      <c r="BD148" s="90"/>
      <c r="BE148" s="24" t="s">
        <v>119</v>
      </c>
      <c r="BF148" s="125" t="str">
        <f>IF(AND(AW148&gt;=56543,AW148&lt;=76543,LEN(AW148)&gt;0),"3 Feb 2020",IF(AND(AW148&gt;=66544,AW148&lt;=99999,LEN(AW148)&gt;0),"12 Sep 2020",""))</f>
        <v/>
      </c>
      <c r="BG148" s="125" t="str">
        <f>IF((AND(BF148="3 Feb 2020",LEN(BF148)&gt;0)),"Completed",IF((AND(BF148="12 Sep 2020",LEN(BF148)&gt;0)),"Pending",""))</f>
        <v/>
      </c>
      <c r="BH148" s="90" t="str">
        <f>IF((AND(BF148="3 Feb 2020",LEN(BF148)&gt;0)),"3 Feb 2020","")</f>
        <v/>
      </c>
      <c r="BI148" s="90">
        <v>126274</v>
      </c>
      <c r="BJ148" s="90" t="str">
        <f>L148</f>
        <v>2H39FT89899-34</v>
      </c>
      <c r="BK148" s="127">
        <v>43508</v>
      </c>
      <c r="BL148" s="127">
        <v>44239</v>
      </c>
      <c r="BM148" s="128">
        <f>P148*1.1</f>
        <v>842660.50000000012</v>
      </c>
      <c r="BN148" s="129">
        <f>P148*0.9</f>
        <v>689449.5</v>
      </c>
      <c r="BO148" s="130">
        <f>P148*0.8</f>
        <v>612844</v>
      </c>
      <c r="BP148" s="90">
        <f>IF(Z148="Y",BM148*0.4,BM148*1.05)</f>
        <v>884793.52500000014</v>
      </c>
      <c r="BQ148" s="90">
        <f>BP148*0.8</f>
        <v>707834.82000000018</v>
      </c>
      <c r="BR148" s="90" t="str">
        <f>IF(ISNUMBER(SEARCH("subrecipient",AI144)),P148*0.6,"")</f>
        <v/>
      </c>
      <c r="BS148" s="90">
        <v>126274</v>
      </c>
      <c r="BT148" s="90" t="str">
        <f>BJ148</f>
        <v>2H39FT89899-34</v>
      </c>
      <c r="BU148" s="127">
        <f>BK148</f>
        <v>43508</v>
      </c>
      <c r="BV148" s="127">
        <f>BL148</f>
        <v>44239</v>
      </c>
      <c r="BW148" s="90" t="str">
        <f>H148</f>
        <v>NIH</v>
      </c>
      <c r="BX148" s="90" t="str">
        <f>IF(H148="NATIONAL HEMOPHILIA FOUNDATION","Non Federal","Federal")</f>
        <v>Federal</v>
      </c>
      <c r="BY148" s="128">
        <f>BM148</f>
        <v>842660.50000000012</v>
      </c>
      <c r="BZ148" s="90" t="str">
        <f>IF(LEN(BR148)&gt;0,1,"")</f>
        <v/>
      </c>
      <c r="CA148" s="90" t="str">
        <f>IF(LEN(BR148)&gt;0,"VIRAL HEPATITIS PROJECT","")</f>
        <v/>
      </c>
      <c r="CB148" s="129" t="str">
        <f>IF(LEN(BR148)&gt;0,BM148*0.7,"")</f>
        <v/>
      </c>
      <c r="CC148" s="90">
        <f>BP148</f>
        <v>884793.52500000014</v>
      </c>
      <c r="CD148" s="90" t="str">
        <f>IF(LEN(BR148)&gt;0,"70%","")</f>
        <v/>
      </c>
      <c r="CE148" s="90">
        <f>BS148</f>
        <v>126274</v>
      </c>
      <c r="CF148" s="90" t="str">
        <f>CA148</f>
        <v/>
      </c>
      <c r="CG148" s="90"/>
      <c r="CH148" s="90"/>
      <c r="CI148" s="90"/>
      <c r="CJ148" s="90"/>
      <c r="CK148" s="90"/>
      <c r="CL148" s="90"/>
      <c r="CM148" s="90"/>
      <c r="CN148" s="90"/>
      <c r="CO148" s="90"/>
      <c r="CP148" s="90"/>
      <c r="CQ148" s="90"/>
      <c r="CR148" s="90"/>
      <c r="CS148" s="90"/>
      <c r="CT148" s="137"/>
    </row>
    <row r="149" spans="1:98" ht="165">
      <c r="A149" s="89">
        <v>126274</v>
      </c>
      <c r="B149" s="90">
        <v>2020</v>
      </c>
      <c r="C149" s="90" t="s">
        <v>81</v>
      </c>
      <c r="D149" s="90" t="s">
        <v>607</v>
      </c>
      <c r="E149" s="125" t="s">
        <v>611</v>
      </c>
      <c r="F149" s="24" t="s">
        <v>609</v>
      </c>
      <c r="G149" s="90" t="s">
        <v>85</v>
      </c>
      <c r="H149" s="90" t="s">
        <v>117</v>
      </c>
      <c r="I149" s="90">
        <v>93</v>
      </c>
      <c r="J149" s="90">
        <v>157</v>
      </c>
      <c r="K149" s="90" t="s">
        <v>85</v>
      </c>
      <c r="L149" s="90" t="s">
        <v>610</v>
      </c>
      <c r="M149" s="90" t="s">
        <v>119</v>
      </c>
      <c r="N149" s="24" t="s">
        <v>583</v>
      </c>
      <c r="O149" s="24" t="str">
        <f>IF(ISNUMBER(SEARCH("Cancer",N149)),"Cancer",IF(ISNUMBER(SEARCH("health",N149)),"Public health",IF(ISNUMBER(SEARCH("disabilities",N149)),"Disabilities","Other")))</f>
        <v>Public health</v>
      </c>
      <c r="P149" s="126">
        <v>766055</v>
      </c>
      <c r="Q149" s="90" t="s">
        <v>85</v>
      </c>
      <c r="R149" s="90" t="str">
        <f>IF(P149&gt;20000000,"B","A")</f>
        <v>A</v>
      </c>
      <c r="S149" s="90" t="s">
        <v>90</v>
      </c>
      <c r="T149" s="90" t="s">
        <v>119</v>
      </c>
      <c r="U149" s="90" t="s">
        <v>119</v>
      </c>
      <c r="V149" s="90" t="s">
        <v>119</v>
      </c>
      <c r="W149" s="90" t="s">
        <v>119</v>
      </c>
      <c r="X149" s="90" t="s">
        <v>119</v>
      </c>
      <c r="Y149" s="90" t="s">
        <v>119</v>
      </c>
      <c r="Z149" s="90" t="s">
        <v>119</v>
      </c>
      <c r="AA149" s="90" t="s">
        <v>119</v>
      </c>
      <c r="AB149" s="90" t="s">
        <v>119</v>
      </c>
      <c r="AC149" s="90" t="s">
        <v>119</v>
      </c>
      <c r="AD149" s="90" t="s">
        <v>119</v>
      </c>
      <c r="AE149" s="24">
        <v>0</v>
      </c>
      <c r="AF149" s="90">
        <v>0</v>
      </c>
      <c r="AG149" s="24">
        <v>0</v>
      </c>
      <c r="AH149" s="90">
        <v>84464</v>
      </c>
      <c r="AI149" s="24" t="s">
        <v>102</v>
      </c>
      <c r="AJ149" s="24" t="s">
        <v>103</v>
      </c>
      <c r="AK149" s="90" t="s">
        <v>85</v>
      </c>
      <c r="AL149" s="90">
        <v>126274</v>
      </c>
      <c r="AM149" s="90" t="s">
        <v>81</v>
      </c>
      <c r="AN149" s="90" t="s">
        <v>607</v>
      </c>
      <c r="AO149" s="125" t="s">
        <v>611</v>
      </c>
      <c r="AP149" s="24" t="s">
        <v>583</v>
      </c>
      <c r="AQ149" s="90" t="s">
        <v>610</v>
      </c>
      <c r="AR149" s="24" t="s">
        <v>583</v>
      </c>
      <c r="AS149" s="90" t="s">
        <v>119</v>
      </c>
      <c r="AT149" s="24" t="s">
        <v>102</v>
      </c>
      <c r="AU149" s="90" t="s">
        <v>119</v>
      </c>
      <c r="AV149" s="90" t="str">
        <f>IF(ISNUMBER(SEARCH("disagree",AE149)),"N","Y")</f>
        <v>Y</v>
      </c>
      <c r="AW149" s="90" t="s">
        <v>119</v>
      </c>
      <c r="AX149" s="24" t="s">
        <v>119</v>
      </c>
      <c r="AY149" s="90" t="str">
        <f>CONCATENATE(AZ149,BA149,BB149,BC149)</f>
        <v/>
      </c>
      <c r="AZ149" s="90" t="str">
        <f>IF(ISNUMBER(SEARCH("Y",AC149)),"R","")</f>
        <v/>
      </c>
      <c r="BA149" s="90" t="str">
        <f>IF(ISNUMBER(SEARCH("Y",Y149)),"M","")</f>
        <v/>
      </c>
      <c r="BB149" s="90" t="str">
        <f>IF(ISNUMBER(SEARCH("Y",AB149)),"QC","")</f>
        <v/>
      </c>
      <c r="BC149" s="90" t="str">
        <f>IF(ISNUMBER(SEARCH("Y",Z149)),"S","")</f>
        <v/>
      </c>
      <c r="BD149" s="90"/>
      <c r="BE149" s="24" t="s">
        <v>119</v>
      </c>
      <c r="BF149" s="125" t="str">
        <f>IF(AND(AW149&gt;=56543,AW149&lt;=76543,LEN(AW149)&gt;0),"3 Feb 2020",IF(AND(AW149&gt;=66544,AW149&lt;=99999,LEN(AW149)&gt;0),"12 Sep 2020",""))</f>
        <v/>
      </c>
      <c r="BG149" s="125" t="str">
        <f>IF((AND(BF149="3 Feb 2020",LEN(BF149)&gt;0)),"Completed",IF((AND(BF149="12 Sep 2020",LEN(BF149)&gt;0)),"Pending",""))</f>
        <v/>
      </c>
      <c r="BH149" s="90" t="str">
        <f>IF((AND(BF149="3 Feb 2020",LEN(BF149)&gt;0)),"3 Feb 2020","")</f>
        <v/>
      </c>
      <c r="BI149" s="90">
        <v>126274</v>
      </c>
      <c r="BJ149" s="90" t="str">
        <f>L149</f>
        <v>2H39FT89899-34</v>
      </c>
      <c r="BK149" s="127">
        <v>43508</v>
      </c>
      <c r="BL149" s="127">
        <v>44239</v>
      </c>
      <c r="BM149" s="128">
        <f>P149*1.1</f>
        <v>842660.50000000012</v>
      </c>
      <c r="BN149" s="129">
        <f>P149*0.9</f>
        <v>689449.5</v>
      </c>
      <c r="BO149" s="130">
        <f>P149*0.8</f>
        <v>612844</v>
      </c>
      <c r="BP149" s="90">
        <f>IF(Z149="Y",BM149*0.4,BM149*1.05)</f>
        <v>884793.52500000014</v>
      </c>
      <c r="BQ149" s="90">
        <f>BP149*0.8</f>
        <v>707834.82000000018</v>
      </c>
      <c r="BR149" s="90" t="str">
        <f>IF(ISNUMBER(SEARCH("subrecipient",AI145)),P149*0.6,"")</f>
        <v/>
      </c>
      <c r="BS149" s="90">
        <v>126274</v>
      </c>
      <c r="BT149" s="90" t="str">
        <f>BJ149</f>
        <v>2H39FT89899-34</v>
      </c>
      <c r="BU149" s="127">
        <f>BK149</f>
        <v>43508</v>
      </c>
      <c r="BV149" s="127">
        <f>BL149</f>
        <v>44239</v>
      </c>
      <c r="BW149" s="90" t="str">
        <f>H149</f>
        <v>NIH</v>
      </c>
      <c r="BX149" s="90" t="str">
        <f>IF(H149="NATIONAL HEMOPHILIA FOUNDATION","Non Federal","Federal")</f>
        <v>Federal</v>
      </c>
      <c r="BY149" s="128">
        <f>BM149</f>
        <v>842660.50000000012</v>
      </c>
      <c r="BZ149" s="90" t="str">
        <f>IF(LEN(BR149)&gt;0,1,"")</f>
        <v/>
      </c>
      <c r="CA149" s="90" t="str">
        <f>IF(LEN(BR149)&gt;0,"VIRAL HEPATITIS PROJECT","")</f>
        <v/>
      </c>
      <c r="CB149" s="129" t="str">
        <f>IF(LEN(BR149)&gt;0,BM149*0.7,"")</f>
        <v/>
      </c>
      <c r="CC149" s="90">
        <f>BP149</f>
        <v>884793.52500000014</v>
      </c>
      <c r="CD149" s="90" t="str">
        <f>IF(LEN(BR149)&gt;0,"70%","")</f>
        <v/>
      </c>
      <c r="CE149" s="90">
        <f>BS149</f>
        <v>126274</v>
      </c>
      <c r="CF149" s="90" t="str">
        <f>CA149</f>
        <v/>
      </c>
      <c r="CG149" s="90"/>
      <c r="CH149" s="90"/>
      <c r="CI149" s="90"/>
      <c r="CJ149" s="90"/>
      <c r="CK149" s="90"/>
      <c r="CL149" s="90"/>
      <c r="CM149" s="90"/>
      <c r="CN149" s="90"/>
      <c r="CO149" s="90"/>
      <c r="CP149" s="90"/>
      <c r="CQ149" s="90"/>
      <c r="CR149" s="90"/>
      <c r="CS149" s="90"/>
      <c r="CT149" s="137"/>
    </row>
    <row r="150" spans="1:98" ht="165">
      <c r="A150" s="89">
        <v>126274</v>
      </c>
      <c r="B150" s="90">
        <v>2020</v>
      </c>
      <c r="C150" s="90" t="s">
        <v>81</v>
      </c>
      <c r="D150" s="90" t="s">
        <v>607</v>
      </c>
      <c r="E150" s="125" t="s">
        <v>612</v>
      </c>
      <c r="F150" s="24" t="s">
        <v>609</v>
      </c>
      <c r="G150" s="90" t="s">
        <v>85</v>
      </c>
      <c r="H150" s="90" t="s">
        <v>117</v>
      </c>
      <c r="I150" s="90">
        <v>93</v>
      </c>
      <c r="J150" s="90">
        <v>157</v>
      </c>
      <c r="K150" s="90" t="s">
        <v>85</v>
      </c>
      <c r="L150" s="90" t="s">
        <v>610</v>
      </c>
      <c r="M150" s="90" t="s">
        <v>119</v>
      </c>
      <c r="N150" s="24" t="s">
        <v>583</v>
      </c>
      <c r="O150" s="24" t="str">
        <f>IF(ISNUMBER(SEARCH("Cancer",N150)),"Cancer",IF(ISNUMBER(SEARCH("health",N150)),"Public health",IF(ISNUMBER(SEARCH("disabilities",N150)),"Disabilities","Other")))</f>
        <v>Public health</v>
      </c>
      <c r="P150" s="126">
        <v>766055</v>
      </c>
      <c r="Q150" s="90" t="s">
        <v>85</v>
      </c>
      <c r="R150" s="90" t="str">
        <f>IF(P150&gt;20000000,"B","A")</f>
        <v>A</v>
      </c>
      <c r="S150" s="90" t="s">
        <v>90</v>
      </c>
      <c r="T150" s="90" t="s">
        <v>119</v>
      </c>
      <c r="U150" s="90" t="s">
        <v>119</v>
      </c>
      <c r="V150" s="90" t="s">
        <v>119</v>
      </c>
      <c r="W150" s="90" t="s">
        <v>119</v>
      </c>
      <c r="X150" s="90" t="s">
        <v>119</v>
      </c>
      <c r="Y150" s="90" t="s">
        <v>119</v>
      </c>
      <c r="Z150" s="90" t="s">
        <v>119</v>
      </c>
      <c r="AA150" s="90" t="s">
        <v>119</v>
      </c>
      <c r="AB150" s="90" t="s">
        <v>119</v>
      </c>
      <c r="AC150" s="90" t="s">
        <v>119</v>
      </c>
      <c r="AD150" s="90" t="s">
        <v>119</v>
      </c>
      <c r="AE150" s="24">
        <v>0</v>
      </c>
      <c r="AF150" s="90">
        <v>0</v>
      </c>
      <c r="AG150" s="24">
        <v>0</v>
      </c>
      <c r="AH150" s="90">
        <v>84465</v>
      </c>
      <c r="AI150" s="24" t="s">
        <v>110</v>
      </c>
      <c r="AJ150" s="24" t="s">
        <v>613</v>
      </c>
      <c r="AK150" s="90" t="s">
        <v>85</v>
      </c>
      <c r="AL150" s="90">
        <v>126274</v>
      </c>
      <c r="AM150" s="90" t="s">
        <v>81</v>
      </c>
      <c r="AN150" s="90" t="s">
        <v>607</v>
      </c>
      <c r="AO150" s="125" t="s">
        <v>612</v>
      </c>
      <c r="AP150" s="24" t="s">
        <v>583</v>
      </c>
      <c r="AQ150" s="90" t="s">
        <v>610</v>
      </c>
      <c r="AR150" s="24" t="s">
        <v>583</v>
      </c>
      <c r="AS150" s="90" t="s">
        <v>119</v>
      </c>
      <c r="AT150" s="24" t="s">
        <v>110</v>
      </c>
      <c r="AU150" s="90" t="s">
        <v>119</v>
      </c>
      <c r="AV150" s="90" t="str">
        <f>IF(ISNUMBER(SEARCH("disagree",AE150)),"N","Y")</f>
        <v>Y</v>
      </c>
      <c r="AW150" s="90" t="s">
        <v>119</v>
      </c>
      <c r="AX150" s="24" t="s">
        <v>119</v>
      </c>
      <c r="AY150" s="90" t="str">
        <f>CONCATENATE(AZ150,BA150,BB150,BC150)</f>
        <v/>
      </c>
      <c r="AZ150" s="90" t="str">
        <f>IF(ISNUMBER(SEARCH("Y",AC150)),"R","")</f>
        <v/>
      </c>
      <c r="BA150" s="90" t="str">
        <f>IF(ISNUMBER(SEARCH("Y",Y150)),"M","")</f>
        <v/>
      </c>
      <c r="BB150" s="90" t="str">
        <f>IF(ISNUMBER(SEARCH("Y",AB150)),"QC","")</f>
        <v/>
      </c>
      <c r="BC150" s="90" t="str">
        <f>IF(ISNUMBER(SEARCH("Y",Z150)),"S","")</f>
        <v/>
      </c>
      <c r="BD150" s="90"/>
      <c r="BE150" s="24" t="s">
        <v>119</v>
      </c>
      <c r="BF150" s="125" t="str">
        <f>IF(AND(AW150&gt;=56543,AW150&lt;=76543,LEN(AW150)&gt;0),"3 Feb 2020",IF(AND(AW150&gt;=66544,AW150&lt;=99999,LEN(AW150)&gt;0),"12 Sep 2020",""))</f>
        <v/>
      </c>
      <c r="BG150" s="125" t="str">
        <f>IF((AND(BF150="3 Feb 2020",LEN(BF150)&gt;0)),"Completed",IF((AND(BF150="12 Sep 2020",LEN(BF150)&gt;0)),"Pending",""))</f>
        <v/>
      </c>
      <c r="BH150" s="90" t="str">
        <f>IF((AND(BF150="3 Feb 2020",LEN(BF150)&gt;0)),"3 Feb 2020","")</f>
        <v/>
      </c>
      <c r="BI150" s="90">
        <v>126274</v>
      </c>
      <c r="BJ150" s="90" t="str">
        <f>L150</f>
        <v>2H39FT89899-34</v>
      </c>
      <c r="BK150" s="127">
        <v>43508</v>
      </c>
      <c r="BL150" s="127">
        <v>44239</v>
      </c>
      <c r="BM150" s="128">
        <f>P150*1.1</f>
        <v>842660.50000000012</v>
      </c>
      <c r="BN150" s="129">
        <f>P150*0.9</f>
        <v>689449.5</v>
      </c>
      <c r="BO150" s="130">
        <f>P150*0.8</f>
        <v>612844</v>
      </c>
      <c r="BP150" s="90">
        <f>IF(Z150="Y",BM150*0.4,BM150*1.05)</f>
        <v>884793.52500000014</v>
      </c>
      <c r="BQ150" s="90">
        <f>BP150*0.8</f>
        <v>707834.82000000018</v>
      </c>
      <c r="BR150" s="90" t="str">
        <f>IF(ISNUMBER(SEARCH("subrecipient",AI146)),P150*0.6,"")</f>
        <v/>
      </c>
      <c r="BS150" s="90">
        <v>126274</v>
      </c>
      <c r="BT150" s="90" t="str">
        <f>BJ150</f>
        <v>2H39FT89899-34</v>
      </c>
      <c r="BU150" s="127">
        <f>BK150</f>
        <v>43508</v>
      </c>
      <c r="BV150" s="127">
        <f>BL150</f>
        <v>44239</v>
      </c>
      <c r="BW150" s="90" t="str">
        <f>H150</f>
        <v>NIH</v>
      </c>
      <c r="BX150" s="90" t="str">
        <f>IF(H150="NATIONAL HEMOPHILIA FOUNDATION","Non Federal","Federal")</f>
        <v>Federal</v>
      </c>
      <c r="BY150" s="128">
        <f>BM150</f>
        <v>842660.50000000012</v>
      </c>
      <c r="BZ150" s="90" t="str">
        <f>IF(LEN(BR150)&gt;0,1,"")</f>
        <v/>
      </c>
      <c r="CA150" s="90" t="str">
        <f>IF(LEN(BR150)&gt;0,"VIRAL HEPATITIS PROJECT","")</f>
        <v/>
      </c>
      <c r="CB150" s="129" t="str">
        <f>IF(LEN(BR150)&gt;0,BM150*0.7,"")</f>
        <v/>
      </c>
      <c r="CC150" s="90">
        <f>BP150</f>
        <v>884793.52500000014</v>
      </c>
      <c r="CD150" s="90" t="str">
        <f>IF(LEN(BR150)&gt;0,"70%","")</f>
        <v/>
      </c>
      <c r="CE150" s="90">
        <f>BS150</f>
        <v>126274</v>
      </c>
      <c r="CF150" s="90" t="str">
        <f>CA150</f>
        <v/>
      </c>
      <c r="CG150" s="90"/>
      <c r="CH150" s="90"/>
      <c r="CI150" s="90"/>
      <c r="CJ150" s="90"/>
      <c r="CK150" s="90"/>
      <c r="CL150" s="90"/>
      <c r="CM150" s="90"/>
      <c r="CN150" s="90"/>
      <c r="CO150" s="90"/>
      <c r="CP150" s="90"/>
      <c r="CQ150" s="90"/>
      <c r="CR150" s="90"/>
      <c r="CS150" s="90"/>
      <c r="CT150" s="137"/>
    </row>
    <row r="151" spans="1:98" ht="90">
      <c r="A151" s="89">
        <v>126275</v>
      </c>
      <c r="B151" s="90">
        <v>2020</v>
      </c>
      <c r="C151" s="90" t="s">
        <v>81</v>
      </c>
      <c r="D151" s="90" t="s">
        <v>614</v>
      </c>
      <c r="E151" s="125" t="s">
        <v>615</v>
      </c>
      <c r="F151" s="24" t="s">
        <v>616</v>
      </c>
      <c r="G151" s="90" t="s">
        <v>85</v>
      </c>
      <c r="H151" s="90" t="s">
        <v>132</v>
      </c>
      <c r="I151" s="90">
        <v>93</v>
      </c>
      <c r="J151" s="90">
        <v>157</v>
      </c>
      <c r="K151" s="90" t="s">
        <v>85</v>
      </c>
      <c r="L151" s="90" t="s">
        <v>617</v>
      </c>
      <c r="M151" s="90" t="s">
        <v>119</v>
      </c>
      <c r="N151" s="24" t="s">
        <v>618</v>
      </c>
      <c r="O151" s="24" t="str">
        <f>IF(ISNUMBER(SEARCH("Cancer",N151)),"Cancer",IF(ISNUMBER(SEARCH("health",N151)),"Public health",IF(ISNUMBER(SEARCH("disabilities",N151)),"Disabilities","Other")))</f>
        <v>Other</v>
      </c>
      <c r="P151" s="126">
        <v>767353</v>
      </c>
      <c r="Q151" s="90" t="s">
        <v>85</v>
      </c>
      <c r="R151" s="90" t="str">
        <f>IF(P151&gt;20000000,"B","A")</f>
        <v>A</v>
      </c>
      <c r="S151" s="90" t="s">
        <v>90</v>
      </c>
      <c r="T151" s="90" t="s">
        <v>119</v>
      </c>
      <c r="U151" s="90" t="s">
        <v>119</v>
      </c>
      <c r="V151" s="90" t="s">
        <v>119</v>
      </c>
      <c r="W151" s="90" t="s">
        <v>119</v>
      </c>
      <c r="X151" s="90" t="s">
        <v>119</v>
      </c>
      <c r="Y151" s="90" t="s">
        <v>119</v>
      </c>
      <c r="Z151" s="90" t="s">
        <v>119</v>
      </c>
      <c r="AA151" s="90" t="s">
        <v>119</v>
      </c>
      <c r="AB151" s="90" t="s">
        <v>119</v>
      </c>
      <c r="AC151" s="90" t="s">
        <v>119</v>
      </c>
      <c r="AD151" s="90" t="s">
        <v>119</v>
      </c>
      <c r="AE151" s="24">
        <v>0</v>
      </c>
      <c r="AF151" s="90">
        <v>0</v>
      </c>
      <c r="AG151" s="24">
        <v>0</v>
      </c>
      <c r="AH151" s="90">
        <v>84467</v>
      </c>
      <c r="AI151" s="24" t="s">
        <v>94</v>
      </c>
      <c r="AJ151" s="24" t="s">
        <v>95</v>
      </c>
      <c r="AK151" s="90" t="s">
        <v>85</v>
      </c>
      <c r="AL151" s="90">
        <v>126275</v>
      </c>
      <c r="AM151" s="90" t="s">
        <v>81</v>
      </c>
      <c r="AN151" s="90" t="s">
        <v>614</v>
      </c>
      <c r="AO151" s="125" t="s">
        <v>615</v>
      </c>
      <c r="AP151" s="24" t="s">
        <v>618</v>
      </c>
      <c r="AQ151" s="90" t="s">
        <v>617</v>
      </c>
      <c r="AR151" s="24" t="s">
        <v>618</v>
      </c>
      <c r="AS151" s="90" t="s">
        <v>119</v>
      </c>
      <c r="AT151" s="24" t="s">
        <v>94</v>
      </c>
      <c r="AU151" s="90" t="s">
        <v>119</v>
      </c>
      <c r="AV151" s="90" t="str">
        <f>IF(ISNUMBER(SEARCH("disagree",AE151)),"N","Y")</f>
        <v>Y</v>
      </c>
      <c r="AW151" s="90" t="s">
        <v>119</v>
      </c>
      <c r="AX151" s="24" t="s">
        <v>119</v>
      </c>
      <c r="AY151" s="90" t="str">
        <f>CONCATENATE(AZ151,BA151,BB151,BC151)</f>
        <v/>
      </c>
      <c r="AZ151" s="90" t="str">
        <f>IF(ISNUMBER(SEARCH("Y",AC151)),"R","")</f>
        <v/>
      </c>
      <c r="BA151" s="90" t="str">
        <f>IF(ISNUMBER(SEARCH("Y",Y151)),"M","")</f>
        <v/>
      </c>
      <c r="BB151" s="90" t="str">
        <f>IF(ISNUMBER(SEARCH("Y",AB151)),"QC","")</f>
        <v/>
      </c>
      <c r="BC151" s="90" t="str">
        <f>IF(ISNUMBER(SEARCH("Y",Z151)),"S","")</f>
        <v/>
      </c>
      <c r="BD151" s="90"/>
      <c r="BE151" s="24" t="s">
        <v>119</v>
      </c>
      <c r="BF151" s="125" t="str">
        <f>IF(AND(AW151&gt;=56543,AW151&lt;=76543,LEN(AW151)&gt;0),"3 Feb 2020",IF(AND(AW151&gt;=66544,AW151&lt;=99999,LEN(AW151)&gt;0),"12 Sep 2020",""))</f>
        <v/>
      </c>
      <c r="BG151" s="125" t="str">
        <f>IF((AND(BF151="3 Feb 2020",LEN(BF151)&gt;0)),"Completed",IF((AND(BF151="12 Sep 2020",LEN(BF151)&gt;0)),"Pending",""))</f>
        <v/>
      </c>
      <c r="BH151" s="90" t="str">
        <f>IF((AND(BF151="3 Feb 2020",LEN(BF151)&gt;0)),"3 Feb 2020","")</f>
        <v/>
      </c>
      <c r="BI151" s="90">
        <v>126275</v>
      </c>
      <c r="BJ151" s="90" t="str">
        <f>L151</f>
        <v>4H70DT84819-51</v>
      </c>
      <c r="BK151" s="127">
        <v>43508</v>
      </c>
      <c r="BL151" s="127">
        <v>44239</v>
      </c>
      <c r="BM151" s="128">
        <f>P151*1.1</f>
        <v>844088.3</v>
      </c>
      <c r="BN151" s="129">
        <f>P151*0.9</f>
        <v>690617.70000000007</v>
      </c>
      <c r="BO151" s="130">
        <f>P151*0.8</f>
        <v>613882.4</v>
      </c>
      <c r="BP151" s="90">
        <f>IF(Z151="Y",BM151*0.4,BM151*1.05)</f>
        <v>886292.71500000008</v>
      </c>
      <c r="BQ151" s="90">
        <f>BP151*0.8</f>
        <v>709034.17200000014</v>
      </c>
      <c r="BR151" s="90" t="str">
        <f>IF(ISNUMBER(SEARCH("subrecipient",AI147)),P151*0.6,"")</f>
        <v/>
      </c>
      <c r="BS151" s="90">
        <v>126275</v>
      </c>
      <c r="BT151" s="90" t="str">
        <f>BJ151</f>
        <v>4H70DT84819-51</v>
      </c>
      <c r="BU151" s="127">
        <f>BK151</f>
        <v>43508</v>
      </c>
      <c r="BV151" s="127">
        <f>BL151</f>
        <v>44239</v>
      </c>
      <c r="BW151" s="90" t="str">
        <f>H151</f>
        <v>FDA</v>
      </c>
      <c r="BX151" s="90" t="str">
        <f>IF(H151="NATIONAL HEMOPHILIA FOUNDATION","Non Federal","Federal")</f>
        <v>Federal</v>
      </c>
      <c r="BY151" s="128">
        <f>BM151</f>
        <v>844088.3</v>
      </c>
      <c r="BZ151" s="90" t="str">
        <f>IF(LEN(BR151)&gt;0,1,"")</f>
        <v/>
      </c>
      <c r="CA151" s="90" t="str">
        <f>IF(LEN(BR151)&gt;0,"VIRAL HEPATITIS PROJECT","")</f>
        <v/>
      </c>
      <c r="CB151" s="129" t="str">
        <f>IF(LEN(BR151)&gt;0,BM151*0.7,"")</f>
        <v/>
      </c>
      <c r="CC151" s="90">
        <f>BP151</f>
        <v>886292.71500000008</v>
      </c>
      <c r="CD151" s="90" t="str">
        <f>IF(LEN(BR151)&gt;0,"70%","")</f>
        <v/>
      </c>
      <c r="CE151" s="90">
        <f>BS151</f>
        <v>126275</v>
      </c>
      <c r="CF151" s="90" t="str">
        <f>CA151</f>
        <v/>
      </c>
      <c r="CG151" s="90"/>
      <c r="CH151" s="90"/>
      <c r="CI151" s="90"/>
      <c r="CJ151" s="90"/>
      <c r="CK151" s="90"/>
      <c r="CL151" s="90"/>
      <c r="CM151" s="90"/>
      <c r="CN151" s="90"/>
      <c r="CO151" s="90"/>
      <c r="CP151" s="90"/>
      <c r="CQ151" s="90"/>
      <c r="CR151" s="90"/>
      <c r="CS151" s="90"/>
      <c r="CT151" s="137"/>
    </row>
    <row r="152" spans="1:98" ht="90">
      <c r="A152" s="89">
        <v>126275</v>
      </c>
      <c r="B152" s="90">
        <v>2020</v>
      </c>
      <c r="C152" s="90" t="s">
        <v>81</v>
      </c>
      <c r="D152" s="90" t="s">
        <v>614</v>
      </c>
      <c r="E152" s="125" t="s">
        <v>619</v>
      </c>
      <c r="F152" s="24" t="s">
        <v>616</v>
      </c>
      <c r="G152" s="90" t="s">
        <v>85</v>
      </c>
      <c r="H152" s="90" t="s">
        <v>132</v>
      </c>
      <c r="I152" s="90">
        <v>93</v>
      </c>
      <c r="J152" s="90">
        <v>157</v>
      </c>
      <c r="K152" s="90" t="s">
        <v>85</v>
      </c>
      <c r="L152" s="90" t="s">
        <v>617</v>
      </c>
      <c r="M152" s="90" t="s">
        <v>119</v>
      </c>
      <c r="N152" s="24" t="s">
        <v>618</v>
      </c>
      <c r="O152" s="24" t="str">
        <f>IF(ISNUMBER(SEARCH("Cancer",N152)),"Cancer",IF(ISNUMBER(SEARCH("health",N152)),"Public health",IF(ISNUMBER(SEARCH("disabilities",N152)),"Disabilities","Other")))</f>
        <v>Other</v>
      </c>
      <c r="P152" s="126">
        <v>767353</v>
      </c>
      <c r="Q152" s="90" t="s">
        <v>85</v>
      </c>
      <c r="R152" s="90" t="str">
        <f>IF(P152&gt;20000000,"B","A")</f>
        <v>A</v>
      </c>
      <c r="S152" s="90" t="s">
        <v>90</v>
      </c>
      <c r="T152" s="90" t="s">
        <v>119</v>
      </c>
      <c r="U152" s="90" t="s">
        <v>119</v>
      </c>
      <c r="V152" s="90" t="s">
        <v>119</v>
      </c>
      <c r="W152" s="90" t="s">
        <v>119</v>
      </c>
      <c r="X152" s="90" t="s">
        <v>119</v>
      </c>
      <c r="Y152" s="90" t="s">
        <v>119</v>
      </c>
      <c r="Z152" s="90" t="s">
        <v>119</v>
      </c>
      <c r="AA152" s="90" t="s">
        <v>119</v>
      </c>
      <c r="AB152" s="90" t="s">
        <v>119</v>
      </c>
      <c r="AC152" s="90" t="s">
        <v>119</v>
      </c>
      <c r="AD152" s="90" t="s">
        <v>119</v>
      </c>
      <c r="AE152" s="24">
        <v>0</v>
      </c>
      <c r="AF152" s="90">
        <v>0</v>
      </c>
      <c r="AG152" s="24">
        <v>0</v>
      </c>
      <c r="AH152" s="90">
        <v>84466</v>
      </c>
      <c r="AI152" s="24" t="s">
        <v>102</v>
      </c>
      <c r="AJ152" s="24" t="s">
        <v>103</v>
      </c>
      <c r="AK152" s="90" t="s">
        <v>85</v>
      </c>
      <c r="AL152" s="90">
        <v>126275</v>
      </c>
      <c r="AM152" s="90" t="s">
        <v>81</v>
      </c>
      <c r="AN152" s="90" t="s">
        <v>614</v>
      </c>
      <c r="AO152" s="125" t="s">
        <v>619</v>
      </c>
      <c r="AP152" s="24" t="s">
        <v>618</v>
      </c>
      <c r="AQ152" s="90" t="s">
        <v>617</v>
      </c>
      <c r="AR152" s="24" t="s">
        <v>618</v>
      </c>
      <c r="AS152" s="90" t="s">
        <v>119</v>
      </c>
      <c r="AT152" s="24" t="s">
        <v>102</v>
      </c>
      <c r="AU152" s="90" t="s">
        <v>119</v>
      </c>
      <c r="AV152" s="90" t="str">
        <f>IF(ISNUMBER(SEARCH("disagree",AE152)),"N","Y")</f>
        <v>Y</v>
      </c>
      <c r="AW152" s="90" t="s">
        <v>119</v>
      </c>
      <c r="AX152" s="24" t="s">
        <v>119</v>
      </c>
      <c r="AY152" s="90" t="str">
        <f>CONCATENATE(AZ152,BA152,BB152,BC152)</f>
        <v/>
      </c>
      <c r="AZ152" s="90" t="str">
        <f>IF(ISNUMBER(SEARCH("Y",AC152)),"R","")</f>
        <v/>
      </c>
      <c r="BA152" s="90" t="str">
        <f>IF(ISNUMBER(SEARCH("Y",Y152)),"M","")</f>
        <v/>
      </c>
      <c r="BB152" s="90" t="str">
        <f>IF(ISNUMBER(SEARCH("Y",AB152)),"QC","")</f>
        <v/>
      </c>
      <c r="BC152" s="90" t="str">
        <f>IF(ISNUMBER(SEARCH("Y",Z152)),"S","")</f>
        <v/>
      </c>
      <c r="BD152" s="90"/>
      <c r="BE152" s="24" t="s">
        <v>119</v>
      </c>
      <c r="BF152" s="125" t="str">
        <f>IF(AND(AW152&gt;=56543,AW152&lt;=76543,LEN(AW152)&gt;0),"3 Feb 2020",IF(AND(AW152&gt;=66544,AW152&lt;=99999,LEN(AW152)&gt;0),"12 Sep 2020",""))</f>
        <v/>
      </c>
      <c r="BG152" s="125" t="str">
        <f>IF((AND(BF152="3 Feb 2020",LEN(BF152)&gt;0)),"Completed",IF((AND(BF152="12 Sep 2020",LEN(BF152)&gt;0)),"Pending",""))</f>
        <v/>
      </c>
      <c r="BH152" s="90" t="str">
        <f>IF((AND(BF152="3 Feb 2020",LEN(BF152)&gt;0)),"3 Feb 2020","")</f>
        <v/>
      </c>
      <c r="BI152" s="90">
        <v>126275</v>
      </c>
      <c r="BJ152" s="90" t="str">
        <f>L152</f>
        <v>4H70DT84819-51</v>
      </c>
      <c r="BK152" s="127">
        <v>43508</v>
      </c>
      <c r="BL152" s="127">
        <v>44239</v>
      </c>
      <c r="BM152" s="128">
        <f>P152*1.1</f>
        <v>844088.3</v>
      </c>
      <c r="BN152" s="129">
        <f>P152*0.9</f>
        <v>690617.70000000007</v>
      </c>
      <c r="BO152" s="130">
        <f>P152*0.8</f>
        <v>613882.4</v>
      </c>
      <c r="BP152" s="90">
        <f>IF(Z152="Y",BM152*0.4,BM152*1.05)</f>
        <v>886292.71500000008</v>
      </c>
      <c r="BQ152" s="90">
        <f>BP152*0.8</f>
        <v>709034.17200000014</v>
      </c>
      <c r="BR152" s="90" t="str">
        <f>IF(ISNUMBER(SEARCH("subrecipient",AI148)),P152*0.6,"")</f>
        <v/>
      </c>
      <c r="BS152" s="90">
        <v>126275</v>
      </c>
      <c r="BT152" s="90" t="str">
        <f>BJ152</f>
        <v>4H70DT84819-51</v>
      </c>
      <c r="BU152" s="127">
        <f>BK152</f>
        <v>43508</v>
      </c>
      <c r="BV152" s="127">
        <f>BL152</f>
        <v>44239</v>
      </c>
      <c r="BW152" s="90" t="str">
        <f>H152</f>
        <v>FDA</v>
      </c>
      <c r="BX152" s="90" t="str">
        <f>IF(H152="NATIONAL HEMOPHILIA FOUNDATION","Non Federal","Federal")</f>
        <v>Federal</v>
      </c>
      <c r="BY152" s="128">
        <f>BM152</f>
        <v>844088.3</v>
      </c>
      <c r="BZ152" s="90" t="str">
        <f>IF(LEN(BR152)&gt;0,1,"")</f>
        <v/>
      </c>
      <c r="CA152" s="90" t="str">
        <f>IF(LEN(BR152)&gt;0,"VIRAL HEPATITIS PROJECT","")</f>
        <v/>
      </c>
      <c r="CB152" s="129" t="str">
        <f>IF(LEN(BR152)&gt;0,BM152*0.7,"")</f>
        <v/>
      </c>
      <c r="CC152" s="90">
        <f>BP152</f>
        <v>886292.71500000008</v>
      </c>
      <c r="CD152" s="90" t="str">
        <f>IF(LEN(BR152)&gt;0,"70%","")</f>
        <v/>
      </c>
      <c r="CE152" s="90">
        <f>BS152</f>
        <v>126275</v>
      </c>
      <c r="CF152" s="90" t="str">
        <f>CA152</f>
        <v/>
      </c>
      <c r="CG152" s="90"/>
      <c r="CH152" s="90"/>
      <c r="CI152" s="90"/>
      <c r="CJ152" s="90"/>
      <c r="CK152" s="90"/>
      <c r="CL152" s="90"/>
      <c r="CM152" s="90"/>
      <c r="CN152" s="90"/>
      <c r="CO152" s="90"/>
      <c r="CP152" s="90"/>
      <c r="CQ152" s="90"/>
      <c r="CR152" s="90"/>
      <c r="CS152" s="90"/>
      <c r="CT152" s="137"/>
    </row>
    <row r="153" spans="1:98" ht="90">
      <c r="A153" s="89">
        <v>126275</v>
      </c>
      <c r="B153" s="90">
        <v>2020</v>
      </c>
      <c r="C153" s="90" t="s">
        <v>81</v>
      </c>
      <c r="D153" s="90" t="s">
        <v>614</v>
      </c>
      <c r="E153" s="125" t="s">
        <v>620</v>
      </c>
      <c r="F153" s="24" t="s">
        <v>616</v>
      </c>
      <c r="G153" s="90" t="s">
        <v>85</v>
      </c>
      <c r="H153" s="90" t="s">
        <v>132</v>
      </c>
      <c r="I153" s="90">
        <v>93</v>
      </c>
      <c r="J153" s="90">
        <v>157</v>
      </c>
      <c r="K153" s="90" t="s">
        <v>85</v>
      </c>
      <c r="L153" s="90" t="s">
        <v>617</v>
      </c>
      <c r="M153" s="90" t="s">
        <v>119</v>
      </c>
      <c r="N153" s="24" t="s">
        <v>618</v>
      </c>
      <c r="O153" s="24" t="str">
        <f>IF(ISNUMBER(SEARCH("Cancer",N153)),"Cancer",IF(ISNUMBER(SEARCH("health",N153)),"Public health",IF(ISNUMBER(SEARCH("disabilities",N153)),"Disabilities","Other")))</f>
        <v>Other</v>
      </c>
      <c r="P153" s="126">
        <v>767353</v>
      </c>
      <c r="Q153" s="90" t="s">
        <v>85</v>
      </c>
      <c r="R153" s="90" t="str">
        <f>IF(P153&gt;20000000,"B","A")</f>
        <v>A</v>
      </c>
      <c r="S153" s="90" t="s">
        <v>90</v>
      </c>
      <c r="T153" s="90" t="s">
        <v>119</v>
      </c>
      <c r="U153" s="90" t="s">
        <v>119</v>
      </c>
      <c r="V153" s="90" t="s">
        <v>119</v>
      </c>
      <c r="W153" s="90" t="s">
        <v>119</v>
      </c>
      <c r="X153" s="90" t="s">
        <v>119</v>
      </c>
      <c r="Y153" s="90" t="s">
        <v>119</v>
      </c>
      <c r="Z153" s="90" t="s">
        <v>119</v>
      </c>
      <c r="AA153" s="90" t="s">
        <v>119</v>
      </c>
      <c r="AB153" s="90" t="s">
        <v>119</v>
      </c>
      <c r="AC153" s="90" t="s">
        <v>119</v>
      </c>
      <c r="AD153" s="90" t="s">
        <v>119</v>
      </c>
      <c r="AE153" s="24">
        <v>0</v>
      </c>
      <c r="AF153" s="90">
        <v>0</v>
      </c>
      <c r="AG153" s="24">
        <v>0</v>
      </c>
      <c r="AH153" s="90">
        <v>84468</v>
      </c>
      <c r="AI153" s="24" t="s">
        <v>110</v>
      </c>
      <c r="AJ153" s="24" t="s">
        <v>621</v>
      </c>
      <c r="AK153" s="90" t="s">
        <v>85</v>
      </c>
      <c r="AL153" s="90">
        <v>126275</v>
      </c>
      <c r="AM153" s="90" t="s">
        <v>81</v>
      </c>
      <c r="AN153" s="90" t="s">
        <v>614</v>
      </c>
      <c r="AO153" s="125" t="s">
        <v>620</v>
      </c>
      <c r="AP153" s="24" t="s">
        <v>618</v>
      </c>
      <c r="AQ153" s="90" t="s">
        <v>617</v>
      </c>
      <c r="AR153" s="24" t="s">
        <v>618</v>
      </c>
      <c r="AS153" s="90" t="s">
        <v>119</v>
      </c>
      <c r="AT153" s="24" t="s">
        <v>110</v>
      </c>
      <c r="AU153" s="90" t="s">
        <v>119</v>
      </c>
      <c r="AV153" s="90" t="str">
        <f>IF(ISNUMBER(SEARCH("disagree",AE153)),"N","Y")</f>
        <v>Y</v>
      </c>
      <c r="AW153" s="90" t="s">
        <v>119</v>
      </c>
      <c r="AX153" s="24" t="s">
        <v>119</v>
      </c>
      <c r="AY153" s="90" t="str">
        <f>CONCATENATE(AZ153,BA153,BB153,BC153)</f>
        <v/>
      </c>
      <c r="AZ153" s="90" t="str">
        <f>IF(ISNUMBER(SEARCH("Y",AC153)),"R","")</f>
        <v/>
      </c>
      <c r="BA153" s="90" t="str">
        <f>IF(ISNUMBER(SEARCH("Y",Y153)),"M","")</f>
        <v/>
      </c>
      <c r="BB153" s="90" t="str">
        <f>IF(ISNUMBER(SEARCH("Y",AB153)),"QC","")</f>
        <v/>
      </c>
      <c r="BC153" s="90" t="str">
        <f>IF(ISNUMBER(SEARCH("Y",Z153)),"S","")</f>
        <v/>
      </c>
      <c r="BD153" s="90"/>
      <c r="BE153" s="24" t="s">
        <v>119</v>
      </c>
      <c r="BF153" s="125" t="str">
        <f>IF(AND(AW153&gt;=56543,AW153&lt;=76543,LEN(AW153)&gt;0),"3 Feb 2020",IF(AND(AW153&gt;=66544,AW153&lt;=99999,LEN(AW153)&gt;0),"12 Sep 2020",""))</f>
        <v/>
      </c>
      <c r="BG153" s="125" t="str">
        <f>IF((AND(BF153="3 Feb 2020",LEN(BF153)&gt;0)),"Completed",IF((AND(BF153="12 Sep 2020",LEN(BF153)&gt;0)),"Pending",""))</f>
        <v/>
      </c>
      <c r="BH153" s="90" t="str">
        <f>IF((AND(BF153="3 Feb 2020",LEN(BF153)&gt;0)),"3 Feb 2020","")</f>
        <v/>
      </c>
      <c r="BI153" s="90">
        <v>126275</v>
      </c>
      <c r="BJ153" s="90" t="str">
        <f>L153</f>
        <v>4H70DT84819-51</v>
      </c>
      <c r="BK153" s="127">
        <v>43508</v>
      </c>
      <c r="BL153" s="127">
        <v>44239</v>
      </c>
      <c r="BM153" s="128">
        <f>P153*1.1</f>
        <v>844088.3</v>
      </c>
      <c r="BN153" s="129">
        <f>P153*0.9</f>
        <v>690617.70000000007</v>
      </c>
      <c r="BO153" s="130">
        <f>P153*0.8</f>
        <v>613882.4</v>
      </c>
      <c r="BP153" s="90">
        <f>IF(Z153="Y",BM153*0.4,BM153*1.05)</f>
        <v>886292.71500000008</v>
      </c>
      <c r="BQ153" s="90">
        <f>BP153*0.8</f>
        <v>709034.17200000014</v>
      </c>
      <c r="BR153" s="90" t="str">
        <f>IF(ISNUMBER(SEARCH("subrecipient",AI149)),P153*0.6,"")</f>
        <v/>
      </c>
      <c r="BS153" s="90">
        <v>126275</v>
      </c>
      <c r="BT153" s="90" t="str">
        <f>BJ153</f>
        <v>4H70DT84819-51</v>
      </c>
      <c r="BU153" s="127">
        <f>BK153</f>
        <v>43508</v>
      </c>
      <c r="BV153" s="127">
        <f>BL153</f>
        <v>44239</v>
      </c>
      <c r="BW153" s="90" t="str">
        <f>H153</f>
        <v>FDA</v>
      </c>
      <c r="BX153" s="90" t="str">
        <f>IF(H153="NATIONAL HEMOPHILIA FOUNDATION","Non Federal","Federal")</f>
        <v>Federal</v>
      </c>
      <c r="BY153" s="128">
        <f>BM153</f>
        <v>844088.3</v>
      </c>
      <c r="BZ153" s="90" t="str">
        <f>IF(LEN(BR153)&gt;0,1,"")</f>
        <v/>
      </c>
      <c r="CA153" s="90" t="str">
        <f>IF(LEN(BR153)&gt;0,"VIRAL HEPATITIS PROJECT","")</f>
        <v/>
      </c>
      <c r="CB153" s="129" t="str">
        <f>IF(LEN(BR153)&gt;0,BM153*0.7,"")</f>
        <v/>
      </c>
      <c r="CC153" s="90">
        <f>BP153</f>
        <v>886292.71500000008</v>
      </c>
      <c r="CD153" s="90" t="str">
        <f>IF(LEN(BR153)&gt;0,"70%","")</f>
        <v/>
      </c>
      <c r="CE153" s="90">
        <f>BS153</f>
        <v>126275</v>
      </c>
      <c r="CF153" s="90" t="str">
        <f>CA153</f>
        <v/>
      </c>
      <c r="CG153" s="90"/>
      <c r="CH153" s="90"/>
      <c r="CI153" s="90"/>
      <c r="CJ153" s="90"/>
      <c r="CK153" s="90"/>
      <c r="CL153" s="90"/>
      <c r="CM153" s="90"/>
      <c r="CN153" s="90"/>
      <c r="CO153" s="90"/>
      <c r="CP153" s="90"/>
      <c r="CQ153" s="90"/>
      <c r="CR153" s="90"/>
      <c r="CS153" s="90"/>
      <c r="CT153" s="137"/>
    </row>
    <row r="154" spans="1:98" ht="90">
      <c r="A154" s="89">
        <v>126366</v>
      </c>
      <c r="B154" s="90">
        <v>2020</v>
      </c>
      <c r="C154" s="90" t="s">
        <v>81</v>
      </c>
      <c r="D154" s="90" t="s">
        <v>622</v>
      </c>
      <c r="E154" s="125" t="s">
        <v>623</v>
      </c>
      <c r="F154" s="24" t="s">
        <v>624</v>
      </c>
      <c r="G154" s="90" t="s">
        <v>85</v>
      </c>
      <c r="H154" s="90" t="s">
        <v>150</v>
      </c>
      <c r="I154" s="90">
        <v>93</v>
      </c>
      <c r="J154" s="90">
        <v>157</v>
      </c>
      <c r="K154" s="90" t="s">
        <v>85</v>
      </c>
      <c r="L154" s="90" t="s">
        <v>625</v>
      </c>
      <c r="M154" s="90" t="s">
        <v>119</v>
      </c>
      <c r="N154" s="24" t="s">
        <v>626</v>
      </c>
      <c r="O154" s="24" t="str">
        <f>IF(ISNUMBER(SEARCH("Cancer",N154)),"Cancer",IF(ISNUMBER(SEARCH("health",N154)),"Public health",IF(ISNUMBER(SEARCH("disabilities",N154)),"Disabilities","Other")))</f>
        <v>Public health</v>
      </c>
      <c r="P154" s="126">
        <v>992541</v>
      </c>
      <c r="Q154" s="90" t="s">
        <v>85</v>
      </c>
      <c r="R154" s="90" t="str">
        <f>IF(P154&gt;20000000,"B","A")</f>
        <v>A</v>
      </c>
      <c r="S154" s="90" t="s">
        <v>90</v>
      </c>
      <c r="T154" s="90" t="s">
        <v>119</v>
      </c>
      <c r="U154" s="90" t="s">
        <v>119</v>
      </c>
      <c r="V154" s="90" t="s">
        <v>119</v>
      </c>
      <c r="W154" s="90" t="s">
        <v>119</v>
      </c>
      <c r="X154" s="90" t="s">
        <v>119</v>
      </c>
      <c r="Y154" s="90" t="s">
        <v>119</v>
      </c>
      <c r="Z154" s="90" t="s">
        <v>119</v>
      </c>
      <c r="AA154" s="90" t="s">
        <v>119</v>
      </c>
      <c r="AB154" s="90" t="s">
        <v>119</v>
      </c>
      <c r="AC154" s="90" t="s">
        <v>119</v>
      </c>
      <c r="AD154" s="90" t="s">
        <v>119</v>
      </c>
      <c r="AE154" s="24">
        <v>0</v>
      </c>
      <c r="AF154" s="90">
        <v>0</v>
      </c>
      <c r="AG154" s="24">
        <v>0</v>
      </c>
      <c r="AH154" s="90">
        <v>84801</v>
      </c>
      <c r="AI154" s="24" t="s">
        <v>94</v>
      </c>
      <c r="AJ154" s="24" t="s">
        <v>95</v>
      </c>
      <c r="AK154" s="90" t="s">
        <v>85</v>
      </c>
      <c r="AL154" s="90">
        <v>126366</v>
      </c>
      <c r="AM154" s="90" t="s">
        <v>81</v>
      </c>
      <c r="AN154" s="90" t="s">
        <v>622</v>
      </c>
      <c r="AO154" s="125" t="s">
        <v>623</v>
      </c>
      <c r="AP154" s="24" t="s">
        <v>626</v>
      </c>
      <c r="AQ154" s="90" t="s">
        <v>625</v>
      </c>
      <c r="AR154" s="24" t="s">
        <v>626</v>
      </c>
      <c r="AS154" s="90" t="s">
        <v>119</v>
      </c>
      <c r="AT154" s="24" t="s">
        <v>94</v>
      </c>
      <c r="AU154" s="90" t="s">
        <v>119</v>
      </c>
      <c r="AV154" s="90" t="str">
        <f>IF(ISNUMBER(SEARCH("disagree",AE154)),"N","Y")</f>
        <v>Y</v>
      </c>
      <c r="AW154" s="90" t="s">
        <v>119</v>
      </c>
      <c r="AX154" s="24" t="s">
        <v>119</v>
      </c>
      <c r="AY154" s="90" t="str">
        <f>CONCATENATE(AZ154,BA154,BB154,BC154)</f>
        <v/>
      </c>
      <c r="AZ154" s="90" t="str">
        <f>IF(ISNUMBER(SEARCH("Y",AC154)),"R","")</f>
        <v/>
      </c>
      <c r="BA154" s="90" t="str">
        <f>IF(ISNUMBER(SEARCH("Y",Y154)),"M","")</f>
        <v/>
      </c>
      <c r="BB154" s="90" t="str">
        <f>IF(ISNUMBER(SEARCH("Y",AB154)),"QC","")</f>
        <v/>
      </c>
      <c r="BC154" s="90" t="str">
        <f>IF(ISNUMBER(SEARCH("Y",Z154)),"S","")</f>
        <v/>
      </c>
      <c r="BD154" s="90"/>
      <c r="BE154" s="24" t="s">
        <v>119</v>
      </c>
      <c r="BF154" s="125" t="str">
        <f>IF(AND(AW154&gt;=56543,AW154&lt;=76543,LEN(AW154)&gt;0),"3 Feb 2020",IF(AND(AW154&gt;=66544,AW154&lt;=99999,LEN(AW154)&gt;0),"12 Sep 2020",""))</f>
        <v/>
      </c>
      <c r="BG154" s="125" t="str">
        <f>IF((AND(BF154="3 Feb 2020",LEN(BF154)&gt;0)),"Completed",IF((AND(BF154="12 Sep 2020",LEN(BF154)&gt;0)),"Pending",""))</f>
        <v/>
      </c>
      <c r="BH154" s="90" t="str">
        <f>IF((AND(BF154="3 Feb 2020",LEN(BF154)&gt;0)),"3 Feb 2020","")</f>
        <v/>
      </c>
      <c r="BI154" s="90">
        <v>126366</v>
      </c>
      <c r="BJ154" s="90" t="str">
        <f>L154</f>
        <v>5R87IR84479-77</v>
      </c>
      <c r="BK154" s="127">
        <v>43508</v>
      </c>
      <c r="BL154" s="127">
        <v>44239</v>
      </c>
      <c r="BM154" s="128">
        <f>P154*1.1</f>
        <v>1091795.1000000001</v>
      </c>
      <c r="BN154" s="129">
        <f>P154*0.9</f>
        <v>893286.9</v>
      </c>
      <c r="BO154" s="130">
        <f>P154*0.8</f>
        <v>794032.8</v>
      </c>
      <c r="BP154" s="90">
        <f>IF(Z154="Y",BM154*0.4,BM154*1.05)</f>
        <v>1146384.8550000002</v>
      </c>
      <c r="BQ154" s="90">
        <f>BP154*0.8</f>
        <v>917107.88400000019</v>
      </c>
      <c r="BR154" s="90" t="str">
        <f>IF(ISNUMBER(SEARCH("subrecipient",AI150)),P154*0.6,"")</f>
        <v/>
      </c>
      <c r="BS154" s="90">
        <v>126366</v>
      </c>
      <c r="BT154" s="90" t="str">
        <f>BJ154</f>
        <v>5R87IR84479-77</v>
      </c>
      <c r="BU154" s="127">
        <f>BK154</f>
        <v>43508</v>
      </c>
      <c r="BV154" s="127">
        <f>BL154</f>
        <v>44239</v>
      </c>
      <c r="BW154" s="90" t="str">
        <f>H154</f>
        <v>ACF</v>
      </c>
      <c r="BX154" s="90" t="str">
        <f>IF(H154="NATIONAL HEMOPHILIA FOUNDATION","Non Federal","Federal")</f>
        <v>Federal</v>
      </c>
      <c r="BY154" s="128">
        <f>BM154</f>
        <v>1091795.1000000001</v>
      </c>
      <c r="BZ154" s="90" t="str">
        <f>IF(LEN(BR154)&gt;0,1,"")</f>
        <v/>
      </c>
      <c r="CA154" s="90" t="str">
        <f>IF(LEN(BR154)&gt;0,"VIRAL HEPATITIS PROJECT","")</f>
        <v/>
      </c>
      <c r="CB154" s="129" t="str">
        <f>IF(LEN(BR154)&gt;0,BM154*0.7,"")</f>
        <v/>
      </c>
      <c r="CC154" s="90">
        <f>BP154</f>
        <v>1146384.8550000002</v>
      </c>
      <c r="CD154" s="90" t="str">
        <f>IF(LEN(BR154)&gt;0,"70%","")</f>
        <v/>
      </c>
      <c r="CE154" s="90">
        <f>BS154</f>
        <v>126366</v>
      </c>
      <c r="CF154" s="90" t="str">
        <f>CA154</f>
        <v/>
      </c>
      <c r="CG154" s="90"/>
      <c r="CH154" s="90"/>
      <c r="CI154" s="90"/>
      <c r="CJ154" s="90"/>
      <c r="CK154" s="90"/>
      <c r="CL154" s="90"/>
      <c r="CM154" s="90"/>
      <c r="CN154" s="90"/>
      <c r="CO154" s="90"/>
      <c r="CP154" s="90"/>
      <c r="CQ154" s="90"/>
      <c r="CR154" s="90"/>
      <c r="CS154" s="90"/>
      <c r="CT154" s="137"/>
    </row>
    <row r="155" spans="1:98" ht="90">
      <c r="A155" s="89">
        <v>126366</v>
      </c>
      <c r="B155" s="90">
        <v>2020</v>
      </c>
      <c r="C155" s="90" t="s">
        <v>81</v>
      </c>
      <c r="D155" s="90" t="s">
        <v>622</v>
      </c>
      <c r="E155" s="125" t="s">
        <v>627</v>
      </c>
      <c r="F155" s="24" t="s">
        <v>624</v>
      </c>
      <c r="G155" s="90" t="s">
        <v>85</v>
      </c>
      <c r="H155" s="90" t="s">
        <v>150</v>
      </c>
      <c r="I155" s="90">
        <v>93</v>
      </c>
      <c r="J155" s="90">
        <v>157</v>
      </c>
      <c r="K155" s="90" t="s">
        <v>85</v>
      </c>
      <c r="L155" s="90" t="s">
        <v>625</v>
      </c>
      <c r="M155" s="90" t="s">
        <v>119</v>
      </c>
      <c r="N155" s="24" t="s">
        <v>626</v>
      </c>
      <c r="O155" s="24" t="str">
        <f>IF(ISNUMBER(SEARCH("Cancer",N155)),"Cancer",IF(ISNUMBER(SEARCH("health",N155)),"Public health",IF(ISNUMBER(SEARCH("disabilities",N155)),"Disabilities","Other")))</f>
        <v>Public health</v>
      </c>
      <c r="P155" s="126">
        <v>992541</v>
      </c>
      <c r="Q155" s="90" t="s">
        <v>85</v>
      </c>
      <c r="R155" s="90" t="str">
        <f>IF(P155&gt;20000000,"B","A")</f>
        <v>A</v>
      </c>
      <c r="S155" s="90" t="s">
        <v>90</v>
      </c>
      <c r="T155" s="90" t="s">
        <v>119</v>
      </c>
      <c r="U155" s="90" t="s">
        <v>119</v>
      </c>
      <c r="V155" s="90" t="s">
        <v>119</v>
      </c>
      <c r="W155" s="90" t="s">
        <v>119</v>
      </c>
      <c r="X155" s="90" t="s">
        <v>119</v>
      </c>
      <c r="Y155" s="90" t="s">
        <v>119</v>
      </c>
      <c r="Z155" s="90" t="s">
        <v>119</v>
      </c>
      <c r="AA155" s="90" t="s">
        <v>119</v>
      </c>
      <c r="AB155" s="90" t="s">
        <v>119</v>
      </c>
      <c r="AC155" s="90" t="s">
        <v>119</v>
      </c>
      <c r="AD155" s="90" t="s">
        <v>119</v>
      </c>
      <c r="AE155" s="24">
        <v>0</v>
      </c>
      <c r="AF155" s="90">
        <v>0</v>
      </c>
      <c r="AG155" s="24">
        <v>0</v>
      </c>
      <c r="AH155" s="90">
        <v>84802</v>
      </c>
      <c r="AI155" s="24" t="s">
        <v>102</v>
      </c>
      <c r="AJ155" s="24" t="s">
        <v>103</v>
      </c>
      <c r="AK155" s="90" t="s">
        <v>85</v>
      </c>
      <c r="AL155" s="90">
        <v>126366</v>
      </c>
      <c r="AM155" s="90" t="s">
        <v>81</v>
      </c>
      <c r="AN155" s="90" t="s">
        <v>622</v>
      </c>
      <c r="AO155" s="125" t="s">
        <v>627</v>
      </c>
      <c r="AP155" s="24" t="s">
        <v>626</v>
      </c>
      <c r="AQ155" s="90" t="s">
        <v>625</v>
      </c>
      <c r="AR155" s="24" t="s">
        <v>626</v>
      </c>
      <c r="AS155" s="90" t="s">
        <v>119</v>
      </c>
      <c r="AT155" s="24" t="s">
        <v>102</v>
      </c>
      <c r="AU155" s="90" t="s">
        <v>119</v>
      </c>
      <c r="AV155" s="90" t="str">
        <f>IF(ISNUMBER(SEARCH("disagree",AE155)),"N","Y")</f>
        <v>Y</v>
      </c>
      <c r="AW155" s="90" t="s">
        <v>119</v>
      </c>
      <c r="AX155" s="24" t="s">
        <v>119</v>
      </c>
      <c r="AY155" s="90" t="str">
        <f>CONCATENATE(AZ155,BA155,BB155,BC155)</f>
        <v/>
      </c>
      <c r="AZ155" s="90" t="str">
        <f>IF(ISNUMBER(SEARCH("Y",AC155)),"R","")</f>
        <v/>
      </c>
      <c r="BA155" s="90" t="str">
        <f>IF(ISNUMBER(SEARCH("Y",Y155)),"M","")</f>
        <v/>
      </c>
      <c r="BB155" s="90" t="str">
        <f>IF(ISNUMBER(SEARCH("Y",AB155)),"QC","")</f>
        <v/>
      </c>
      <c r="BC155" s="90" t="str">
        <f>IF(ISNUMBER(SEARCH("Y",Z155)),"S","")</f>
        <v/>
      </c>
      <c r="BD155" s="90"/>
      <c r="BE155" s="24" t="s">
        <v>119</v>
      </c>
      <c r="BF155" s="125" t="str">
        <f>IF(AND(AW155&gt;=56543,AW155&lt;=76543,LEN(AW155)&gt;0),"3 Feb 2020",IF(AND(AW155&gt;=66544,AW155&lt;=99999,LEN(AW155)&gt;0),"12 Sep 2020",""))</f>
        <v/>
      </c>
      <c r="BG155" s="125" t="str">
        <f>IF((AND(BF155="3 Feb 2020",LEN(BF155)&gt;0)),"Completed",IF((AND(BF155="12 Sep 2020",LEN(BF155)&gt;0)),"Pending",""))</f>
        <v/>
      </c>
      <c r="BH155" s="90" t="str">
        <f>IF((AND(BF155="3 Feb 2020",LEN(BF155)&gt;0)),"3 Feb 2020","")</f>
        <v/>
      </c>
      <c r="BI155" s="90">
        <v>126366</v>
      </c>
      <c r="BJ155" s="90" t="str">
        <f>L155</f>
        <v>5R87IR84479-77</v>
      </c>
      <c r="BK155" s="127">
        <v>43508</v>
      </c>
      <c r="BL155" s="127">
        <v>44239</v>
      </c>
      <c r="BM155" s="128">
        <f>P155*1.1</f>
        <v>1091795.1000000001</v>
      </c>
      <c r="BN155" s="129">
        <f>P155*0.9</f>
        <v>893286.9</v>
      </c>
      <c r="BO155" s="130">
        <f>P155*0.8</f>
        <v>794032.8</v>
      </c>
      <c r="BP155" s="90">
        <f>IF(Z155="Y",BM155*0.4,BM155*1.05)</f>
        <v>1146384.8550000002</v>
      </c>
      <c r="BQ155" s="90">
        <f>BP155*0.8</f>
        <v>917107.88400000019</v>
      </c>
      <c r="BR155" s="90" t="str">
        <f>IF(ISNUMBER(SEARCH("subrecipient",AI151)),P155*0.6,"")</f>
        <v/>
      </c>
      <c r="BS155" s="90">
        <v>126366</v>
      </c>
      <c r="BT155" s="90" t="str">
        <f>BJ155</f>
        <v>5R87IR84479-77</v>
      </c>
      <c r="BU155" s="127">
        <f>BK155</f>
        <v>43508</v>
      </c>
      <c r="BV155" s="127">
        <f>BL155</f>
        <v>44239</v>
      </c>
      <c r="BW155" s="90" t="str">
        <f>H155</f>
        <v>ACF</v>
      </c>
      <c r="BX155" s="90" t="str">
        <f>IF(H155="NATIONAL HEMOPHILIA FOUNDATION","Non Federal","Federal")</f>
        <v>Federal</v>
      </c>
      <c r="BY155" s="128">
        <f>BM155</f>
        <v>1091795.1000000001</v>
      </c>
      <c r="BZ155" s="90" t="str">
        <f>IF(LEN(BR155)&gt;0,1,"")</f>
        <v/>
      </c>
      <c r="CA155" s="90" t="str">
        <f>IF(LEN(BR155)&gt;0,"VIRAL HEPATITIS PROJECT","")</f>
        <v/>
      </c>
      <c r="CB155" s="129" t="str">
        <f>IF(LEN(BR155)&gt;0,BM155*0.7,"")</f>
        <v/>
      </c>
      <c r="CC155" s="90">
        <f>BP155</f>
        <v>1146384.8550000002</v>
      </c>
      <c r="CD155" s="90" t="str">
        <f>IF(LEN(BR155)&gt;0,"70%","")</f>
        <v/>
      </c>
      <c r="CE155" s="90">
        <f>BS155</f>
        <v>126366</v>
      </c>
      <c r="CF155" s="90" t="str">
        <f>CA155</f>
        <v/>
      </c>
      <c r="CG155" s="90"/>
      <c r="CH155" s="90"/>
      <c r="CI155" s="90"/>
      <c r="CJ155" s="90"/>
      <c r="CK155" s="90"/>
      <c r="CL155" s="90"/>
      <c r="CM155" s="90"/>
      <c r="CN155" s="90"/>
      <c r="CO155" s="90"/>
      <c r="CP155" s="90"/>
      <c r="CQ155" s="90"/>
      <c r="CR155" s="90"/>
      <c r="CS155" s="90"/>
      <c r="CT155" s="137"/>
    </row>
    <row r="156" spans="1:98" ht="90">
      <c r="A156" s="89">
        <v>126366</v>
      </c>
      <c r="B156" s="90">
        <v>2020</v>
      </c>
      <c r="C156" s="90" t="s">
        <v>81</v>
      </c>
      <c r="D156" s="90" t="s">
        <v>622</v>
      </c>
      <c r="E156" s="125" t="s">
        <v>628</v>
      </c>
      <c r="F156" s="24" t="s">
        <v>624</v>
      </c>
      <c r="G156" s="90" t="s">
        <v>85</v>
      </c>
      <c r="H156" s="90" t="s">
        <v>150</v>
      </c>
      <c r="I156" s="90">
        <v>93</v>
      </c>
      <c r="J156" s="90">
        <v>157</v>
      </c>
      <c r="K156" s="90" t="s">
        <v>85</v>
      </c>
      <c r="L156" s="90" t="s">
        <v>625</v>
      </c>
      <c r="M156" s="90" t="s">
        <v>119</v>
      </c>
      <c r="N156" s="24" t="s">
        <v>626</v>
      </c>
      <c r="O156" s="24" t="str">
        <f>IF(ISNUMBER(SEARCH("Cancer",N156)),"Cancer",IF(ISNUMBER(SEARCH("health",N156)),"Public health",IF(ISNUMBER(SEARCH("disabilities",N156)),"Disabilities","Other")))</f>
        <v>Public health</v>
      </c>
      <c r="P156" s="126">
        <v>992541</v>
      </c>
      <c r="Q156" s="90" t="s">
        <v>85</v>
      </c>
      <c r="R156" s="90" t="str">
        <f>IF(P156&gt;20000000,"B","A")</f>
        <v>A</v>
      </c>
      <c r="S156" s="90" t="s">
        <v>90</v>
      </c>
      <c r="T156" s="90" t="s">
        <v>119</v>
      </c>
      <c r="U156" s="90" t="s">
        <v>119</v>
      </c>
      <c r="V156" s="90" t="s">
        <v>119</v>
      </c>
      <c r="W156" s="90" t="s">
        <v>119</v>
      </c>
      <c r="X156" s="90" t="s">
        <v>119</v>
      </c>
      <c r="Y156" s="90" t="s">
        <v>119</v>
      </c>
      <c r="Z156" s="90" t="s">
        <v>119</v>
      </c>
      <c r="AA156" s="90" t="s">
        <v>119</v>
      </c>
      <c r="AB156" s="90" t="s">
        <v>119</v>
      </c>
      <c r="AC156" s="90" t="s">
        <v>119</v>
      </c>
      <c r="AD156" s="90" t="s">
        <v>119</v>
      </c>
      <c r="AE156" s="24">
        <v>0</v>
      </c>
      <c r="AF156" s="90">
        <v>0</v>
      </c>
      <c r="AG156" s="24">
        <v>0</v>
      </c>
      <c r="AH156" s="90">
        <v>84803</v>
      </c>
      <c r="AI156" s="24" t="s">
        <v>110</v>
      </c>
      <c r="AJ156" s="24" t="s">
        <v>629</v>
      </c>
      <c r="AK156" s="90" t="s">
        <v>85</v>
      </c>
      <c r="AL156" s="90">
        <v>126366</v>
      </c>
      <c r="AM156" s="90" t="s">
        <v>81</v>
      </c>
      <c r="AN156" s="90" t="s">
        <v>622</v>
      </c>
      <c r="AO156" s="125" t="s">
        <v>628</v>
      </c>
      <c r="AP156" s="24" t="s">
        <v>626</v>
      </c>
      <c r="AQ156" s="90" t="s">
        <v>625</v>
      </c>
      <c r="AR156" s="24" t="s">
        <v>626</v>
      </c>
      <c r="AS156" s="90" t="s">
        <v>119</v>
      </c>
      <c r="AT156" s="24" t="s">
        <v>110</v>
      </c>
      <c r="AU156" s="90" t="s">
        <v>119</v>
      </c>
      <c r="AV156" s="90" t="str">
        <f>IF(ISNUMBER(SEARCH("disagree",AE156)),"N","Y")</f>
        <v>Y</v>
      </c>
      <c r="AW156" s="90" t="s">
        <v>119</v>
      </c>
      <c r="AX156" s="24" t="s">
        <v>119</v>
      </c>
      <c r="AY156" s="90" t="str">
        <f>CONCATENATE(AZ156,BA156,BB156,BC156)</f>
        <v/>
      </c>
      <c r="AZ156" s="90" t="str">
        <f>IF(ISNUMBER(SEARCH("Y",AC156)),"R","")</f>
        <v/>
      </c>
      <c r="BA156" s="90" t="str">
        <f>IF(ISNUMBER(SEARCH("Y",Y156)),"M","")</f>
        <v/>
      </c>
      <c r="BB156" s="90" t="str">
        <f>IF(ISNUMBER(SEARCH("Y",AB156)),"QC","")</f>
        <v/>
      </c>
      <c r="BC156" s="90" t="str">
        <f>IF(ISNUMBER(SEARCH("Y",Z156)),"S","")</f>
        <v/>
      </c>
      <c r="BD156" s="90"/>
      <c r="BE156" s="24" t="s">
        <v>119</v>
      </c>
      <c r="BF156" s="125" t="str">
        <f>IF(AND(AW156&gt;=56543,AW156&lt;=76543,LEN(AW156)&gt;0),"3 Feb 2020",IF(AND(AW156&gt;=66544,AW156&lt;=99999,LEN(AW156)&gt;0),"12 Sep 2020",""))</f>
        <v/>
      </c>
      <c r="BG156" s="125" t="str">
        <f>IF((AND(BF156="3 Feb 2020",LEN(BF156)&gt;0)),"Completed",IF((AND(BF156="12 Sep 2020",LEN(BF156)&gt;0)),"Pending",""))</f>
        <v/>
      </c>
      <c r="BH156" s="90" t="str">
        <f>IF((AND(BF156="3 Feb 2020",LEN(BF156)&gt;0)),"3 Feb 2020","")</f>
        <v/>
      </c>
      <c r="BI156" s="90">
        <v>126366</v>
      </c>
      <c r="BJ156" s="90" t="str">
        <f>L156</f>
        <v>5R87IR84479-77</v>
      </c>
      <c r="BK156" s="127">
        <v>43508</v>
      </c>
      <c r="BL156" s="127">
        <v>44239</v>
      </c>
      <c r="BM156" s="128">
        <f>P156*1.1</f>
        <v>1091795.1000000001</v>
      </c>
      <c r="BN156" s="129">
        <f>P156*0.9</f>
        <v>893286.9</v>
      </c>
      <c r="BO156" s="130">
        <f>P156*0.8</f>
        <v>794032.8</v>
      </c>
      <c r="BP156" s="90">
        <f>IF(Z156="Y",BM156*0.4,BM156*1.05)</f>
        <v>1146384.8550000002</v>
      </c>
      <c r="BQ156" s="90">
        <f>BP156*0.8</f>
        <v>917107.88400000019</v>
      </c>
      <c r="BR156" s="90" t="str">
        <f>IF(ISNUMBER(SEARCH("subrecipient",AI152)),P156*0.6,"")</f>
        <v/>
      </c>
      <c r="BS156" s="90">
        <v>126366</v>
      </c>
      <c r="BT156" s="90" t="str">
        <f>BJ156</f>
        <v>5R87IR84479-77</v>
      </c>
      <c r="BU156" s="127">
        <f>BK156</f>
        <v>43508</v>
      </c>
      <c r="BV156" s="127">
        <f>BL156</f>
        <v>44239</v>
      </c>
      <c r="BW156" s="90" t="str">
        <f>H156</f>
        <v>ACF</v>
      </c>
      <c r="BX156" s="90" t="str">
        <f>IF(H156="NATIONAL HEMOPHILIA FOUNDATION","Non Federal","Federal")</f>
        <v>Federal</v>
      </c>
      <c r="BY156" s="128">
        <f>BM156</f>
        <v>1091795.1000000001</v>
      </c>
      <c r="BZ156" s="90" t="str">
        <f>IF(LEN(BR156)&gt;0,1,"")</f>
        <v/>
      </c>
      <c r="CA156" s="90" t="str">
        <f>IF(LEN(BR156)&gt;0,"VIRAL HEPATITIS PROJECT","")</f>
        <v/>
      </c>
      <c r="CB156" s="129" t="str">
        <f>IF(LEN(BR156)&gt;0,BM156*0.7,"")</f>
        <v/>
      </c>
      <c r="CC156" s="90">
        <f>BP156</f>
        <v>1146384.8550000002</v>
      </c>
      <c r="CD156" s="90" t="str">
        <f>IF(LEN(BR156)&gt;0,"70%","")</f>
        <v/>
      </c>
      <c r="CE156" s="90">
        <f>BS156</f>
        <v>126366</v>
      </c>
      <c r="CF156" s="90" t="str">
        <f>CA156</f>
        <v/>
      </c>
      <c r="CG156" s="90"/>
      <c r="CH156" s="90"/>
      <c r="CI156" s="90"/>
      <c r="CJ156" s="90"/>
      <c r="CK156" s="90"/>
      <c r="CL156" s="90"/>
      <c r="CM156" s="90"/>
      <c r="CN156" s="90"/>
      <c r="CO156" s="90"/>
      <c r="CP156" s="90"/>
      <c r="CQ156" s="90"/>
      <c r="CR156" s="90"/>
      <c r="CS156" s="90"/>
      <c r="CT156" s="137"/>
    </row>
    <row r="157" spans="1:98" ht="195">
      <c r="A157" s="89">
        <v>126387</v>
      </c>
      <c r="B157" s="90">
        <v>2020</v>
      </c>
      <c r="C157" s="90" t="s">
        <v>81</v>
      </c>
      <c r="D157" s="90" t="s">
        <v>630</v>
      </c>
      <c r="E157" s="125" t="s">
        <v>631</v>
      </c>
      <c r="F157" s="24" t="s">
        <v>632</v>
      </c>
      <c r="G157" s="90" t="s">
        <v>85</v>
      </c>
      <c r="H157" s="90" t="s">
        <v>86</v>
      </c>
      <c r="I157" s="90">
        <v>93</v>
      </c>
      <c r="J157" s="90">
        <v>157</v>
      </c>
      <c r="K157" s="90" t="s">
        <v>85</v>
      </c>
      <c r="L157" s="90" t="s">
        <v>633</v>
      </c>
      <c r="M157" s="90" t="s">
        <v>87</v>
      </c>
      <c r="N157" s="24" t="s">
        <v>634</v>
      </c>
      <c r="O157" s="24" t="str">
        <f>IF(ISNUMBER(SEARCH("Cancer",N157)),"Cancer",IF(ISNUMBER(SEARCH("health",N157)),"Public health",IF(ISNUMBER(SEARCH("disabilities",N157)),"Disabilities","Other")))</f>
        <v>Other</v>
      </c>
      <c r="P157" s="126">
        <v>956911</v>
      </c>
      <c r="Q157" s="90" t="s">
        <v>85</v>
      </c>
      <c r="R157" s="90" t="str">
        <f>IF(P157&gt;20000000,"B","A")</f>
        <v>A</v>
      </c>
      <c r="S157" s="90" t="s">
        <v>90</v>
      </c>
      <c r="T157" s="90">
        <v>2564190</v>
      </c>
      <c r="U157" s="90" t="s">
        <v>91</v>
      </c>
      <c r="V157" s="90" t="s">
        <v>584</v>
      </c>
      <c r="W157" s="90" t="s">
        <v>87</v>
      </c>
      <c r="X157" s="90" t="s">
        <v>85</v>
      </c>
      <c r="Y157" s="90" t="s">
        <v>85</v>
      </c>
      <c r="Z157" s="90" t="s">
        <v>87</v>
      </c>
      <c r="AA157" s="90" t="s">
        <v>85</v>
      </c>
      <c r="AB157" s="90" t="s">
        <v>87</v>
      </c>
      <c r="AC157" s="90" t="s">
        <v>87</v>
      </c>
      <c r="AD157" s="90" t="s">
        <v>457</v>
      </c>
      <c r="AE157" s="24" t="s">
        <v>635</v>
      </c>
      <c r="AF157" s="90" t="s">
        <v>91</v>
      </c>
      <c r="AG157" s="24" t="s">
        <v>636</v>
      </c>
      <c r="AH157" s="90">
        <v>77015</v>
      </c>
      <c r="AI157" s="24" t="s">
        <v>94</v>
      </c>
      <c r="AJ157" s="24" t="s">
        <v>95</v>
      </c>
      <c r="AK157" s="90" t="s">
        <v>85</v>
      </c>
      <c r="AL157" s="90">
        <v>126387</v>
      </c>
      <c r="AM157" s="90" t="s">
        <v>81</v>
      </c>
      <c r="AN157" s="90" t="s">
        <v>630</v>
      </c>
      <c r="AO157" s="125" t="s">
        <v>631</v>
      </c>
      <c r="AP157" s="24" t="s">
        <v>634</v>
      </c>
      <c r="AQ157" s="90" t="s">
        <v>633</v>
      </c>
      <c r="AR157" s="24" t="s">
        <v>634</v>
      </c>
      <c r="AS157" s="90">
        <v>2564190</v>
      </c>
      <c r="AT157" s="24" t="s">
        <v>94</v>
      </c>
      <c r="AU157" s="90" t="s">
        <v>584</v>
      </c>
      <c r="AV157" s="90" t="str">
        <f>IF(ISNUMBER(SEARCH("disagree",AE157)),"N","Y")</f>
        <v>Y</v>
      </c>
      <c r="AW157" s="90">
        <v>90752</v>
      </c>
      <c r="AX157" s="24" t="s">
        <v>96</v>
      </c>
      <c r="AY157" s="90" t="str">
        <f>CONCATENATE(AZ157,BA157,BB157,BC157)</f>
        <v>RQCS</v>
      </c>
      <c r="AZ157" s="90" t="str">
        <f>IF(ISNUMBER(SEARCH("Y",AC157)),"R","")</f>
        <v>R</v>
      </c>
      <c r="BA157" s="90" t="str">
        <f>IF(ISNUMBER(SEARCH("Y",Y157)),"M","")</f>
        <v/>
      </c>
      <c r="BB157" s="90" t="str">
        <f>IF(ISNUMBER(SEARCH("Y",AB157)),"QC","")</f>
        <v>QC</v>
      </c>
      <c r="BC157" s="90" t="str">
        <f>IF(ISNUMBER(SEARCH("Y",Z157)),"S","")</f>
        <v>S</v>
      </c>
      <c r="BD157" s="90"/>
      <c r="BE157" s="24" t="s">
        <v>97</v>
      </c>
      <c r="BF157" s="125" t="str">
        <f>IF(AND(AW157&gt;=56543,AW157&lt;=76543,LEN(AW157)&gt;0),"3 Feb 2020",IF(AND(AW157&gt;=66544,AW157&lt;=99999,LEN(AW157)&gt;0),"12 Sep 2020",""))</f>
        <v>12 Sep 2020</v>
      </c>
      <c r="BG157" s="125" t="str">
        <f>IF((AND(BF157="3 Feb 2020",LEN(BF157)&gt;0)),"Completed",IF((AND(BF157="12 Sep 2020",LEN(BF157)&gt;0)),"Pending",""))</f>
        <v>Pending</v>
      </c>
      <c r="BH157" s="90" t="str">
        <f>IF((AND(BF157="3 Feb 2020",LEN(BF157)&gt;0)),"3 Feb 2020","")</f>
        <v/>
      </c>
      <c r="BI157" s="90">
        <v>126387</v>
      </c>
      <c r="BJ157" s="90" t="str">
        <f>L157</f>
        <v>2C98HS84464-73</v>
      </c>
      <c r="BK157" s="127">
        <v>43508</v>
      </c>
      <c r="BL157" s="127">
        <v>44239</v>
      </c>
      <c r="BM157" s="128">
        <f>P157*1.1</f>
        <v>1052602.1000000001</v>
      </c>
      <c r="BN157" s="129">
        <f>P157*0.9</f>
        <v>861219.9</v>
      </c>
      <c r="BO157" s="130">
        <f>P157*0.8</f>
        <v>765528.8</v>
      </c>
      <c r="BP157" s="90">
        <f>IF(Z157="Y",BM157*0.4,BM157*1.05)</f>
        <v>421040.84000000008</v>
      </c>
      <c r="BQ157" s="90">
        <f>BP157*0.8</f>
        <v>336832.67200000008</v>
      </c>
      <c r="BR157" s="90" t="str">
        <f>IF(ISNUMBER(SEARCH("subrecipient",AI153)),P157*0.6,"")</f>
        <v/>
      </c>
      <c r="BS157" s="90">
        <v>126387</v>
      </c>
      <c r="BT157" s="90" t="str">
        <f>BJ157</f>
        <v>2C98HS84464-73</v>
      </c>
      <c r="BU157" s="127">
        <f>BK157</f>
        <v>43508</v>
      </c>
      <c r="BV157" s="127">
        <f>BL157</f>
        <v>44239</v>
      </c>
      <c r="BW157" s="90" t="str">
        <f>H157</f>
        <v>CDC</v>
      </c>
      <c r="BX157" s="90" t="str">
        <f>IF(H157="NATIONAL HEMOPHILIA FOUNDATION","Non Federal","Federal")</f>
        <v>Federal</v>
      </c>
      <c r="BY157" s="128">
        <f>BM157</f>
        <v>1052602.1000000001</v>
      </c>
      <c r="BZ157" s="90" t="str">
        <f>IF(LEN(BR157)&gt;0,1,"")</f>
        <v/>
      </c>
      <c r="CA157" s="90" t="str">
        <f>IF(LEN(BR157)&gt;0,"VIRAL HEPATITIS PROJECT","")</f>
        <v/>
      </c>
      <c r="CB157" s="129" t="str">
        <f>IF(LEN(BR157)&gt;0,BM157*0.7,"")</f>
        <v/>
      </c>
      <c r="CC157" s="90">
        <f>BP157</f>
        <v>421040.84000000008</v>
      </c>
      <c r="CD157" s="90" t="str">
        <f>IF(LEN(BR157)&gt;0,"70%","")</f>
        <v/>
      </c>
      <c r="CE157" s="90">
        <f>BS157</f>
        <v>126387</v>
      </c>
      <c r="CF157" s="90" t="str">
        <f>CA157</f>
        <v/>
      </c>
      <c r="CG157" s="90"/>
      <c r="CH157" s="90"/>
      <c r="CI157" s="90"/>
      <c r="CJ157" s="90"/>
      <c r="CK157" s="90"/>
      <c r="CL157" s="90"/>
      <c r="CM157" s="90"/>
      <c r="CN157" s="90"/>
      <c r="CO157" s="90"/>
      <c r="CP157" s="90"/>
      <c r="CQ157" s="90"/>
      <c r="CR157" s="90"/>
      <c r="CS157" s="90"/>
      <c r="CT157" s="137"/>
    </row>
    <row r="158" spans="1:98" ht="45">
      <c r="A158" s="89">
        <v>126387</v>
      </c>
      <c r="B158" s="90">
        <v>2020</v>
      </c>
      <c r="C158" s="90" t="s">
        <v>81</v>
      </c>
      <c r="D158" s="90" t="s">
        <v>630</v>
      </c>
      <c r="E158" s="125" t="s">
        <v>637</v>
      </c>
      <c r="F158" s="24" t="s">
        <v>632</v>
      </c>
      <c r="G158" s="90" t="s">
        <v>85</v>
      </c>
      <c r="H158" s="90" t="s">
        <v>86</v>
      </c>
      <c r="I158" s="90">
        <v>93</v>
      </c>
      <c r="J158" s="90">
        <v>157</v>
      </c>
      <c r="K158" s="90" t="s">
        <v>85</v>
      </c>
      <c r="L158" s="90" t="s">
        <v>633</v>
      </c>
      <c r="M158" s="90" t="s">
        <v>87</v>
      </c>
      <c r="N158" s="24" t="s">
        <v>634</v>
      </c>
      <c r="O158" s="24" t="str">
        <f>IF(ISNUMBER(SEARCH("Cancer",N158)),"Cancer",IF(ISNUMBER(SEARCH("health",N158)),"Public health",IF(ISNUMBER(SEARCH("disabilities",N158)),"Disabilities","Other")))</f>
        <v>Other</v>
      </c>
      <c r="P158" s="126">
        <v>956911</v>
      </c>
      <c r="Q158" s="90" t="s">
        <v>85</v>
      </c>
      <c r="R158" s="90" t="str">
        <f>IF(P158&gt;20000000,"B","A")</f>
        <v>A</v>
      </c>
      <c r="S158" s="90" t="s">
        <v>90</v>
      </c>
      <c r="T158" s="90">
        <v>2564190</v>
      </c>
      <c r="U158" s="90" t="s">
        <v>91</v>
      </c>
      <c r="V158" s="90" t="s">
        <v>584</v>
      </c>
      <c r="W158" s="90" t="s">
        <v>87</v>
      </c>
      <c r="X158" s="90" t="s">
        <v>85</v>
      </c>
      <c r="Y158" s="90" t="s">
        <v>85</v>
      </c>
      <c r="Z158" s="90" t="s">
        <v>87</v>
      </c>
      <c r="AA158" s="90" t="s">
        <v>85</v>
      </c>
      <c r="AB158" s="90" t="s">
        <v>87</v>
      </c>
      <c r="AC158" s="90" t="s">
        <v>87</v>
      </c>
      <c r="AD158" s="90" t="s">
        <v>457</v>
      </c>
      <c r="AE158" s="24">
        <v>0</v>
      </c>
      <c r="AF158" s="90">
        <v>0</v>
      </c>
      <c r="AG158" s="24">
        <v>0</v>
      </c>
      <c r="AH158" s="90">
        <v>77014</v>
      </c>
      <c r="AI158" s="24" t="s">
        <v>102</v>
      </c>
      <c r="AJ158" s="24" t="s">
        <v>103</v>
      </c>
      <c r="AK158" s="90" t="s">
        <v>85</v>
      </c>
      <c r="AL158" s="90">
        <v>126387</v>
      </c>
      <c r="AM158" s="90" t="s">
        <v>81</v>
      </c>
      <c r="AN158" s="90" t="s">
        <v>630</v>
      </c>
      <c r="AO158" s="125" t="s">
        <v>637</v>
      </c>
      <c r="AP158" s="24" t="s">
        <v>634</v>
      </c>
      <c r="AQ158" s="90" t="s">
        <v>633</v>
      </c>
      <c r="AR158" s="24" t="s">
        <v>634</v>
      </c>
      <c r="AS158" s="90">
        <v>2564190</v>
      </c>
      <c r="AT158" s="24" t="s">
        <v>102</v>
      </c>
      <c r="AU158" s="90" t="s">
        <v>584</v>
      </c>
      <c r="AV158" s="90" t="str">
        <f>IF(ISNUMBER(SEARCH("disagree",AE158)),"N","Y")</f>
        <v>Y</v>
      </c>
      <c r="AW158" s="90">
        <v>70476</v>
      </c>
      <c r="AX158" s="24" t="s">
        <v>104</v>
      </c>
      <c r="AY158" s="90" t="str">
        <f>CONCATENATE(AZ158,BA158,BB158,BC158)</f>
        <v>RQCS</v>
      </c>
      <c r="AZ158" s="90" t="str">
        <f>IF(ISNUMBER(SEARCH("Y",AC158)),"R","")</f>
        <v>R</v>
      </c>
      <c r="BA158" s="90" t="str">
        <f>IF(ISNUMBER(SEARCH("Y",Y158)),"M","")</f>
        <v/>
      </c>
      <c r="BB158" s="90" t="str">
        <f>IF(ISNUMBER(SEARCH("Y",AB158)),"QC","")</f>
        <v>QC</v>
      </c>
      <c r="BC158" s="90" t="str">
        <f>IF(ISNUMBER(SEARCH("Y",Z158)),"S","")</f>
        <v>S</v>
      </c>
      <c r="BD158" s="90"/>
      <c r="BE158" s="24" t="s">
        <v>327</v>
      </c>
      <c r="BF158" s="125" t="str">
        <f>IF(AND(AW158&gt;=56543,AW158&lt;=76543,LEN(AW158)&gt;0),"3 Feb 2020",IF(AND(AW158&gt;=66544,AW158&lt;=99999,LEN(AW158)&gt;0),"12 Sep 2020",""))</f>
        <v>3 Feb 2020</v>
      </c>
      <c r="BG158" s="125" t="str">
        <f>IF((AND(BF158="3 Feb 2020",LEN(BF158)&gt;0)),"Completed",IF((AND(BF158="12 Sep 2020",LEN(BF158)&gt;0)),"Pending",""))</f>
        <v>Completed</v>
      </c>
      <c r="BH158" s="90" t="str">
        <f>IF((AND(BF158="3 Feb 2020",LEN(BF158)&gt;0)),"3 Feb 2020","")</f>
        <v>3 Feb 2020</v>
      </c>
      <c r="BI158" s="90">
        <v>126387</v>
      </c>
      <c r="BJ158" s="90" t="str">
        <f>L158</f>
        <v>2C98HS84464-73</v>
      </c>
      <c r="BK158" s="127">
        <v>43508</v>
      </c>
      <c r="BL158" s="127">
        <v>44239</v>
      </c>
      <c r="BM158" s="128">
        <f>P158*1.1</f>
        <v>1052602.1000000001</v>
      </c>
      <c r="BN158" s="129">
        <f>P158*0.9</f>
        <v>861219.9</v>
      </c>
      <c r="BO158" s="130">
        <f>P158*0.8</f>
        <v>765528.8</v>
      </c>
      <c r="BP158" s="90">
        <f>IF(Z158="Y",BM158*0.4,BM158*1.05)</f>
        <v>421040.84000000008</v>
      </c>
      <c r="BQ158" s="90">
        <f>BP158*0.8</f>
        <v>336832.67200000008</v>
      </c>
      <c r="BR158" s="90" t="str">
        <f>IF(ISNUMBER(SEARCH("subrecipient",AI154)),P158*0.6,"")</f>
        <v/>
      </c>
      <c r="BS158" s="90">
        <v>126387</v>
      </c>
      <c r="BT158" s="90" t="str">
        <f>BJ158</f>
        <v>2C98HS84464-73</v>
      </c>
      <c r="BU158" s="127">
        <f>BK158</f>
        <v>43508</v>
      </c>
      <c r="BV158" s="127">
        <f>BL158</f>
        <v>44239</v>
      </c>
      <c r="BW158" s="90" t="str">
        <f>H158</f>
        <v>CDC</v>
      </c>
      <c r="BX158" s="90" t="str">
        <f>IF(H158="NATIONAL HEMOPHILIA FOUNDATION","Non Federal","Federal")</f>
        <v>Federal</v>
      </c>
      <c r="BY158" s="128">
        <f>BM158</f>
        <v>1052602.1000000001</v>
      </c>
      <c r="BZ158" s="90" t="str">
        <f>IF(LEN(BR158)&gt;0,1,"")</f>
        <v/>
      </c>
      <c r="CA158" s="90" t="str">
        <f>IF(LEN(BR158)&gt;0,"VIRAL HEPATITIS PROJECT","")</f>
        <v/>
      </c>
      <c r="CB158" s="129" t="str">
        <f>IF(LEN(BR158)&gt;0,BM158*0.7,"")</f>
        <v/>
      </c>
      <c r="CC158" s="90">
        <f>BP158</f>
        <v>421040.84000000008</v>
      </c>
      <c r="CD158" s="90" t="str">
        <f>IF(LEN(BR158)&gt;0,"70%","")</f>
        <v/>
      </c>
      <c r="CE158" s="90">
        <f>BS158</f>
        <v>126387</v>
      </c>
      <c r="CF158" s="90" t="str">
        <f>CA158</f>
        <v/>
      </c>
      <c r="CG158" s="90"/>
      <c r="CH158" s="90"/>
      <c r="CI158" s="90"/>
      <c r="CJ158" s="90"/>
      <c r="CK158" s="90"/>
      <c r="CL158" s="90"/>
      <c r="CM158" s="90"/>
      <c r="CN158" s="90"/>
      <c r="CO158" s="90"/>
      <c r="CP158" s="90"/>
      <c r="CQ158" s="90"/>
      <c r="CR158" s="90"/>
      <c r="CS158" s="90"/>
      <c r="CT158" s="137"/>
    </row>
    <row r="159" spans="1:98" ht="45">
      <c r="A159" s="89">
        <v>126387</v>
      </c>
      <c r="B159" s="90">
        <v>2020</v>
      </c>
      <c r="C159" s="90" t="s">
        <v>81</v>
      </c>
      <c r="D159" s="90" t="s">
        <v>630</v>
      </c>
      <c r="E159" s="125" t="s">
        <v>638</v>
      </c>
      <c r="F159" s="24" t="s">
        <v>632</v>
      </c>
      <c r="G159" s="90" t="s">
        <v>85</v>
      </c>
      <c r="H159" s="90" t="s">
        <v>86</v>
      </c>
      <c r="I159" s="90">
        <v>93</v>
      </c>
      <c r="J159" s="90">
        <v>157</v>
      </c>
      <c r="K159" s="90" t="s">
        <v>85</v>
      </c>
      <c r="L159" s="90" t="s">
        <v>633</v>
      </c>
      <c r="M159" s="90" t="s">
        <v>87</v>
      </c>
      <c r="N159" s="24" t="s">
        <v>634</v>
      </c>
      <c r="O159" s="24" t="str">
        <f>IF(ISNUMBER(SEARCH("Cancer",N159)),"Cancer",IF(ISNUMBER(SEARCH("health",N159)),"Public health",IF(ISNUMBER(SEARCH("disabilities",N159)),"Disabilities","Other")))</f>
        <v>Other</v>
      </c>
      <c r="P159" s="126">
        <v>956911</v>
      </c>
      <c r="Q159" s="90" t="s">
        <v>85</v>
      </c>
      <c r="R159" s="90" t="str">
        <f>IF(P159&gt;20000000,"B","A")</f>
        <v>A</v>
      </c>
      <c r="S159" s="90" t="s">
        <v>90</v>
      </c>
      <c r="T159" s="90">
        <v>2564190</v>
      </c>
      <c r="U159" s="90" t="s">
        <v>91</v>
      </c>
      <c r="V159" s="90" t="s">
        <v>584</v>
      </c>
      <c r="W159" s="90" t="s">
        <v>87</v>
      </c>
      <c r="X159" s="90" t="s">
        <v>85</v>
      </c>
      <c r="Y159" s="90" t="s">
        <v>85</v>
      </c>
      <c r="Z159" s="90" t="s">
        <v>87</v>
      </c>
      <c r="AA159" s="90" t="s">
        <v>85</v>
      </c>
      <c r="AB159" s="90" t="s">
        <v>87</v>
      </c>
      <c r="AC159" s="90" t="s">
        <v>87</v>
      </c>
      <c r="AD159" s="90" t="s">
        <v>457</v>
      </c>
      <c r="AE159" s="24">
        <v>0</v>
      </c>
      <c r="AF159" s="90">
        <v>0</v>
      </c>
      <c r="AG159" s="24">
        <v>0</v>
      </c>
      <c r="AH159" s="90">
        <v>77016</v>
      </c>
      <c r="AI159" s="24" t="s">
        <v>110</v>
      </c>
      <c r="AJ159" s="24" t="s">
        <v>639</v>
      </c>
      <c r="AK159" s="90" t="s">
        <v>85</v>
      </c>
      <c r="AL159" s="90">
        <v>126387</v>
      </c>
      <c r="AM159" s="90" t="s">
        <v>81</v>
      </c>
      <c r="AN159" s="90" t="s">
        <v>630</v>
      </c>
      <c r="AO159" s="125" t="s">
        <v>638</v>
      </c>
      <c r="AP159" s="24" t="s">
        <v>634</v>
      </c>
      <c r="AQ159" s="90" t="s">
        <v>633</v>
      </c>
      <c r="AR159" s="24" t="s">
        <v>634</v>
      </c>
      <c r="AS159" s="90">
        <v>2564190</v>
      </c>
      <c r="AT159" s="24" t="s">
        <v>110</v>
      </c>
      <c r="AU159" s="90" t="s">
        <v>584</v>
      </c>
      <c r="AV159" s="90" t="str">
        <f>IF(ISNUMBER(SEARCH("disagree",AE159)),"N","Y")</f>
        <v>Y</v>
      </c>
      <c r="AW159" s="90">
        <v>58123</v>
      </c>
      <c r="AX159" s="24" t="s">
        <v>112</v>
      </c>
      <c r="AY159" s="90" t="str">
        <f>CONCATENATE(AZ159,BA159,BB159,BC159)</f>
        <v>RQCS</v>
      </c>
      <c r="AZ159" s="90" t="str">
        <f>IF(ISNUMBER(SEARCH("Y",AC159)),"R","")</f>
        <v>R</v>
      </c>
      <c r="BA159" s="90" t="str">
        <f>IF(ISNUMBER(SEARCH("Y",Y159)),"M","")</f>
        <v/>
      </c>
      <c r="BB159" s="90" t="str">
        <f>IF(ISNUMBER(SEARCH("Y",AB159)),"QC","")</f>
        <v>QC</v>
      </c>
      <c r="BC159" s="90" t="str">
        <f>IF(ISNUMBER(SEARCH("Y",Z159)),"S","")</f>
        <v>S</v>
      </c>
      <c r="BD159" s="90"/>
      <c r="BE159" s="24" t="s">
        <v>113</v>
      </c>
      <c r="BF159" s="125" t="str">
        <f>IF(AND(AW159&gt;=56543,AW159&lt;=76543,LEN(AW159)&gt;0),"3 Feb 2020",IF(AND(AW159&gt;=66544,AW159&lt;=99999,LEN(AW159)&gt;0),"12 Sep 2020",""))</f>
        <v>3 Feb 2020</v>
      </c>
      <c r="BG159" s="125" t="s">
        <v>328</v>
      </c>
      <c r="BH159" s="90"/>
      <c r="BI159" s="90">
        <v>126387</v>
      </c>
      <c r="BJ159" s="90" t="str">
        <f>L159</f>
        <v>2C98HS84464-73</v>
      </c>
      <c r="BK159" s="127">
        <v>43508</v>
      </c>
      <c r="BL159" s="127">
        <v>44239</v>
      </c>
      <c r="BM159" s="128">
        <f>P159*1.1</f>
        <v>1052602.1000000001</v>
      </c>
      <c r="BN159" s="129">
        <f>P159*0.9</f>
        <v>861219.9</v>
      </c>
      <c r="BO159" s="130">
        <f>P159*0.8</f>
        <v>765528.8</v>
      </c>
      <c r="BP159" s="90">
        <f>IF(Z159="Y",BM159*0.4,BM159*1.05)</f>
        <v>421040.84000000008</v>
      </c>
      <c r="BQ159" s="90">
        <f>BP159*0.8</f>
        <v>336832.67200000008</v>
      </c>
      <c r="BR159" s="90" t="str">
        <f>IF(ISNUMBER(SEARCH("subrecipient",AI155)),P159*0.6,"")</f>
        <v/>
      </c>
      <c r="BS159" s="90">
        <v>126387</v>
      </c>
      <c r="BT159" s="90" t="str">
        <f>BJ159</f>
        <v>2C98HS84464-73</v>
      </c>
      <c r="BU159" s="127">
        <f>BK159</f>
        <v>43508</v>
      </c>
      <c r="BV159" s="127">
        <f>BL159</f>
        <v>44239</v>
      </c>
      <c r="BW159" s="90" t="str">
        <f>H159</f>
        <v>CDC</v>
      </c>
      <c r="BX159" s="90" t="str">
        <f>IF(H159="NATIONAL HEMOPHILIA FOUNDATION","Non Federal","Federal")</f>
        <v>Federal</v>
      </c>
      <c r="BY159" s="128">
        <f>BM159</f>
        <v>1052602.1000000001</v>
      </c>
      <c r="BZ159" s="90" t="str">
        <f>IF(LEN(BR159)&gt;0,1,"")</f>
        <v/>
      </c>
      <c r="CA159" s="90" t="str">
        <f>IF(LEN(BR159)&gt;0,"VIRAL HEPATITIS PROJECT","")</f>
        <v/>
      </c>
      <c r="CB159" s="129" t="str">
        <f>IF(LEN(BR159)&gt;0,BM159*0.7,"")</f>
        <v/>
      </c>
      <c r="CC159" s="90">
        <f>BP159</f>
        <v>421040.84000000008</v>
      </c>
      <c r="CD159" s="90" t="str">
        <f>IF(LEN(BR159)&gt;0,"70%","")</f>
        <v/>
      </c>
      <c r="CE159" s="90">
        <f>BS159</f>
        <v>126387</v>
      </c>
      <c r="CF159" s="90" t="str">
        <f>CA159</f>
        <v/>
      </c>
      <c r="CG159" s="90"/>
      <c r="CH159" s="90"/>
      <c r="CI159" s="90"/>
      <c r="CJ159" s="90"/>
      <c r="CK159" s="90"/>
      <c r="CL159" s="90"/>
      <c r="CM159" s="90"/>
      <c r="CN159" s="90"/>
      <c r="CO159" s="90"/>
      <c r="CP159" s="90"/>
      <c r="CQ159" s="90"/>
      <c r="CR159" s="90"/>
      <c r="CS159" s="90"/>
      <c r="CT159" s="137"/>
    </row>
    <row r="160" spans="1:98" ht="90">
      <c r="A160" s="89">
        <v>129412</v>
      </c>
      <c r="B160" s="90">
        <v>2020</v>
      </c>
      <c r="C160" s="90" t="s">
        <v>81</v>
      </c>
      <c r="D160" s="90" t="s">
        <v>640</v>
      </c>
      <c r="E160" s="125" t="s">
        <v>641</v>
      </c>
      <c r="F160" s="24" t="s">
        <v>642</v>
      </c>
      <c r="G160" s="90" t="s">
        <v>85</v>
      </c>
      <c r="H160" s="90" t="s">
        <v>117</v>
      </c>
      <c r="I160" s="90">
        <v>93</v>
      </c>
      <c r="J160" s="90">
        <v>157</v>
      </c>
      <c r="K160" s="90" t="s">
        <v>85</v>
      </c>
      <c r="L160" s="90" t="s">
        <v>643</v>
      </c>
      <c r="M160" s="90" t="s">
        <v>119</v>
      </c>
      <c r="N160" s="24" t="s">
        <v>644</v>
      </c>
      <c r="O160" s="24" t="str">
        <f>IF(ISNUMBER(SEARCH("Cancer",N160)),"Cancer",IF(ISNUMBER(SEARCH("health",N160)),"Public health",IF(ISNUMBER(SEARCH("disabilities",N160)),"Disabilities","Other")))</f>
        <v>Other</v>
      </c>
      <c r="P160" s="126">
        <v>1112480</v>
      </c>
      <c r="Q160" s="90" t="s">
        <v>85</v>
      </c>
      <c r="R160" s="90" t="str">
        <f>IF(P160&gt;20000000,"B","A")</f>
        <v>A</v>
      </c>
      <c r="S160" s="90" t="s">
        <v>90</v>
      </c>
      <c r="T160" s="90" t="s">
        <v>119</v>
      </c>
      <c r="U160" s="90" t="s">
        <v>119</v>
      </c>
      <c r="V160" s="90" t="s">
        <v>119</v>
      </c>
      <c r="W160" s="90" t="s">
        <v>119</v>
      </c>
      <c r="X160" s="90" t="s">
        <v>119</v>
      </c>
      <c r="Y160" s="90" t="s">
        <v>119</v>
      </c>
      <c r="Z160" s="90" t="s">
        <v>119</v>
      </c>
      <c r="AA160" s="90" t="s">
        <v>119</v>
      </c>
      <c r="AB160" s="90" t="s">
        <v>119</v>
      </c>
      <c r="AC160" s="90" t="s">
        <v>119</v>
      </c>
      <c r="AD160" s="90" t="s">
        <v>119</v>
      </c>
      <c r="AE160" s="24">
        <v>0</v>
      </c>
      <c r="AF160" s="90">
        <v>0</v>
      </c>
      <c r="AG160" s="24">
        <v>0</v>
      </c>
      <c r="AH160" s="90">
        <v>86732</v>
      </c>
      <c r="AI160" s="24" t="s">
        <v>94</v>
      </c>
      <c r="AJ160" s="24" t="s">
        <v>645</v>
      </c>
      <c r="AK160" s="90" t="s">
        <v>85</v>
      </c>
      <c r="AL160" s="90">
        <v>129412</v>
      </c>
      <c r="AM160" s="90" t="s">
        <v>81</v>
      </c>
      <c r="AN160" s="90" t="s">
        <v>640</v>
      </c>
      <c r="AO160" s="125" t="s">
        <v>641</v>
      </c>
      <c r="AP160" s="24" t="s">
        <v>644</v>
      </c>
      <c r="AQ160" s="90" t="s">
        <v>643</v>
      </c>
      <c r="AR160" s="24" t="s">
        <v>644</v>
      </c>
      <c r="AS160" s="90" t="s">
        <v>119</v>
      </c>
      <c r="AT160" s="24" t="s">
        <v>94</v>
      </c>
      <c r="AU160" s="90" t="s">
        <v>119</v>
      </c>
      <c r="AV160" s="90" t="str">
        <f>IF(ISNUMBER(SEARCH("disagree",AE160)),"N","Y")</f>
        <v>Y</v>
      </c>
      <c r="AW160" s="90" t="s">
        <v>119</v>
      </c>
      <c r="AX160" s="24" t="s">
        <v>119</v>
      </c>
      <c r="AY160" s="90" t="str">
        <f>CONCATENATE(AZ160,BA160,BB160,BC160)</f>
        <v/>
      </c>
      <c r="AZ160" s="90" t="str">
        <f>IF(ISNUMBER(SEARCH("Y",AC160)),"R","")</f>
        <v/>
      </c>
      <c r="BA160" s="90" t="str">
        <f>IF(ISNUMBER(SEARCH("Y",Y160)),"M","")</f>
        <v/>
      </c>
      <c r="BB160" s="90" t="str">
        <f>IF(ISNUMBER(SEARCH("Y",AB160)),"QC","")</f>
        <v/>
      </c>
      <c r="BC160" s="90" t="str">
        <f>IF(ISNUMBER(SEARCH("Y",Z160)),"S","")</f>
        <v/>
      </c>
      <c r="BD160" s="90"/>
      <c r="BE160" s="24" t="s">
        <v>119</v>
      </c>
      <c r="BF160" s="125" t="str">
        <f>IF(AND(AW160&gt;=56543,AW160&lt;=76543,LEN(AW160)&gt;0),"3 Feb 2020",IF(AND(AW160&gt;=66544,AW160&lt;=99999,LEN(AW160)&gt;0),"12 Sep 2020",""))</f>
        <v/>
      </c>
      <c r="BG160" s="125" t="str">
        <f>IF((AND(BF160="3 Feb 2020",LEN(BF160)&gt;0)),"Completed",IF((AND(BF160="12 Sep 2020",LEN(BF160)&gt;0)),"Pending",""))</f>
        <v/>
      </c>
      <c r="BH160" s="90" t="str">
        <f>IF((AND(BF160="3 Feb 2020",LEN(BF160)&gt;0)),"3 Feb 2020","")</f>
        <v/>
      </c>
      <c r="BI160" s="90">
        <v>129412</v>
      </c>
      <c r="BJ160" s="90" t="str">
        <f>L160</f>
        <v>2C94BS84466-70</v>
      </c>
      <c r="BK160" s="127">
        <v>43508</v>
      </c>
      <c r="BL160" s="127">
        <v>44239</v>
      </c>
      <c r="BM160" s="128">
        <f>P160*1.1</f>
        <v>1223728</v>
      </c>
      <c r="BN160" s="129">
        <f>P160*0.9</f>
        <v>1001232</v>
      </c>
      <c r="BO160" s="130">
        <f>P160*0.8</f>
        <v>889984</v>
      </c>
      <c r="BP160" s="90">
        <f>IF(Z160="Y",BM160*0.4,BM160*1.05)</f>
        <v>1284914.4000000001</v>
      </c>
      <c r="BQ160" s="90">
        <f>BP160*0.8</f>
        <v>1027931.5200000001</v>
      </c>
      <c r="BR160" s="90" t="str">
        <f>IF(ISNUMBER(SEARCH("subrecipient",AI156)),P160*0.6,"")</f>
        <v/>
      </c>
      <c r="BS160" s="90">
        <v>129412</v>
      </c>
      <c r="BT160" s="90" t="str">
        <f>BJ160</f>
        <v>2C94BS84466-70</v>
      </c>
      <c r="BU160" s="127">
        <f>BK160</f>
        <v>43508</v>
      </c>
      <c r="BV160" s="127">
        <f>BL160</f>
        <v>44239</v>
      </c>
      <c r="BW160" s="90" t="str">
        <f>H160</f>
        <v>NIH</v>
      </c>
      <c r="BX160" s="90" t="str">
        <f>IF(H160="NATIONAL HEMOPHILIA FOUNDATION","Non Federal","Federal")</f>
        <v>Federal</v>
      </c>
      <c r="BY160" s="128">
        <f>BM160</f>
        <v>1223728</v>
      </c>
      <c r="BZ160" s="90" t="str">
        <f>IF(LEN(BR160)&gt;0,1,"")</f>
        <v/>
      </c>
      <c r="CA160" s="90" t="str">
        <f>IF(LEN(BR160)&gt;0,"VIRAL HEPATITIS PROJECT","")</f>
        <v/>
      </c>
      <c r="CB160" s="129" t="str">
        <f>IF(LEN(BR160)&gt;0,BM160*0.7,"")</f>
        <v/>
      </c>
      <c r="CC160" s="90">
        <f>BP160</f>
        <v>1284914.4000000001</v>
      </c>
      <c r="CD160" s="90" t="str">
        <f>IF(LEN(BR160)&gt;0,"70%","")</f>
        <v/>
      </c>
      <c r="CE160" s="90">
        <f>BS160</f>
        <v>129412</v>
      </c>
      <c r="CF160" s="90" t="str">
        <f>CA160</f>
        <v/>
      </c>
      <c r="CG160" s="90"/>
      <c r="CH160" s="90"/>
      <c r="CI160" s="90"/>
      <c r="CJ160" s="90"/>
      <c r="CK160" s="90"/>
      <c r="CL160" s="90"/>
      <c r="CM160" s="90"/>
      <c r="CN160" s="90"/>
      <c r="CO160" s="90"/>
      <c r="CP160" s="90"/>
      <c r="CQ160" s="90"/>
      <c r="CR160" s="90"/>
      <c r="CS160" s="90"/>
      <c r="CT160" s="137"/>
    </row>
    <row r="161" spans="1:98" ht="90">
      <c r="A161" s="89">
        <v>129412</v>
      </c>
      <c r="B161" s="90">
        <v>2020</v>
      </c>
      <c r="C161" s="90" t="s">
        <v>81</v>
      </c>
      <c r="D161" s="90" t="s">
        <v>640</v>
      </c>
      <c r="E161" s="125" t="s">
        <v>646</v>
      </c>
      <c r="F161" s="24" t="s">
        <v>642</v>
      </c>
      <c r="G161" s="90" t="s">
        <v>85</v>
      </c>
      <c r="H161" s="90" t="s">
        <v>117</v>
      </c>
      <c r="I161" s="90">
        <v>93</v>
      </c>
      <c r="J161" s="90">
        <v>157</v>
      </c>
      <c r="K161" s="90" t="s">
        <v>85</v>
      </c>
      <c r="L161" s="90" t="s">
        <v>643</v>
      </c>
      <c r="M161" s="90" t="s">
        <v>119</v>
      </c>
      <c r="N161" s="24" t="s">
        <v>644</v>
      </c>
      <c r="O161" s="24" t="str">
        <f>IF(ISNUMBER(SEARCH("Cancer",N161)),"Cancer",IF(ISNUMBER(SEARCH("health",N161)),"Public health",IF(ISNUMBER(SEARCH("disabilities",N161)),"Disabilities","Other")))</f>
        <v>Other</v>
      </c>
      <c r="P161" s="126">
        <v>1112480</v>
      </c>
      <c r="Q161" s="90" t="s">
        <v>85</v>
      </c>
      <c r="R161" s="90" t="str">
        <f>IF(P161&gt;20000000,"B","A")</f>
        <v>A</v>
      </c>
      <c r="S161" s="90" t="s">
        <v>90</v>
      </c>
      <c r="T161" s="90" t="s">
        <v>119</v>
      </c>
      <c r="U161" s="90" t="s">
        <v>119</v>
      </c>
      <c r="V161" s="90" t="s">
        <v>119</v>
      </c>
      <c r="W161" s="90" t="s">
        <v>119</v>
      </c>
      <c r="X161" s="90" t="s">
        <v>119</v>
      </c>
      <c r="Y161" s="90" t="s">
        <v>119</v>
      </c>
      <c r="Z161" s="90" t="s">
        <v>119</v>
      </c>
      <c r="AA161" s="90" t="s">
        <v>119</v>
      </c>
      <c r="AB161" s="90" t="s">
        <v>119</v>
      </c>
      <c r="AC161" s="90" t="s">
        <v>119</v>
      </c>
      <c r="AD161" s="90" t="s">
        <v>119</v>
      </c>
      <c r="AE161" s="24">
        <v>0</v>
      </c>
      <c r="AF161" s="90">
        <v>0</v>
      </c>
      <c r="AG161" s="24">
        <v>0</v>
      </c>
      <c r="AH161" s="90">
        <v>86731</v>
      </c>
      <c r="AI161" s="24" t="s">
        <v>102</v>
      </c>
      <c r="AJ161" s="24" t="s">
        <v>103</v>
      </c>
      <c r="AK161" s="90" t="s">
        <v>85</v>
      </c>
      <c r="AL161" s="90">
        <v>129412</v>
      </c>
      <c r="AM161" s="90" t="s">
        <v>81</v>
      </c>
      <c r="AN161" s="90" t="s">
        <v>640</v>
      </c>
      <c r="AO161" s="125" t="s">
        <v>646</v>
      </c>
      <c r="AP161" s="24" t="s">
        <v>644</v>
      </c>
      <c r="AQ161" s="90" t="s">
        <v>643</v>
      </c>
      <c r="AR161" s="24" t="s">
        <v>644</v>
      </c>
      <c r="AS161" s="90" t="s">
        <v>119</v>
      </c>
      <c r="AT161" s="24" t="s">
        <v>102</v>
      </c>
      <c r="AU161" s="90" t="s">
        <v>119</v>
      </c>
      <c r="AV161" s="90" t="str">
        <f>IF(ISNUMBER(SEARCH("disagree",AE161)),"N","Y")</f>
        <v>Y</v>
      </c>
      <c r="AW161" s="90" t="s">
        <v>119</v>
      </c>
      <c r="AX161" s="24" t="s">
        <v>119</v>
      </c>
      <c r="AY161" s="90" t="str">
        <f>CONCATENATE(AZ161,BA161,BB161,BC161)</f>
        <v/>
      </c>
      <c r="AZ161" s="90" t="str">
        <f>IF(ISNUMBER(SEARCH("Y",AC161)),"R","")</f>
        <v/>
      </c>
      <c r="BA161" s="90" t="str">
        <f>IF(ISNUMBER(SEARCH("Y",Y161)),"M","")</f>
        <v/>
      </c>
      <c r="BB161" s="90" t="str">
        <f>IF(ISNUMBER(SEARCH("Y",AB161)),"QC","")</f>
        <v/>
      </c>
      <c r="BC161" s="90" t="str">
        <f>IF(ISNUMBER(SEARCH("Y",Z161)),"S","")</f>
        <v/>
      </c>
      <c r="BD161" s="90"/>
      <c r="BE161" s="24" t="s">
        <v>119</v>
      </c>
      <c r="BF161" s="125" t="str">
        <f>IF(AND(AW161&gt;=56543,AW161&lt;=76543,LEN(AW161)&gt;0),"3 Feb 2020",IF(AND(AW161&gt;=66544,AW161&lt;=99999,LEN(AW161)&gt;0),"12 Sep 2020",""))</f>
        <v/>
      </c>
      <c r="BG161" s="125" t="str">
        <f>IF((AND(BF161="3 Feb 2020",LEN(BF161)&gt;0)),"Completed",IF((AND(BF161="12 Sep 2020",LEN(BF161)&gt;0)),"Pending",""))</f>
        <v/>
      </c>
      <c r="BH161" s="90" t="str">
        <f>IF((AND(BF161="3 Feb 2020",LEN(BF161)&gt;0)),"3 Feb 2020","")</f>
        <v/>
      </c>
      <c r="BI161" s="90">
        <v>129412</v>
      </c>
      <c r="BJ161" s="90" t="str">
        <f>L161</f>
        <v>2C94BS84466-70</v>
      </c>
      <c r="BK161" s="127">
        <v>43508</v>
      </c>
      <c r="BL161" s="127">
        <v>44239</v>
      </c>
      <c r="BM161" s="128">
        <f>P161*1.1</f>
        <v>1223728</v>
      </c>
      <c r="BN161" s="129">
        <f>P161*0.9</f>
        <v>1001232</v>
      </c>
      <c r="BO161" s="130">
        <f>P161*0.8</f>
        <v>889984</v>
      </c>
      <c r="BP161" s="90">
        <f>IF(Z161="Y",BM161*0.4,BM161*1.05)</f>
        <v>1284914.4000000001</v>
      </c>
      <c r="BQ161" s="90">
        <f>BP161*0.8</f>
        <v>1027931.5200000001</v>
      </c>
      <c r="BR161" s="90" t="str">
        <f>IF(ISNUMBER(SEARCH("subrecipient",AI157)),P161*0.6,"")</f>
        <v/>
      </c>
      <c r="BS161" s="90">
        <v>129412</v>
      </c>
      <c r="BT161" s="90" t="str">
        <f>BJ161</f>
        <v>2C94BS84466-70</v>
      </c>
      <c r="BU161" s="127">
        <f>BK161</f>
        <v>43508</v>
      </c>
      <c r="BV161" s="127">
        <f>BL161</f>
        <v>44239</v>
      </c>
      <c r="BW161" s="90" t="str">
        <f>H161</f>
        <v>NIH</v>
      </c>
      <c r="BX161" s="90" t="str">
        <f>IF(H161="NATIONAL HEMOPHILIA FOUNDATION","Non Federal","Federal")</f>
        <v>Federal</v>
      </c>
      <c r="BY161" s="128">
        <f>BM161</f>
        <v>1223728</v>
      </c>
      <c r="BZ161" s="90" t="str">
        <f>IF(LEN(BR161)&gt;0,1,"")</f>
        <v/>
      </c>
      <c r="CA161" s="90" t="str">
        <f>IF(LEN(BR161)&gt;0,"VIRAL HEPATITIS PROJECT","")</f>
        <v/>
      </c>
      <c r="CB161" s="129" t="str">
        <f>IF(LEN(BR161)&gt;0,BM161*0.7,"")</f>
        <v/>
      </c>
      <c r="CC161" s="90">
        <f>BP161</f>
        <v>1284914.4000000001</v>
      </c>
      <c r="CD161" s="90" t="str">
        <f>IF(LEN(BR161)&gt;0,"70%","")</f>
        <v/>
      </c>
      <c r="CE161" s="90">
        <f>BS161</f>
        <v>129412</v>
      </c>
      <c r="CF161" s="90" t="str">
        <f>CA161</f>
        <v/>
      </c>
      <c r="CG161" s="90"/>
      <c r="CH161" s="90"/>
      <c r="CI161" s="90"/>
      <c r="CJ161" s="90"/>
      <c r="CK161" s="90"/>
      <c r="CL161" s="90"/>
      <c r="CM161" s="90"/>
      <c r="CN161" s="90"/>
      <c r="CO161" s="90"/>
      <c r="CP161" s="90"/>
      <c r="CQ161" s="90"/>
      <c r="CR161" s="90"/>
      <c r="CS161" s="90"/>
      <c r="CT161" s="137"/>
    </row>
    <row r="162" spans="1:98" ht="210">
      <c r="A162" s="89">
        <v>143147</v>
      </c>
      <c r="B162" s="90">
        <v>2020</v>
      </c>
      <c r="C162" s="90" t="s">
        <v>81</v>
      </c>
      <c r="D162" s="90" t="s">
        <v>647</v>
      </c>
      <c r="E162" s="125" t="s">
        <v>648</v>
      </c>
      <c r="F162" s="24" t="s">
        <v>649</v>
      </c>
      <c r="G162" s="90" t="s">
        <v>85</v>
      </c>
      <c r="H162" s="90" t="s">
        <v>132</v>
      </c>
      <c r="I162" s="90">
        <v>93</v>
      </c>
      <c r="J162" s="90">
        <v>157</v>
      </c>
      <c r="K162" s="90" t="s">
        <v>85</v>
      </c>
      <c r="L162" s="90" t="s">
        <v>650</v>
      </c>
      <c r="M162" s="90" t="s">
        <v>119</v>
      </c>
      <c r="N162" s="24" t="s">
        <v>651</v>
      </c>
      <c r="O162" s="24" t="str">
        <f>IF(ISNUMBER(SEARCH("Cancer",N162)),"Cancer",IF(ISNUMBER(SEARCH("health",N162)),"Public health",IF(ISNUMBER(SEARCH("disabilities",N162)),"Disabilities","Other")))</f>
        <v>Other</v>
      </c>
      <c r="P162" s="126">
        <v>1883297</v>
      </c>
      <c r="Q162" s="90" t="s">
        <v>85</v>
      </c>
      <c r="R162" s="90" t="str">
        <f>IF(P162&gt;20000000,"B","A")</f>
        <v>A</v>
      </c>
      <c r="S162" s="90" t="s">
        <v>90</v>
      </c>
      <c r="T162" s="90" t="s">
        <v>119</v>
      </c>
      <c r="U162" s="90" t="s">
        <v>119</v>
      </c>
      <c r="V162" s="90" t="s">
        <v>119</v>
      </c>
      <c r="W162" s="90" t="s">
        <v>119</v>
      </c>
      <c r="X162" s="90" t="s">
        <v>119</v>
      </c>
      <c r="Y162" s="90" t="s">
        <v>119</v>
      </c>
      <c r="Z162" s="90" t="s">
        <v>119</v>
      </c>
      <c r="AA162" s="90" t="s">
        <v>119</v>
      </c>
      <c r="AB162" s="90" t="s">
        <v>119</v>
      </c>
      <c r="AC162" s="90" t="s">
        <v>119</v>
      </c>
      <c r="AD162" s="90" t="s">
        <v>119</v>
      </c>
      <c r="AE162" s="24">
        <v>0</v>
      </c>
      <c r="AF162" s="90">
        <v>0</v>
      </c>
      <c r="AG162" s="24">
        <v>0</v>
      </c>
      <c r="AH162" s="90">
        <v>86774</v>
      </c>
      <c r="AI162" s="24" t="s">
        <v>94</v>
      </c>
      <c r="AJ162" s="24" t="s">
        <v>652</v>
      </c>
      <c r="AK162" s="90" t="s">
        <v>85</v>
      </c>
      <c r="AL162" s="90">
        <v>143147</v>
      </c>
      <c r="AM162" s="90" t="s">
        <v>81</v>
      </c>
      <c r="AN162" s="90" t="s">
        <v>647</v>
      </c>
      <c r="AO162" s="125" t="s">
        <v>648</v>
      </c>
      <c r="AP162" s="24" t="s">
        <v>651</v>
      </c>
      <c r="AQ162" s="90" t="s">
        <v>650</v>
      </c>
      <c r="AR162" s="24" t="s">
        <v>651</v>
      </c>
      <c r="AS162" s="90" t="s">
        <v>119</v>
      </c>
      <c r="AT162" s="24" t="s">
        <v>94</v>
      </c>
      <c r="AU162" s="90" t="s">
        <v>119</v>
      </c>
      <c r="AV162" s="90" t="str">
        <f>IF(ISNUMBER(SEARCH("disagree",AE162)),"N","Y")</f>
        <v>Y</v>
      </c>
      <c r="AW162" s="90" t="s">
        <v>119</v>
      </c>
      <c r="AX162" s="24" t="s">
        <v>119</v>
      </c>
      <c r="AY162" s="90" t="str">
        <f>CONCATENATE(AZ162,BA162,BB162,BC162)</f>
        <v/>
      </c>
      <c r="AZ162" s="90" t="str">
        <f>IF(ISNUMBER(SEARCH("Y",AC162)),"R","")</f>
        <v/>
      </c>
      <c r="BA162" s="90" t="str">
        <f>IF(ISNUMBER(SEARCH("Y",Y162)),"M","")</f>
        <v/>
      </c>
      <c r="BB162" s="90" t="str">
        <f>IF(ISNUMBER(SEARCH("Y",AB162)),"QC","")</f>
        <v/>
      </c>
      <c r="BC162" s="90" t="str">
        <f>IF(ISNUMBER(SEARCH("Y",Z162)),"S","")</f>
        <v/>
      </c>
      <c r="BD162" s="90"/>
      <c r="BE162" s="24" t="s">
        <v>119</v>
      </c>
      <c r="BF162" s="125" t="str">
        <f>IF(AND(AW162&gt;=56543,AW162&lt;=76543,LEN(AW162)&gt;0),"3 Feb 2020",IF(AND(AW162&gt;=66544,AW162&lt;=99999,LEN(AW162)&gt;0),"12 Sep 2020",""))</f>
        <v/>
      </c>
      <c r="BG162" s="125" t="str">
        <f>IF((AND(BF162="3 Feb 2020",LEN(BF162)&gt;0)),"Completed",IF((AND(BF162="12 Sep 2020",LEN(BF162)&gt;0)),"Pending",""))</f>
        <v/>
      </c>
      <c r="BH162" s="90" t="str">
        <f>IF((AND(BF162="3 Feb 2020",LEN(BF162)&gt;0)),"3 Feb 2020","")</f>
        <v/>
      </c>
      <c r="BI162" s="90">
        <v>143147</v>
      </c>
      <c r="BJ162" s="90" t="str">
        <f>L162</f>
        <v>8C18HS84802-74</v>
      </c>
      <c r="BK162" s="127">
        <v>43508</v>
      </c>
      <c r="BL162" s="127">
        <v>44239</v>
      </c>
      <c r="BM162" s="128">
        <f>P162*1.1</f>
        <v>2071626.7000000002</v>
      </c>
      <c r="BN162" s="129">
        <f>P162*0.9</f>
        <v>1694967.3</v>
      </c>
      <c r="BO162" s="130">
        <f>P162*0.8</f>
        <v>1506637.6</v>
      </c>
      <c r="BP162" s="90">
        <f>IF(Z162="Y",BM162*0.4,BM162*1.05)</f>
        <v>2175208.0350000001</v>
      </c>
      <c r="BQ162" s="90">
        <f>BP162*0.8</f>
        <v>1740166.4280000003</v>
      </c>
      <c r="BR162" s="90" t="str">
        <f>IF(ISNUMBER(SEARCH("subrecipient",AI158)),P162*0.6,"")</f>
        <v/>
      </c>
      <c r="BS162" s="90">
        <v>143147</v>
      </c>
      <c r="BT162" s="90" t="str">
        <f>BJ162</f>
        <v>8C18HS84802-74</v>
      </c>
      <c r="BU162" s="127">
        <f>BK162</f>
        <v>43508</v>
      </c>
      <c r="BV162" s="127">
        <f>BL162</f>
        <v>44239</v>
      </c>
      <c r="BW162" s="90" t="str">
        <f>H162</f>
        <v>FDA</v>
      </c>
      <c r="BX162" s="90" t="str">
        <f>IF(H162="NATIONAL HEMOPHILIA FOUNDATION","Non Federal","Federal")</f>
        <v>Federal</v>
      </c>
      <c r="BY162" s="128">
        <f>BM162</f>
        <v>2071626.7000000002</v>
      </c>
      <c r="BZ162" s="90" t="str">
        <f>IF(LEN(BR162)&gt;0,1,"")</f>
        <v/>
      </c>
      <c r="CA162" s="90" t="str">
        <f>IF(LEN(BR162)&gt;0,"VIRAL HEPATITIS PROJECT","")</f>
        <v/>
      </c>
      <c r="CB162" s="129" t="str">
        <f>IF(LEN(BR162)&gt;0,BM162*0.7,"")</f>
        <v/>
      </c>
      <c r="CC162" s="90">
        <f>BP162</f>
        <v>2175208.0350000001</v>
      </c>
      <c r="CD162" s="90" t="str">
        <f>IF(LEN(BR162)&gt;0,"70%","")</f>
        <v/>
      </c>
      <c r="CE162" s="90">
        <f>BS162</f>
        <v>143147</v>
      </c>
      <c r="CF162" s="90" t="str">
        <f>CA162</f>
        <v/>
      </c>
      <c r="CG162" s="90"/>
      <c r="CH162" s="90"/>
      <c r="CI162" s="90"/>
      <c r="CJ162" s="90"/>
      <c r="CK162" s="90"/>
      <c r="CL162" s="90"/>
      <c r="CM162" s="90"/>
      <c r="CN162" s="90"/>
      <c r="CO162" s="90"/>
      <c r="CP162" s="90"/>
      <c r="CQ162" s="90"/>
      <c r="CR162" s="90"/>
      <c r="CS162" s="90"/>
      <c r="CT162" s="137"/>
    </row>
    <row r="163" spans="1:98" ht="210">
      <c r="A163" s="89">
        <v>143147</v>
      </c>
      <c r="B163" s="90">
        <v>2020</v>
      </c>
      <c r="C163" s="90" t="s">
        <v>81</v>
      </c>
      <c r="D163" s="90" t="s">
        <v>647</v>
      </c>
      <c r="E163" s="125" t="s">
        <v>653</v>
      </c>
      <c r="F163" s="24" t="s">
        <v>649</v>
      </c>
      <c r="G163" s="90" t="s">
        <v>85</v>
      </c>
      <c r="H163" s="90" t="s">
        <v>132</v>
      </c>
      <c r="I163" s="90">
        <v>93</v>
      </c>
      <c r="J163" s="90">
        <v>157</v>
      </c>
      <c r="K163" s="90" t="s">
        <v>85</v>
      </c>
      <c r="L163" s="90" t="s">
        <v>650</v>
      </c>
      <c r="M163" s="90" t="s">
        <v>119</v>
      </c>
      <c r="N163" s="24" t="s">
        <v>651</v>
      </c>
      <c r="O163" s="24" t="str">
        <f>IF(ISNUMBER(SEARCH("Cancer",N163)),"Cancer",IF(ISNUMBER(SEARCH("health",N163)),"Public health",IF(ISNUMBER(SEARCH("disabilities",N163)),"Disabilities","Other")))</f>
        <v>Other</v>
      </c>
      <c r="P163" s="126">
        <v>1883297</v>
      </c>
      <c r="Q163" s="90" t="s">
        <v>85</v>
      </c>
      <c r="R163" s="90" t="str">
        <f>IF(P163&gt;20000000,"B","A")</f>
        <v>A</v>
      </c>
      <c r="S163" s="90" t="s">
        <v>90</v>
      </c>
      <c r="T163" s="90" t="s">
        <v>119</v>
      </c>
      <c r="U163" s="90" t="s">
        <v>119</v>
      </c>
      <c r="V163" s="90" t="s">
        <v>119</v>
      </c>
      <c r="W163" s="90" t="s">
        <v>119</v>
      </c>
      <c r="X163" s="90" t="s">
        <v>119</v>
      </c>
      <c r="Y163" s="90" t="s">
        <v>119</v>
      </c>
      <c r="Z163" s="90" t="s">
        <v>119</v>
      </c>
      <c r="AA163" s="90" t="s">
        <v>119</v>
      </c>
      <c r="AB163" s="90" t="s">
        <v>119</v>
      </c>
      <c r="AC163" s="90" t="s">
        <v>119</v>
      </c>
      <c r="AD163" s="90" t="s">
        <v>119</v>
      </c>
      <c r="AE163" s="24">
        <v>0</v>
      </c>
      <c r="AF163" s="90">
        <v>0</v>
      </c>
      <c r="AG163" s="24">
        <v>0</v>
      </c>
      <c r="AH163" s="90">
        <v>86775</v>
      </c>
      <c r="AI163" s="24" t="s">
        <v>102</v>
      </c>
      <c r="AJ163" s="24" t="s">
        <v>103</v>
      </c>
      <c r="AK163" s="90" t="s">
        <v>85</v>
      </c>
      <c r="AL163" s="90">
        <v>143147</v>
      </c>
      <c r="AM163" s="90" t="s">
        <v>81</v>
      </c>
      <c r="AN163" s="90" t="s">
        <v>647</v>
      </c>
      <c r="AO163" s="125" t="s">
        <v>653</v>
      </c>
      <c r="AP163" s="24" t="s">
        <v>651</v>
      </c>
      <c r="AQ163" s="90" t="s">
        <v>650</v>
      </c>
      <c r="AR163" s="24" t="s">
        <v>651</v>
      </c>
      <c r="AS163" s="90" t="s">
        <v>119</v>
      </c>
      <c r="AT163" s="24" t="s">
        <v>102</v>
      </c>
      <c r="AU163" s="90" t="s">
        <v>119</v>
      </c>
      <c r="AV163" s="90" t="str">
        <f>IF(ISNUMBER(SEARCH("disagree",AE163)),"N","Y")</f>
        <v>Y</v>
      </c>
      <c r="AW163" s="90" t="s">
        <v>119</v>
      </c>
      <c r="AX163" s="24" t="s">
        <v>119</v>
      </c>
      <c r="AY163" s="90" t="str">
        <f>CONCATENATE(AZ163,BA163,BB163,BC163)</f>
        <v/>
      </c>
      <c r="AZ163" s="90" t="str">
        <f>IF(ISNUMBER(SEARCH("Y",AC163)),"R","")</f>
        <v/>
      </c>
      <c r="BA163" s="90" t="str">
        <f>IF(ISNUMBER(SEARCH("Y",Y163)),"M","")</f>
        <v/>
      </c>
      <c r="BB163" s="90" t="str">
        <f>IF(ISNUMBER(SEARCH("Y",AB163)),"QC","")</f>
        <v/>
      </c>
      <c r="BC163" s="90" t="str">
        <f>IF(ISNUMBER(SEARCH("Y",Z163)),"S","")</f>
        <v/>
      </c>
      <c r="BD163" s="90"/>
      <c r="BE163" s="24" t="s">
        <v>119</v>
      </c>
      <c r="BF163" s="125" t="str">
        <f>IF(AND(AW163&gt;=56543,AW163&lt;=76543,LEN(AW163)&gt;0),"3 Feb 2020",IF(AND(AW163&gt;=66544,AW163&lt;=99999,LEN(AW163)&gt;0),"12 Sep 2020",""))</f>
        <v/>
      </c>
      <c r="BG163" s="125" t="str">
        <f>IF((AND(BF163="3 Feb 2020",LEN(BF163)&gt;0)),"Completed",IF((AND(BF163="12 Sep 2020",LEN(BF163)&gt;0)),"Pending",""))</f>
        <v/>
      </c>
      <c r="BH163" s="90" t="str">
        <f>IF((AND(BF163="3 Feb 2020",LEN(BF163)&gt;0)),"3 Feb 2020","")</f>
        <v/>
      </c>
      <c r="BI163" s="90">
        <v>143147</v>
      </c>
      <c r="BJ163" s="90" t="str">
        <f>L163</f>
        <v>8C18HS84802-74</v>
      </c>
      <c r="BK163" s="127">
        <v>43508</v>
      </c>
      <c r="BL163" s="127">
        <v>44239</v>
      </c>
      <c r="BM163" s="128">
        <f>P163*1.1</f>
        <v>2071626.7000000002</v>
      </c>
      <c r="BN163" s="129">
        <f>P163*0.9</f>
        <v>1694967.3</v>
      </c>
      <c r="BO163" s="130">
        <f>P163*0.8</f>
        <v>1506637.6</v>
      </c>
      <c r="BP163" s="90">
        <f>IF(Z163="Y",BM163*0.4,BM163*1.05)</f>
        <v>2175208.0350000001</v>
      </c>
      <c r="BQ163" s="90">
        <f>BP163*0.8</f>
        <v>1740166.4280000003</v>
      </c>
      <c r="BR163" s="90" t="str">
        <f>IF(ISNUMBER(SEARCH("subrecipient",AI159)),P163*0.6,"")</f>
        <v/>
      </c>
      <c r="BS163" s="90">
        <v>143147</v>
      </c>
      <c r="BT163" s="90" t="str">
        <f>BJ163</f>
        <v>8C18HS84802-74</v>
      </c>
      <c r="BU163" s="127">
        <f>BK163</f>
        <v>43508</v>
      </c>
      <c r="BV163" s="127">
        <f>BL163</f>
        <v>44239</v>
      </c>
      <c r="BW163" s="90" t="str">
        <f>H163</f>
        <v>FDA</v>
      </c>
      <c r="BX163" s="90" t="str">
        <f>IF(H163="NATIONAL HEMOPHILIA FOUNDATION","Non Federal","Federal")</f>
        <v>Federal</v>
      </c>
      <c r="BY163" s="128">
        <f>BM163</f>
        <v>2071626.7000000002</v>
      </c>
      <c r="BZ163" s="90" t="str">
        <f>IF(LEN(BR163)&gt;0,1,"")</f>
        <v/>
      </c>
      <c r="CA163" s="90" t="str">
        <f>IF(LEN(BR163)&gt;0,"VIRAL HEPATITIS PROJECT","")</f>
        <v/>
      </c>
      <c r="CB163" s="129" t="str">
        <f>IF(LEN(BR163)&gt;0,BM163*0.7,"")</f>
        <v/>
      </c>
      <c r="CC163" s="90">
        <f>BP163</f>
        <v>2175208.0350000001</v>
      </c>
      <c r="CD163" s="90" t="str">
        <f>IF(LEN(BR163)&gt;0,"70%","")</f>
        <v/>
      </c>
      <c r="CE163" s="90">
        <f>BS163</f>
        <v>143147</v>
      </c>
      <c r="CF163" s="90" t="str">
        <f>CA163</f>
        <v/>
      </c>
      <c r="CG163" s="90"/>
      <c r="CH163" s="90"/>
      <c r="CI163" s="90"/>
      <c r="CJ163" s="90"/>
      <c r="CK163" s="90"/>
      <c r="CL163" s="90"/>
      <c r="CM163" s="90"/>
      <c r="CN163" s="90"/>
      <c r="CO163" s="90"/>
      <c r="CP163" s="90"/>
      <c r="CQ163" s="90"/>
      <c r="CR163" s="90"/>
      <c r="CS163" s="90"/>
      <c r="CT163" s="137"/>
    </row>
    <row r="164" spans="1:98" ht="135">
      <c r="A164" s="89">
        <v>155424</v>
      </c>
      <c r="B164" s="90">
        <v>2020</v>
      </c>
      <c r="C164" s="90" t="s">
        <v>81</v>
      </c>
      <c r="D164" s="90" t="s">
        <v>654</v>
      </c>
      <c r="E164" s="125" t="s">
        <v>655</v>
      </c>
      <c r="F164" s="24" t="s">
        <v>656</v>
      </c>
      <c r="G164" s="90" t="s">
        <v>85</v>
      </c>
      <c r="H164" s="90" t="s">
        <v>150</v>
      </c>
      <c r="I164" s="90">
        <v>93</v>
      </c>
      <c r="J164" s="90">
        <v>157</v>
      </c>
      <c r="K164" s="90" t="s">
        <v>85</v>
      </c>
      <c r="L164" s="90" t="s">
        <v>657</v>
      </c>
      <c r="M164" s="90" t="s">
        <v>119</v>
      </c>
      <c r="N164" s="24" t="s">
        <v>658</v>
      </c>
      <c r="O164" s="24" t="str">
        <f>IF(ISNUMBER(SEARCH("Cancer",N164)),"Cancer",IF(ISNUMBER(SEARCH("health",N164)),"Public health",IF(ISNUMBER(SEARCH("disabilities",N164)),"Disabilities","Other")))</f>
        <v>Public health</v>
      </c>
      <c r="P164" s="126">
        <v>1894115</v>
      </c>
      <c r="Q164" s="90" t="s">
        <v>85</v>
      </c>
      <c r="R164" s="90" t="str">
        <f>IF(P164&gt;20000000,"B","A")</f>
        <v>A</v>
      </c>
      <c r="S164" s="90" t="s">
        <v>90</v>
      </c>
      <c r="T164" s="90" t="s">
        <v>119</v>
      </c>
      <c r="U164" s="90" t="s">
        <v>119</v>
      </c>
      <c r="V164" s="90" t="s">
        <v>119</v>
      </c>
      <c r="W164" s="90" t="s">
        <v>119</v>
      </c>
      <c r="X164" s="90" t="s">
        <v>119</v>
      </c>
      <c r="Y164" s="90" t="s">
        <v>119</v>
      </c>
      <c r="Z164" s="90" t="s">
        <v>119</v>
      </c>
      <c r="AA164" s="90" t="s">
        <v>119</v>
      </c>
      <c r="AB164" s="90" t="s">
        <v>119</v>
      </c>
      <c r="AC164" s="90" t="s">
        <v>119</v>
      </c>
      <c r="AD164" s="90" t="s">
        <v>119</v>
      </c>
      <c r="AE164" s="24">
        <v>0</v>
      </c>
      <c r="AF164" s="90">
        <v>0</v>
      </c>
      <c r="AG164" s="24">
        <v>0</v>
      </c>
      <c r="AH164" s="90">
        <v>90826</v>
      </c>
      <c r="AI164" s="24" t="s">
        <v>94</v>
      </c>
      <c r="AJ164" s="24" t="s">
        <v>659</v>
      </c>
      <c r="AK164" s="90" t="s">
        <v>85</v>
      </c>
      <c r="AL164" s="90">
        <v>155424</v>
      </c>
      <c r="AM164" s="90" t="s">
        <v>81</v>
      </c>
      <c r="AN164" s="90" t="s">
        <v>654</v>
      </c>
      <c r="AO164" s="125" t="s">
        <v>655</v>
      </c>
      <c r="AP164" s="24" t="s">
        <v>658</v>
      </c>
      <c r="AQ164" s="90" t="s">
        <v>657</v>
      </c>
      <c r="AR164" s="24" t="s">
        <v>658</v>
      </c>
      <c r="AS164" s="90" t="s">
        <v>119</v>
      </c>
      <c r="AT164" s="24" t="s">
        <v>94</v>
      </c>
      <c r="AU164" s="90" t="s">
        <v>119</v>
      </c>
      <c r="AV164" s="90" t="str">
        <f>IF(ISNUMBER(SEARCH("disagree",AE164)),"N","Y")</f>
        <v>Y</v>
      </c>
      <c r="AW164" s="90" t="s">
        <v>119</v>
      </c>
      <c r="AX164" s="24" t="s">
        <v>119</v>
      </c>
      <c r="AY164" s="90" t="str">
        <f>CONCATENATE(AZ164,BA164,BB164,BC164)</f>
        <v/>
      </c>
      <c r="AZ164" s="90" t="str">
        <f>IF(ISNUMBER(SEARCH("Y",AC164)),"R","")</f>
        <v/>
      </c>
      <c r="BA164" s="90" t="str">
        <f>IF(ISNUMBER(SEARCH("Y",Y164)),"M","")</f>
        <v/>
      </c>
      <c r="BB164" s="90" t="str">
        <f>IF(ISNUMBER(SEARCH("Y",AB164)),"QC","")</f>
        <v/>
      </c>
      <c r="BC164" s="90" t="str">
        <f>IF(ISNUMBER(SEARCH("Y",Z164)),"S","")</f>
        <v/>
      </c>
      <c r="BD164" s="90"/>
      <c r="BE164" s="24" t="s">
        <v>119</v>
      </c>
      <c r="BF164" s="125" t="str">
        <f>IF(AND(AW164&gt;=56543,AW164&lt;=76543,LEN(AW164)&gt;0),"3 Feb 2020",IF(AND(AW164&gt;=66544,AW164&lt;=99999,LEN(AW164)&gt;0),"12 Sep 2020",""))</f>
        <v/>
      </c>
      <c r="BG164" s="125" t="str">
        <f>IF((AND(BF164="3 Feb 2020",LEN(BF164)&gt;0)),"Completed",IF((AND(BF164="12 Sep 2020",LEN(BF164)&gt;0)),"Pending",""))</f>
        <v/>
      </c>
      <c r="BH164" s="90" t="str">
        <f>IF((AND(BF164="3 Feb 2020",LEN(BF164)&gt;0)),"3 Feb 2020","")</f>
        <v/>
      </c>
      <c r="BI164" s="90">
        <v>155424</v>
      </c>
      <c r="BJ164" s="90" t="str">
        <f>L164</f>
        <v>9C50AS77014-77</v>
      </c>
      <c r="BK164" s="127">
        <v>43508</v>
      </c>
      <c r="BL164" s="127">
        <v>44239</v>
      </c>
      <c r="BM164" s="128">
        <f>P164*1.1</f>
        <v>2083526.5000000002</v>
      </c>
      <c r="BN164" s="129">
        <f>P164*0.9</f>
        <v>1704703.5</v>
      </c>
      <c r="BO164" s="130">
        <f>P164*0.8</f>
        <v>1515292</v>
      </c>
      <c r="BP164" s="90">
        <f>IF(Z164="Y",BM164*0.4,BM164*1.05)</f>
        <v>2187702.8250000002</v>
      </c>
      <c r="BQ164" s="90">
        <f>BP164*0.8</f>
        <v>1750162.2600000002</v>
      </c>
      <c r="BR164" s="90" t="str">
        <f>IF(ISNUMBER(SEARCH("subrecipient",AI160)),P164*0.6,"")</f>
        <v/>
      </c>
      <c r="BS164" s="90">
        <v>155424</v>
      </c>
      <c r="BT164" s="90" t="str">
        <f>BJ164</f>
        <v>9C50AS77014-77</v>
      </c>
      <c r="BU164" s="127">
        <f>BK164</f>
        <v>43508</v>
      </c>
      <c r="BV164" s="127">
        <f>BL164</f>
        <v>44239</v>
      </c>
      <c r="BW164" s="90" t="str">
        <f>H164</f>
        <v>ACF</v>
      </c>
      <c r="BX164" s="90" t="str">
        <f>IF(H164="NATIONAL HEMOPHILIA FOUNDATION","Non Federal","Federal")</f>
        <v>Federal</v>
      </c>
      <c r="BY164" s="128">
        <f>BM164</f>
        <v>2083526.5000000002</v>
      </c>
      <c r="BZ164" s="90" t="str">
        <f>IF(LEN(BR164)&gt;0,1,"")</f>
        <v/>
      </c>
      <c r="CA164" s="90" t="str">
        <f>IF(LEN(BR164)&gt;0,"VIRAL HEPATITIS PROJECT","")</f>
        <v/>
      </c>
      <c r="CB164" s="129" t="str">
        <f>IF(LEN(BR164)&gt;0,BM164*0.7,"")</f>
        <v/>
      </c>
      <c r="CC164" s="90">
        <f>BP164</f>
        <v>2187702.8250000002</v>
      </c>
      <c r="CD164" s="90" t="str">
        <f>IF(LEN(BR164)&gt;0,"70%","")</f>
        <v/>
      </c>
      <c r="CE164" s="90">
        <f>BS164</f>
        <v>155424</v>
      </c>
      <c r="CF164" s="90" t="str">
        <f>CA164</f>
        <v/>
      </c>
      <c r="CG164" s="90"/>
      <c r="CH164" s="90"/>
      <c r="CI164" s="90"/>
      <c r="CJ164" s="90"/>
      <c r="CK164" s="90"/>
      <c r="CL164" s="90"/>
      <c r="CM164" s="90"/>
      <c r="CN164" s="90"/>
      <c r="CO164" s="90"/>
      <c r="CP164" s="90"/>
      <c r="CQ164" s="90"/>
      <c r="CR164" s="90"/>
      <c r="CS164" s="90"/>
      <c r="CT164" s="137"/>
    </row>
    <row r="165" spans="1:98" ht="135">
      <c r="A165" s="89">
        <v>155424</v>
      </c>
      <c r="B165" s="90">
        <v>2020</v>
      </c>
      <c r="C165" s="90" t="s">
        <v>81</v>
      </c>
      <c r="D165" s="90" t="s">
        <v>654</v>
      </c>
      <c r="E165" s="125" t="s">
        <v>660</v>
      </c>
      <c r="F165" s="24" t="s">
        <v>656</v>
      </c>
      <c r="G165" s="90" t="s">
        <v>85</v>
      </c>
      <c r="H165" s="90" t="s">
        <v>150</v>
      </c>
      <c r="I165" s="90">
        <v>93</v>
      </c>
      <c r="J165" s="90">
        <v>157</v>
      </c>
      <c r="K165" s="90" t="s">
        <v>85</v>
      </c>
      <c r="L165" s="90" t="s">
        <v>657</v>
      </c>
      <c r="M165" s="90" t="s">
        <v>119</v>
      </c>
      <c r="N165" s="24" t="s">
        <v>658</v>
      </c>
      <c r="O165" s="24" t="str">
        <f>IF(ISNUMBER(SEARCH("Cancer",N165)),"Cancer",IF(ISNUMBER(SEARCH("health",N165)),"Public health",IF(ISNUMBER(SEARCH("disabilities",N165)),"Disabilities","Other")))</f>
        <v>Public health</v>
      </c>
      <c r="P165" s="126">
        <v>1894115</v>
      </c>
      <c r="Q165" s="90" t="s">
        <v>85</v>
      </c>
      <c r="R165" s="90" t="str">
        <f>IF(P165&gt;20000000,"B","A")</f>
        <v>A</v>
      </c>
      <c r="S165" s="90" t="s">
        <v>90</v>
      </c>
      <c r="T165" s="90" t="s">
        <v>119</v>
      </c>
      <c r="U165" s="90" t="s">
        <v>119</v>
      </c>
      <c r="V165" s="90" t="s">
        <v>119</v>
      </c>
      <c r="W165" s="90" t="s">
        <v>119</v>
      </c>
      <c r="X165" s="90" t="s">
        <v>119</v>
      </c>
      <c r="Y165" s="90" t="s">
        <v>119</v>
      </c>
      <c r="Z165" s="90" t="s">
        <v>119</v>
      </c>
      <c r="AA165" s="90" t="s">
        <v>119</v>
      </c>
      <c r="AB165" s="90" t="s">
        <v>119</v>
      </c>
      <c r="AC165" s="90" t="s">
        <v>119</v>
      </c>
      <c r="AD165" s="90" t="s">
        <v>119</v>
      </c>
      <c r="AE165" s="24">
        <v>0</v>
      </c>
      <c r="AF165" s="90">
        <v>0</v>
      </c>
      <c r="AG165" s="24">
        <v>0</v>
      </c>
      <c r="AH165" s="90">
        <v>90825</v>
      </c>
      <c r="AI165" s="24" t="s">
        <v>102</v>
      </c>
      <c r="AJ165" s="24" t="s">
        <v>103</v>
      </c>
      <c r="AK165" s="90" t="s">
        <v>85</v>
      </c>
      <c r="AL165" s="90">
        <v>155424</v>
      </c>
      <c r="AM165" s="90" t="s">
        <v>81</v>
      </c>
      <c r="AN165" s="90" t="s">
        <v>654</v>
      </c>
      <c r="AO165" s="125" t="s">
        <v>660</v>
      </c>
      <c r="AP165" s="24" t="s">
        <v>658</v>
      </c>
      <c r="AQ165" s="90" t="s">
        <v>657</v>
      </c>
      <c r="AR165" s="24" t="s">
        <v>658</v>
      </c>
      <c r="AS165" s="90" t="s">
        <v>119</v>
      </c>
      <c r="AT165" s="24" t="s">
        <v>102</v>
      </c>
      <c r="AU165" s="90" t="s">
        <v>119</v>
      </c>
      <c r="AV165" s="90" t="str">
        <f>IF(ISNUMBER(SEARCH("disagree",AE165)),"N","Y")</f>
        <v>Y</v>
      </c>
      <c r="AW165" s="90" t="s">
        <v>119</v>
      </c>
      <c r="AX165" s="24" t="s">
        <v>119</v>
      </c>
      <c r="AY165" s="90" t="str">
        <f>CONCATENATE(AZ165,BA165,BB165,BC165)</f>
        <v/>
      </c>
      <c r="AZ165" s="90" t="str">
        <f>IF(ISNUMBER(SEARCH("Y",AC165)),"R","")</f>
        <v/>
      </c>
      <c r="BA165" s="90" t="str">
        <f>IF(ISNUMBER(SEARCH("Y",Y165)),"M","")</f>
        <v/>
      </c>
      <c r="BB165" s="90" t="str">
        <f>IF(ISNUMBER(SEARCH("Y",AB165)),"QC","")</f>
        <v/>
      </c>
      <c r="BC165" s="90" t="str">
        <f>IF(ISNUMBER(SEARCH("Y",Z165)),"S","")</f>
        <v/>
      </c>
      <c r="BD165" s="90"/>
      <c r="BE165" s="24" t="s">
        <v>119</v>
      </c>
      <c r="BF165" s="125" t="str">
        <f>IF(AND(AW165&gt;=56543,AW165&lt;=76543,LEN(AW165)&gt;0),"3 Feb 2020",IF(AND(AW165&gt;=66544,AW165&lt;=99999,LEN(AW165)&gt;0),"12 Sep 2020",""))</f>
        <v/>
      </c>
      <c r="BG165" s="125" t="str">
        <f>IF((AND(BF165="3 Feb 2020",LEN(BF165)&gt;0)),"Completed",IF((AND(BF165="12 Sep 2020",LEN(BF165)&gt;0)),"Pending",""))</f>
        <v/>
      </c>
      <c r="BH165" s="90" t="str">
        <f>IF((AND(BF165="3 Feb 2020",LEN(BF165)&gt;0)),"3 Feb 2020","")</f>
        <v/>
      </c>
      <c r="BI165" s="90">
        <v>155424</v>
      </c>
      <c r="BJ165" s="90" t="str">
        <f>L165</f>
        <v>9C50AS77014-77</v>
      </c>
      <c r="BK165" s="127">
        <v>43508</v>
      </c>
      <c r="BL165" s="127">
        <v>44239</v>
      </c>
      <c r="BM165" s="128">
        <f>P165*1.1</f>
        <v>2083526.5000000002</v>
      </c>
      <c r="BN165" s="129">
        <f>P165*0.9</f>
        <v>1704703.5</v>
      </c>
      <c r="BO165" s="130">
        <f>P165*0.8</f>
        <v>1515292</v>
      </c>
      <c r="BP165" s="90">
        <f>IF(Z165="Y",BM165*0.4,BM165*1.05)</f>
        <v>2187702.8250000002</v>
      </c>
      <c r="BQ165" s="90">
        <f>BP165*0.8</f>
        <v>1750162.2600000002</v>
      </c>
      <c r="BR165" s="90" t="str">
        <f>IF(ISNUMBER(SEARCH("subrecipient",AI161)),P165*0.6,"")</f>
        <v/>
      </c>
      <c r="BS165" s="90">
        <v>155424</v>
      </c>
      <c r="BT165" s="90" t="str">
        <f>BJ165</f>
        <v>9C50AS77014-77</v>
      </c>
      <c r="BU165" s="127">
        <f>BK165</f>
        <v>43508</v>
      </c>
      <c r="BV165" s="127">
        <f>BL165</f>
        <v>44239</v>
      </c>
      <c r="BW165" s="90" t="str">
        <f>H165</f>
        <v>ACF</v>
      </c>
      <c r="BX165" s="90" t="str">
        <f>IF(H165="NATIONAL HEMOPHILIA FOUNDATION","Non Federal","Federal")</f>
        <v>Federal</v>
      </c>
      <c r="BY165" s="128">
        <f>BM165</f>
        <v>2083526.5000000002</v>
      </c>
      <c r="BZ165" s="90" t="str">
        <f>IF(LEN(BR165)&gt;0,1,"")</f>
        <v/>
      </c>
      <c r="CA165" s="90" t="str">
        <f>IF(LEN(BR165)&gt;0,"VIRAL HEPATITIS PROJECT","")</f>
        <v/>
      </c>
      <c r="CB165" s="129" t="str">
        <f>IF(LEN(BR165)&gt;0,BM165*0.7,"")</f>
        <v/>
      </c>
      <c r="CC165" s="90">
        <f>BP165</f>
        <v>2187702.8250000002</v>
      </c>
      <c r="CD165" s="90" t="str">
        <f>IF(LEN(BR165)&gt;0,"70%","")</f>
        <v/>
      </c>
      <c r="CE165" s="90">
        <f>BS165</f>
        <v>155424</v>
      </c>
      <c r="CF165" s="90" t="str">
        <f>CA165</f>
        <v/>
      </c>
      <c r="CG165" s="90"/>
      <c r="CH165" s="90"/>
      <c r="CI165" s="90"/>
      <c r="CJ165" s="90"/>
      <c r="CK165" s="90"/>
      <c r="CL165" s="90"/>
      <c r="CM165" s="90"/>
      <c r="CN165" s="90"/>
      <c r="CO165" s="90"/>
      <c r="CP165" s="90"/>
      <c r="CQ165" s="90"/>
      <c r="CR165" s="90"/>
      <c r="CS165" s="90"/>
      <c r="CT165" s="137"/>
    </row>
    <row r="166" spans="1:98" ht="60">
      <c r="A166" s="89">
        <v>158346</v>
      </c>
      <c r="B166" s="90">
        <v>2020</v>
      </c>
      <c r="C166" s="90" t="s">
        <v>81</v>
      </c>
      <c r="D166" s="90" t="s">
        <v>661</v>
      </c>
      <c r="E166" s="125" t="s">
        <v>662</v>
      </c>
      <c r="F166" s="24" t="s">
        <v>663</v>
      </c>
      <c r="G166" s="90" t="s">
        <v>85</v>
      </c>
      <c r="H166" s="90" t="s">
        <v>86</v>
      </c>
      <c r="I166" s="90">
        <v>93</v>
      </c>
      <c r="J166" s="90">
        <v>157</v>
      </c>
      <c r="K166" s="90" t="s">
        <v>85</v>
      </c>
      <c r="L166" s="90" t="s">
        <v>664</v>
      </c>
      <c r="M166" s="90" t="s">
        <v>119</v>
      </c>
      <c r="N166" s="24" t="s">
        <v>634</v>
      </c>
      <c r="O166" s="24" t="str">
        <f>IF(ISNUMBER(SEARCH("Cancer",N166)),"Cancer",IF(ISNUMBER(SEARCH("health",N166)),"Public health",IF(ISNUMBER(SEARCH("disabilities",N166)),"Disabilities","Other")))</f>
        <v>Other</v>
      </c>
      <c r="P166" s="126">
        <v>1638338</v>
      </c>
      <c r="Q166" s="90" t="s">
        <v>85</v>
      </c>
      <c r="R166" s="90" t="str">
        <f>IF(P166&gt;20000000,"B","A")</f>
        <v>A</v>
      </c>
      <c r="S166" s="90" t="s">
        <v>90</v>
      </c>
      <c r="T166" s="90" t="s">
        <v>119</v>
      </c>
      <c r="U166" s="90" t="s">
        <v>119</v>
      </c>
      <c r="V166" s="90" t="s">
        <v>119</v>
      </c>
      <c r="W166" s="90" t="s">
        <v>119</v>
      </c>
      <c r="X166" s="90" t="s">
        <v>119</v>
      </c>
      <c r="Y166" s="90" t="s">
        <v>119</v>
      </c>
      <c r="Z166" s="90" t="s">
        <v>119</v>
      </c>
      <c r="AA166" s="90" t="s">
        <v>119</v>
      </c>
      <c r="AB166" s="90" t="s">
        <v>119</v>
      </c>
      <c r="AC166" s="90" t="s">
        <v>119</v>
      </c>
      <c r="AD166" s="90" t="s">
        <v>119</v>
      </c>
      <c r="AE166" s="24">
        <v>0</v>
      </c>
      <c r="AF166" s="90">
        <v>0</v>
      </c>
      <c r="AG166" s="24">
        <v>0</v>
      </c>
      <c r="AH166" s="90">
        <v>89248</v>
      </c>
      <c r="AI166" s="24" t="s">
        <v>94</v>
      </c>
      <c r="AJ166" s="24" t="s">
        <v>665</v>
      </c>
      <c r="AK166" s="90" t="s">
        <v>85</v>
      </c>
      <c r="AL166" s="90">
        <v>158346</v>
      </c>
      <c r="AM166" s="90" t="s">
        <v>81</v>
      </c>
      <c r="AN166" s="90" t="s">
        <v>661</v>
      </c>
      <c r="AO166" s="125" t="s">
        <v>662</v>
      </c>
      <c r="AP166" s="24" t="s">
        <v>634</v>
      </c>
      <c r="AQ166" s="90" t="s">
        <v>664</v>
      </c>
      <c r="AR166" s="24" t="s">
        <v>634</v>
      </c>
      <c r="AS166" s="90" t="s">
        <v>119</v>
      </c>
      <c r="AT166" s="24" t="s">
        <v>94</v>
      </c>
      <c r="AU166" s="90" t="s">
        <v>119</v>
      </c>
      <c r="AV166" s="90" t="str">
        <f>IF(ISNUMBER(SEARCH("disagree",AE166)),"N","Y")</f>
        <v>Y</v>
      </c>
      <c r="AW166" s="90" t="s">
        <v>119</v>
      </c>
      <c r="AX166" s="24" t="s">
        <v>119</v>
      </c>
      <c r="AY166" s="90" t="str">
        <f>CONCATENATE(AZ166,BA166,BB166,BC166)</f>
        <v/>
      </c>
      <c r="AZ166" s="90" t="str">
        <f>IF(ISNUMBER(SEARCH("Y",AC166)),"R","")</f>
        <v/>
      </c>
      <c r="BA166" s="90" t="str">
        <f>IF(ISNUMBER(SEARCH("Y",Y166)),"M","")</f>
        <v/>
      </c>
      <c r="BB166" s="90" t="str">
        <f>IF(ISNUMBER(SEARCH("Y",AB166)),"QC","")</f>
        <v/>
      </c>
      <c r="BC166" s="90" t="str">
        <f>IF(ISNUMBER(SEARCH("Y",Z166)),"S","")</f>
        <v/>
      </c>
      <c r="BD166" s="90"/>
      <c r="BE166" s="24" t="s">
        <v>119</v>
      </c>
      <c r="BF166" s="125" t="str">
        <f>IF(AND(AW166&gt;=56543,AW166&lt;=76543,LEN(AW166)&gt;0),"3 Feb 2020",IF(AND(AW166&gt;=66544,AW166&lt;=99999,LEN(AW166)&gt;0),"12 Sep 2020",""))</f>
        <v/>
      </c>
      <c r="BG166" s="125" t="str">
        <f>IF((AND(BF166="3 Feb 2020",LEN(BF166)&gt;0)),"Completed",IF((AND(BF166="12 Sep 2020",LEN(BF166)&gt;0)),"Pending",""))</f>
        <v/>
      </c>
      <c r="BH166" s="90" t="str">
        <f>IF((AND(BF166="3 Feb 2020",LEN(BF166)&gt;0)),"3 Feb 2020","")</f>
        <v/>
      </c>
      <c r="BI166" s="90">
        <v>158346</v>
      </c>
      <c r="BJ166" s="90" t="str">
        <f>L166</f>
        <v>2C98HS86731-78</v>
      </c>
      <c r="BK166" s="127">
        <v>43508</v>
      </c>
      <c r="BL166" s="127">
        <v>44239</v>
      </c>
      <c r="BM166" s="128">
        <f>P166*1.1</f>
        <v>1802171.8</v>
      </c>
      <c r="BN166" s="129">
        <f>P166*0.9</f>
        <v>1474504.2</v>
      </c>
      <c r="BO166" s="130">
        <f>P166*0.8</f>
        <v>1310670.4000000001</v>
      </c>
      <c r="BP166" s="90">
        <f>IF(Z166="Y",BM166*0.4,BM166*1.05)</f>
        <v>1892280.3900000001</v>
      </c>
      <c r="BQ166" s="90">
        <f>BP166*0.8</f>
        <v>1513824.3120000002</v>
      </c>
      <c r="BR166" s="90" t="str">
        <f>IF(ISNUMBER(SEARCH("subrecipient",AI162)),P166*0.6,"")</f>
        <v/>
      </c>
      <c r="BS166" s="90">
        <v>158346</v>
      </c>
      <c r="BT166" s="90" t="str">
        <f>BJ166</f>
        <v>2C98HS86731-78</v>
      </c>
      <c r="BU166" s="127">
        <f>BK166</f>
        <v>43508</v>
      </c>
      <c r="BV166" s="127">
        <f>BL166</f>
        <v>44239</v>
      </c>
      <c r="BW166" s="90" t="str">
        <f>H166</f>
        <v>CDC</v>
      </c>
      <c r="BX166" s="90" t="str">
        <f>IF(H166="NATIONAL HEMOPHILIA FOUNDATION","Non Federal","Federal")</f>
        <v>Federal</v>
      </c>
      <c r="BY166" s="128">
        <f>BM166</f>
        <v>1802171.8</v>
      </c>
      <c r="BZ166" s="90" t="str">
        <f>IF(LEN(BR166)&gt;0,1,"")</f>
        <v/>
      </c>
      <c r="CA166" s="90" t="str">
        <f>IF(LEN(BR166)&gt;0,"VIRAL HEPATITIS PROJECT","")</f>
        <v/>
      </c>
      <c r="CB166" s="129" t="str">
        <f>IF(LEN(BR166)&gt;0,BM166*0.7,"")</f>
        <v/>
      </c>
      <c r="CC166" s="90">
        <f>BP166</f>
        <v>1892280.3900000001</v>
      </c>
      <c r="CD166" s="90" t="str">
        <f>IF(LEN(BR166)&gt;0,"70%","")</f>
        <v/>
      </c>
      <c r="CE166" s="90">
        <f>BS166</f>
        <v>158346</v>
      </c>
      <c r="CF166" s="90" t="str">
        <f>CA166</f>
        <v/>
      </c>
      <c r="CG166" s="90"/>
      <c r="CH166" s="90"/>
      <c r="CI166" s="90"/>
      <c r="CJ166" s="90"/>
      <c r="CK166" s="90"/>
      <c r="CL166" s="90"/>
      <c r="CM166" s="90"/>
      <c r="CN166" s="90"/>
      <c r="CO166" s="90"/>
      <c r="CP166" s="90"/>
      <c r="CQ166" s="90"/>
      <c r="CR166" s="90"/>
      <c r="CS166" s="90"/>
      <c r="CT166" s="137"/>
    </row>
    <row r="167" spans="1:98" ht="45">
      <c r="A167" s="89">
        <v>158346</v>
      </c>
      <c r="B167" s="90">
        <v>2020</v>
      </c>
      <c r="C167" s="90" t="s">
        <v>81</v>
      </c>
      <c r="D167" s="90" t="s">
        <v>661</v>
      </c>
      <c r="E167" s="125" t="s">
        <v>666</v>
      </c>
      <c r="F167" s="24" t="s">
        <v>663</v>
      </c>
      <c r="G167" s="90" t="s">
        <v>85</v>
      </c>
      <c r="H167" s="90" t="s">
        <v>86</v>
      </c>
      <c r="I167" s="90">
        <v>93</v>
      </c>
      <c r="J167" s="90">
        <v>157</v>
      </c>
      <c r="K167" s="90" t="s">
        <v>85</v>
      </c>
      <c r="L167" s="90" t="s">
        <v>664</v>
      </c>
      <c r="M167" s="90" t="s">
        <v>119</v>
      </c>
      <c r="N167" s="24" t="s">
        <v>634</v>
      </c>
      <c r="O167" s="24" t="str">
        <f>IF(ISNUMBER(SEARCH("Cancer",N167)),"Cancer",IF(ISNUMBER(SEARCH("health",N167)),"Public health",IF(ISNUMBER(SEARCH("disabilities",N167)),"Disabilities","Other")))</f>
        <v>Other</v>
      </c>
      <c r="P167" s="126">
        <v>1638338</v>
      </c>
      <c r="Q167" s="90" t="s">
        <v>85</v>
      </c>
      <c r="R167" s="90" t="str">
        <f>IF(P167&gt;20000000,"B","A")</f>
        <v>A</v>
      </c>
      <c r="S167" s="90" t="s">
        <v>90</v>
      </c>
      <c r="T167" s="90" t="s">
        <v>119</v>
      </c>
      <c r="U167" s="90" t="s">
        <v>119</v>
      </c>
      <c r="V167" s="90" t="s">
        <v>119</v>
      </c>
      <c r="W167" s="90" t="s">
        <v>119</v>
      </c>
      <c r="X167" s="90" t="s">
        <v>119</v>
      </c>
      <c r="Y167" s="90" t="s">
        <v>119</v>
      </c>
      <c r="Z167" s="90" t="s">
        <v>119</v>
      </c>
      <c r="AA167" s="90" t="s">
        <v>119</v>
      </c>
      <c r="AB167" s="90" t="s">
        <v>119</v>
      </c>
      <c r="AC167" s="90" t="s">
        <v>119</v>
      </c>
      <c r="AD167" s="90" t="s">
        <v>119</v>
      </c>
      <c r="AE167" s="24">
        <v>0</v>
      </c>
      <c r="AF167" s="90">
        <v>0</v>
      </c>
      <c r="AG167" s="24">
        <v>0</v>
      </c>
      <c r="AH167" s="90">
        <v>89250</v>
      </c>
      <c r="AI167" s="24" t="s">
        <v>102</v>
      </c>
      <c r="AJ167" s="24" t="s">
        <v>103</v>
      </c>
      <c r="AK167" s="90" t="s">
        <v>85</v>
      </c>
      <c r="AL167" s="90">
        <v>158346</v>
      </c>
      <c r="AM167" s="90" t="s">
        <v>81</v>
      </c>
      <c r="AN167" s="90" t="s">
        <v>661</v>
      </c>
      <c r="AO167" s="125" t="s">
        <v>666</v>
      </c>
      <c r="AP167" s="24" t="s">
        <v>634</v>
      </c>
      <c r="AQ167" s="90" t="s">
        <v>664</v>
      </c>
      <c r="AR167" s="24" t="s">
        <v>634</v>
      </c>
      <c r="AS167" s="90" t="s">
        <v>119</v>
      </c>
      <c r="AT167" s="24" t="s">
        <v>102</v>
      </c>
      <c r="AU167" s="90" t="s">
        <v>119</v>
      </c>
      <c r="AV167" s="90" t="str">
        <f>IF(ISNUMBER(SEARCH("disagree",AE167)),"N","Y")</f>
        <v>Y</v>
      </c>
      <c r="AW167" s="90" t="s">
        <v>119</v>
      </c>
      <c r="AX167" s="24" t="s">
        <v>119</v>
      </c>
      <c r="AY167" s="90" t="str">
        <f>CONCATENATE(AZ167,BA167,BB167,BC167)</f>
        <v/>
      </c>
      <c r="AZ167" s="90" t="str">
        <f>IF(ISNUMBER(SEARCH("Y",AC167)),"R","")</f>
        <v/>
      </c>
      <c r="BA167" s="90" t="str">
        <f>IF(ISNUMBER(SEARCH("Y",Y167)),"M","")</f>
        <v/>
      </c>
      <c r="BB167" s="90" t="str">
        <f>IF(ISNUMBER(SEARCH("Y",AB167)),"QC","")</f>
        <v/>
      </c>
      <c r="BC167" s="90" t="str">
        <f>IF(ISNUMBER(SEARCH("Y",Z167)),"S","")</f>
        <v/>
      </c>
      <c r="BD167" s="90"/>
      <c r="BE167" s="24" t="s">
        <v>119</v>
      </c>
      <c r="BF167" s="125" t="str">
        <f>IF(AND(AW167&gt;=56543,AW167&lt;=76543,LEN(AW167)&gt;0),"3 Feb 2020",IF(AND(AW167&gt;=66544,AW167&lt;=99999,LEN(AW167)&gt;0),"12 Sep 2020",""))</f>
        <v/>
      </c>
      <c r="BG167" s="125" t="str">
        <f>IF((AND(BF167="3 Feb 2020",LEN(BF167)&gt;0)),"Completed",IF((AND(BF167="12 Sep 2020",LEN(BF167)&gt;0)),"Pending",""))</f>
        <v/>
      </c>
      <c r="BH167" s="90" t="str">
        <f>IF((AND(BF167="3 Feb 2020",LEN(BF167)&gt;0)),"3 Feb 2020","")</f>
        <v/>
      </c>
      <c r="BI167" s="90">
        <v>158346</v>
      </c>
      <c r="BJ167" s="90" t="str">
        <f>L167</f>
        <v>2C98HS86731-78</v>
      </c>
      <c r="BK167" s="127">
        <v>43508</v>
      </c>
      <c r="BL167" s="127">
        <v>44239</v>
      </c>
      <c r="BM167" s="128">
        <f>P167*1.1</f>
        <v>1802171.8</v>
      </c>
      <c r="BN167" s="129">
        <f>P167*0.9</f>
        <v>1474504.2</v>
      </c>
      <c r="BO167" s="130">
        <f>P167*0.8</f>
        <v>1310670.4000000001</v>
      </c>
      <c r="BP167" s="90">
        <f>IF(Z167="Y",BM167*0.4,BM167*1.05)</f>
        <v>1892280.3900000001</v>
      </c>
      <c r="BQ167" s="90">
        <f>BP167*0.8</f>
        <v>1513824.3120000002</v>
      </c>
      <c r="BR167" s="90" t="str">
        <f>IF(ISNUMBER(SEARCH("subrecipient",AI163)),P167*0.6,"")</f>
        <v/>
      </c>
      <c r="BS167" s="90">
        <v>158346</v>
      </c>
      <c r="BT167" s="90" t="str">
        <f>BJ167</f>
        <v>2C98HS86731-78</v>
      </c>
      <c r="BU167" s="127">
        <f>BK167</f>
        <v>43508</v>
      </c>
      <c r="BV167" s="127">
        <f>BL167</f>
        <v>44239</v>
      </c>
      <c r="BW167" s="90" t="str">
        <f>H167</f>
        <v>CDC</v>
      </c>
      <c r="BX167" s="90" t="str">
        <f>IF(H167="NATIONAL HEMOPHILIA FOUNDATION","Non Federal","Federal")</f>
        <v>Federal</v>
      </c>
      <c r="BY167" s="128">
        <f>BM167</f>
        <v>1802171.8</v>
      </c>
      <c r="BZ167" s="90" t="str">
        <f>IF(LEN(BR167)&gt;0,1,"")</f>
        <v/>
      </c>
      <c r="CA167" s="90" t="str">
        <f>IF(LEN(BR167)&gt;0,"VIRAL HEPATITIS PROJECT","")</f>
        <v/>
      </c>
      <c r="CB167" s="129" t="str">
        <f>IF(LEN(BR167)&gt;0,BM167*0.7,"")</f>
        <v/>
      </c>
      <c r="CC167" s="90">
        <f>BP167</f>
        <v>1892280.3900000001</v>
      </c>
      <c r="CD167" s="90" t="str">
        <f>IF(LEN(BR167)&gt;0,"70%","")</f>
        <v/>
      </c>
      <c r="CE167" s="90">
        <f>BS167</f>
        <v>158346</v>
      </c>
      <c r="CF167" s="90" t="str">
        <f>CA167</f>
        <v/>
      </c>
      <c r="CG167" s="90"/>
      <c r="CH167" s="90"/>
      <c r="CI167" s="90"/>
      <c r="CJ167" s="90"/>
      <c r="CK167" s="90"/>
      <c r="CL167" s="90"/>
      <c r="CM167" s="90"/>
      <c r="CN167" s="90"/>
      <c r="CO167" s="90"/>
      <c r="CP167" s="90"/>
      <c r="CQ167" s="90"/>
      <c r="CR167" s="90"/>
      <c r="CS167" s="90"/>
      <c r="CT167" s="137"/>
    </row>
    <row r="168" spans="1:98" ht="60">
      <c r="A168" s="89">
        <v>158346</v>
      </c>
      <c r="B168" s="90">
        <v>2020</v>
      </c>
      <c r="C168" s="90" t="s">
        <v>81</v>
      </c>
      <c r="D168" s="90" t="s">
        <v>661</v>
      </c>
      <c r="E168" s="125" t="s">
        <v>667</v>
      </c>
      <c r="F168" s="24" t="s">
        <v>663</v>
      </c>
      <c r="G168" s="90" t="s">
        <v>85</v>
      </c>
      <c r="H168" s="90" t="s">
        <v>86</v>
      </c>
      <c r="I168" s="90">
        <v>93</v>
      </c>
      <c r="J168" s="90">
        <v>157</v>
      </c>
      <c r="K168" s="90" t="s">
        <v>85</v>
      </c>
      <c r="L168" s="90" t="s">
        <v>664</v>
      </c>
      <c r="M168" s="90" t="s">
        <v>119</v>
      </c>
      <c r="N168" s="24" t="s">
        <v>634</v>
      </c>
      <c r="O168" s="24" t="str">
        <f>IF(ISNUMBER(SEARCH("Cancer",N168)),"Cancer",IF(ISNUMBER(SEARCH("health",N168)),"Public health",IF(ISNUMBER(SEARCH("disabilities",N168)),"Disabilities","Other")))</f>
        <v>Other</v>
      </c>
      <c r="P168" s="126">
        <v>1638338</v>
      </c>
      <c r="Q168" s="90" t="s">
        <v>85</v>
      </c>
      <c r="R168" s="90" t="str">
        <f>IF(P168&gt;20000000,"B","A")</f>
        <v>A</v>
      </c>
      <c r="S168" s="90" t="s">
        <v>90</v>
      </c>
      <c r="T168" s="90" t="s">
        <v>119</v>
      </c>
      <c r="U168" s="90" t="s">
        <v>119</v>
      </c>
      <c r="V168" s="90" t="s">
        <v>119</v>
      </c>
      <c r="W168" s="90" t="s">
        <v>119</v>
      </c>
      <c r="X168" s="90" t="s">
        <v>119</v>
      </c>
      <c r="Y168" s="90" t="s">
        <v>119</v>
      </c>
      <c r="Z168" s="90" t="s">
        <v>119</v>
      </c>
      <c r="AA168" s="90" t="s">
        <v>119</v>
      </c>
      <c r="AB168" s="90" t="s">
        <v>119</v>
      </c>
      <c r="AC168" s="90" t="s">
        <v>119</v>
      </c>
      <c r="AD168" s="90" t="s">
        <v>119</v>
      </c>
      <c r="AE168" s="24">
        <v>0</v>
      </c>
      <c r="AF168" s="90">
        <v>0</v>
      </c>
      <c r="AG168" s="24">
        <v>0</v>
      </c>
      <c r="AH168" s="90">
        <v>89251</v>
      </c>
      <c r="AI168" s="24" t="s">
        <v>668</v>
      </c>
      <c r="AJ168" s="24" t="s">
        <v>669</v>
      </c>
      <c r="AK168" s="90" t="s">
        <v>85</v>
      </c>
      <c r="AL168" s="90">
        <v>158346</v>
      </c>
      <c r="AM168" s="90" t="s">
        <v>81</v>
      </c>
      <c r="AN168" s="90" t="s">
        <v>661</v>
      </c>
      <c r="AO168" s="125" t="s">
        <v>667</v>
      </c>
      <c r="AP168" s="24" t="s">
        <v>634</v>
      </c>
      <c r="AQ168" s="90" t="s">
        <v>664</v>
      </c>
      <c r="AR168" s="24" t="s">
        <v>634</v>
      </c>
      <c r="AS168" s="90" t="s">
        <v>119</v>
      </c>
      <c r="AT168" s="24" t="s">
        <v>668</v>
      </c>
      <c r="AU168" s="90" t="s">
        <v>119</v>
      </c>
      <c r="AV168" s="90" t="str">
        <f>IF(ISNUMBER(SEARCH("disagree",AE168)),"N","Y")</f>
        <v>Y</v>
      </c>
      <c r="AW168" s="90" t="s">
        <v>119</v>
      </c>
      <c r="AX168" s="24" t="s">
        <v>119</v>
      </c>
      <c r="AY168" s="90" t="str">
        <f>CONCATENATE(AZ168,BA168,BB168,BC168)</f>
        <v/>
      </c>
      <c r="AZ168" s="90" t="str">
        <f>IF(ISNUMBER(SEARCH("Y",AC168)),"R","")</f>
        <v/>
      </c>
      <c r="BA168" s="90" t="str">
        <f>IF(ISNUMBER(SEARCH("Y",Y168)),"M","")</f>
        <v/>
      </c>
      <c r="BB168" s="90" t="str">
        <f>IF(ISNUMBER(SEARCH("Y",AB168)),"QC","")</f>
        <v/>
      </c>
      <c r="BC168" s="90" t="str">
        <f>IF(ISNUMBER(SEARCH("Y",Z168)),"S","")</f>
        <v/>
      </c>
      <c r="BD168" s="90"/>
      <c r="BE168" s="24" t="s">
        <v>119</v>
      </c>
      <c r="BF168" s="125" t="str">
        <f>IF(AND(AW168&gt;=56543,AW168&lt;=76543,LEN(AW168)&gt;0),"3 Feb 2020",IF(AND(AW168&gt;=66544,AW168&lt;=99999,LEN(AW168)&gt;0),"12 Sep 2020",""))</f>
        <v/>
      </c>
      <c r="BG168" s="125" t="str">
        <f>IF((AND(BF168="3 Feb 2020",LEN(BF168)&gt;0)),"Completed",IF((AND(BF168="12 Sep 2020",LEN(BF168)&gt;0)),"Pending",""))</f>
        <v/>
      </c>
      <c r="BH168" s="90" t="str">
        <f>IF((AND(BF168="3 Feb 2020",LEN(BF168)&gt;0)),"3 Feb 2020","")</f>
        <v/>
      </c>
      <c r="BI168" s="90">
        <v>158346</v>
      </c>
      <c r="BJ168" s="90" t="str">
        <f>L168</f>
        <v>2C98HS86731-78</v>
      </c>
      <c r="BK168" s="127">
        <v>43508</v>
      </c>
      <c r="BL168" s="127">
        <v>44239</v>
      </c>
      <c r="BM168" s="128">
        <f>P168*1.1</f>
        <v>1802171.8</v>
      </c>
      <c r="BN168" s="129">
        <f>P168*0.9</f>
        <v>1474504.2</v>
      </c>
      <c r="BO168" s="130">
        <f>P168*0.8</f>
        <v>1310670.4000000001</v>
      </c>
      <c r="BP168" s="90">
        <f>IF(Z168="Y",BM168*0.4,BM168*1.05)</f>
        <v>1892280.3900000001</v>
      </c>
      <c r="BQ168" s="90">
        <f>BP168*0.8</f>
        <v>1513824.3120000002</v>
      </c>
      <c r="BR168" s="90" t="str">
        <f>IF(ISNUMBER(SEARCH("subrecipient",AI164)),P168*0.6,"")</f>
        <v/>
      </c>
      <c r="BS168" s="90">
        <v>158346</v>
      </c>
      <c r="BT168" s="90" t="str">
        <f>BJ168</f>
        <v>2C98HS86731-78</v>
      </c>
      <c r="BU168" s="127">
        <f>BK168</f>
        <v>43508</v>
      </c>
      <c r="BV168" s="127">
        <f>BL168</f>
        <v>44239</v>
      </c>
      <c r="BW168" s="90" t="str">
        <f>H168</f>
        <v>CDC</v>
      </c>
      <c r="BX168" s="90" t="str">
        <f>IF(H168="NATIONAL HEMOPHILIA FOUNDATION","Non Federal","Federal")</f>
        <v>Federal</v>
      </c>
      <c r="BY168" s="128">
        <f>BM168</f>
        <v>1802171.8</v>
      </c>
      <c r="BZ168" s="90" t="str">
        <f>IF(LEN(BR168)&gt;0,1,"")</f>
        <v/>
      </c>
      <c r="CA168" s="90" t="str">
        <f>IF(LEN(BR168)&gt;0,"VIRAL HEPATITIS PROJECT","")</f>
        <v/>
      </c>
      <c r="CB168" s="129" t="str">
        <f>IF(LEN(BR168)&gt;0,BM168*0.7,"")</f>
        <v/>
      </c>
      <c r="CC168" s="90">
        <f>BP168</f>
        <v>1892280.3900000001</v>
      </c>
      <c r="CD168" s="90" t="str">
        <f>IF(LEN(BR168)&gt;0,"70%","")</f>
        <v/>
      </c>
      <c r="CE168" s="90">
        <f>BS168</f>
        <v>158346</v>
      </c>
      <c r="CF168" s="90" t="str">
        <f>CA168</f>
        <v/>
      </c>
      <c r="CG168" s="90"/>
      <c r="CH168" s="90"/>
      <c r="CI168" s="90"/>
      <c r="CJ168" s="90"/>
      <c r="CK168" s="90"/>
      <c r="CL168" s="90"/>
      <c r="CM168" s="90"/>
      <c r="CN168" s="90"/>
      <c r="CO168" s="90"/>
      <c r="CP168" s="90"/>
      <c r="CQ168" s="90"/>
      <c r="CR168" s="90"/>
      <c r="CS168" s="90"/>
      <c r="CT168" s="137"/>
    </row>
    <row r="169" spans="1:98" ht="45">
      <c r="A169" s="89">
        <v>158346</v>
      </c>
      <c r="B169" s="90">
        <v>2020</v>
      </c>
      <c r="C169" s="90" t="s">
        <v>81</v>
      </c>
      <c r="D169" s="90" t="s">
        <v>661</v>
      </c>
      <c r="E169" s="125" t="s">
        <v>670</v>
      </c>
      <c r="F169" s="24" t="s">
        <v>663</v>
      </c>
      <c r="G169" s="90" t="s">
        <v>85</v>
      </c>
      <c r="H169" s="90" t="s">
        <v>86</v>
      </c>
      <c r="I169" s="90">
        <v>93</v>
      </c>
      <c r="J169" s="90">
        <v>157</v>
      </c>
      <c r="K169" s="90" t="s">
        <v>85</v>
      </c>
      <c r="L169" s="90" t="s">
        <v>664</v>
      </c>
      <c r="M169" s="90" t="s">
        <v>119</v>
      </c>
      <c r="N169" s="24" t="s">
        <v>634</v>
      </c>
      <c r="O169" s="24" t="str">
        <f>IF(ISNUMBER(SEARCH("Cancer",N169)),"Cancer",IF(ISNUMBER(SEARCH("health",N169)),"Public health",IF(ISNUMBER(SEARCH("disabilities",N169)),"Disabilities","Other")))</f>
        <v>Other</v>
      </c>
      <c r="P169" s="126">
        <v>1638338</v>
      </c>
      <c r="Q169" s="90" t="s">
        <v>85</v>
      </c>
      <c r="R169" s="90" t="str">
        <f>IF(P169&gt;20000000,"B","A")</f>
        <v>A</v>
      </c>
      <c r="S169" s="90" t="s">
        <v>90</v>
      </c>
      <c r="T169" s="90" t="s">
        <v>119</v>
      </c>
      <c r="U169" s="90" t="s">
        <v>119</v>
      </c>
      <c r="V169" s="90" t="s">
        <v>119</v>
      </c>
      <c r="W169" s="90" t="s">
        <v>119</v>
      </c>
      <c r="X169" s="90" t="s">
        <v>119</v>
      </c>
      <c r="Y169" s="90" t="s">
        <v>119</v>
      </c>
      <c r="Z169" s="90" t="s">
        <v>119</v>
      </c>
      <c r="AA169" s="90" t="s">
        <v>119</v>
      </c>
      <c r="AB169" s="90" t="s">
        <v>119</v>
      </c>
      <c r="AC169" s="90" t="s">
        <v>119</v>
      </c>
      <c r="AD169" s="90" t="s">
        <v>119</v>
      </c>
      <c r="AE169" s="24">
        <v>0</v>
      </c>
      <c r="AF169" s="90">
        <v>0</v>
      </c>
      <c r="AG169" s="24">
        <v>0</v>
      </c>
      <c r="AH169" s="90">
        <v>89249</v>
      </c>
      <c r="AI169" s="24" t="s">
        <v>671</v>
      </c>
      <c r="AJ169" s="24" t="s">
        <v>672</v>
      </c>
      <c r="AK169" s="90" t="s">
        <v>85</v>
      </c>
      <c r="AL169" s="90">
        <v>158346</v>
      </c>
      <c r="AM169" s="90" t="s">
        <v>81</v>
      </c>
      <c r="AN169" s="90" t="s">
        <v>661</v>
      </c>
      <c r="AO169" s="125" t="s">
        <v>670</v>
      </c>
      <c r="AP169" s="24" t="s">
        <v>634</v>
      </c>
      <c r="AQ169" s="90" t="s">
        <v>664</v>
      </c>
      <c r="AR169" s="24" t="s">
        <v>634</v>
      </c>
      <c r="AS169" s="90" t="s">
        <v>119</v>
      </c>
      <c r="AT169" s="24" t="s">
        <v>671</v>
      </c>
      <c r="AU169" s="90" t="s">
        <v>119</v>
      </c>
      <c r="AV169" s="90" t="str">
        <f>IF(ISNUMBER(SEARCH("disagree",AE169)),"N","Y")</f>
        <v>Y</v>
      </c>
      <c r="AW169" s="90" t="s">
        <v>119</v>
      </c>
      <c r="AX169" s="24" t="s">
        <v>119</v>
      </c>
      <c r="AY169" s="90" t="str">
        <f>CONCATENATE(AZ169,BA169,BB169,BC169)</f>
        <v/>
      </c>
      <c r="AZ169" s="90" t="str">
        <f>IF(ISNUMBER(SEARCH("Y",AC169)),"R","")</f>
        <v/>
      </c>
      <c r="BA169" s="90" t="str">
        <f>IF(ISNUMBER(SEARCH("Y",Y169)),"M","")</f>
        <v/>
      </c>
      <c r="BB169" s="90" t="str">
        <f>IF(ISNUMBER(SEARCH("Y",AB169)),"QC","")</f>
        <v/>
      </c>
      <c r="BC169" s="90" t="str">
        <f>IF(ISNUMBER(SEARCH("Y",Z169)),"S","")</f>
        <v/>
      </c>
      <c r="BD169" s="90"/>
      <c r="BE169" s="24" t="s">
        <v>119</v>
      </c>
      <c r="BF169" s="125" t="str">
        <f>IF(AND(AW169&gt;=56543,AW169&lt;=76543,LEN(AW169)&gt;0),"3 Feb 2020",IF(AND(AW169&gt;=66544,AW169&lt;=99999,LEN(AW169)&gt;0),"12 Sep 2020",""))</f>
        <v/>
      </c>
      <c r="BG169" s="125" t="str">
        <f>IF((AND(BF169="3 Feb 2020",LEN(BF169)&gt;0)),"Completed",IF((AND(BF169="12 Sep 2020",LEN(BF169)&gt;0)),"Pending",""))</f>
        <v/>
      </c>
      <c r="BH169" s="90" t="str">
        <f>IF((AND(BF169="3 Feb 2020",LEN(BF169)&gt;0)),"3 Feb 2020","")</f>
        <v/>
      </c>
      <c r="BI169" s="90">
        <v>158346</v>
      </c>
      <c r="BJ169" s="90" t="str">
        <f>L169</f>
        <v>2C98HS86731-78</v>
      </c>
      <c r="BK169" s="127">
        <v>43508</v>
      </c>
      <c r="BL169" s="127">
        <v>44239</v>
      </c>
      <c r="BM169" s="128">
        <f>P169*1.1</f>
        <v>1802171.8</v>
      </c>
      <c r="BN169" s="129">
        <f>P169*0.9</f>
        <v>1474504.2</v>
      </c>
      <c r="BO169" s="130">
        <f>P169*0.8</f>
        <v>1310670.4000000001</v>
      </c>
      <c r="BP169" s="90">
        <f>IF(Z169="Y",BM169*0.4,BM169*1.05)</f>
        <v>1892280.3900000001</v>
      </c>
      <c r="BQ169" s="90">
        <f>BP169*0.8</f>
        <v>1513824.3120000002</v>
      </c>
      <c r="BR169" s="90" t="str">
        <f>IF(ISNUMBER(SEARCH("subrecipient",AI165)),P169*0.6,"")</f>
        <v/>
      </c>
      <c r="BS169" s="90">
        <v>158346</v>
      </c>
      <c r="BT169" s="90" t="str">
        <f>BJ169</f>
        <v>2C98HS86731-78</v>
      </c>
      <c r="BU169" s="127">
        <f>BK169</f>
        <v>43508</v>
      </c>
      <c r="BV169" s="127">
        <f>BL169</f>
        <v>44239</v>
      </c>
      <c r="BW169" s="90" t="str">
        <f>H169</f>
        <v>CDC</v>
      </c>
      <c r="BX169" s="90" t="str">
        <f>IF(H169="NATIONAL HEMOPHILIA FOUNDATION","Non Federal","Federal")</f>
        <v>Federal</v>
      </c>
      <c r="BY169" s="128">
        <f>BM169</f>
        <v>1802171.8</v>
      </c>
      <c r="BZ169" s="90" t="str">
        <f>IF(LEN(BR169)&gt;0,1,"")</f>
        <v/>
      </c>
      <c r="CA169" s="90" t="str">
        <f>IF(LEN(BR169)&gt;0,"VIRAL HEPATITIS PROJECT","")</f>
        <v/>
      </c>
      <c r="CB169" s="129" t="str">
        <f>IF(LEN(BR169)&gt;0,BM169*0.7,"")</f>
        <v/>
      </c>
      <c r="CC169" s="90">
        <f>BP169</f>
        <v>1892280.3900000001</v>
      </c>
      <c r="CD169" s="90" t="str">
        <f>IF(LEN(BR169)&gt;0,"70%","")</f>
        <v/>
      </c>
      <c r="CE169" s="90">
        <f>BS169</f>
        <v>158346</v>
      </c>
      <c r="CF169" s="90" t="str">
        <f>CA169</f>
        <v/>
      </c>
      <c r="CG169" s="90"/>
      <c r="CH169" s="90"/>
      <c r="CI169" s="90"/>
      <c r="CJ169" s="90"/>
      <c r="CK169" s="90"/>
      <c r="CL169" s="90"/>
      <c r="CM169" s="90"/>
      <c r="CN169" s="90"/>
      <c r="CO169" s="90"/>
      <c r="CP169" s="90"/>
      <c r="CQ169" s="90"/>
      <c r="CR169" s="90"/>
      <c r="CS169" s="90"/>
      <c r="CT169" s="137"/>
    </row>
    <row r="170" spans="1:98" ht="45">
      <c r="A170" s="89">
        <v>158346</v>
      </c>
      <c r="B170" s="90">
        <v>2020</v>
      </c>
      <c r="C170" s="90" t="s">
        <v>81</v>
      </c>
      <c r="D170" s="90" t="s">
        <v>661</v>
      </c>
      <c r="E170" s="125" t="s">
        <v>673</v>
      </c>
      <c r="F170" s="24" t="s">
        <v>663</v>
      </c>
      <c r="G170" s="90" t="s">
        <v>85</v>
      </c>
      <c r="H170" s="90" t="s">
        <v>86</v>
      </c>
      <c r="I170" s="90">
        <v>93</v>
      </c>
      <c r="J170" s="90">
        <v>157</v>
      </c>
      <c r="K170" s="90" t="s">
        <v>85</v>
      </c>
      <c r="L170" s="90" t="s">
        <v>664</v>
      </c>
      <c r="M170" s="90" t="s">
        <v>119</v>
      </c>
      <c r="N170" s="24" t="s">
        <v>634</v>
      </c>
      <c r="O170" s="24" t="str">
        <f>IF(ISNUMBER(SEARCH("Cancer",N170)),"Cancer",IF(ISNUMBER(SEARCH("health",N170)),"Public health",IF(ISNUMBER(SEARCH("disabilities",N170)),"Disabilities","Other")))</f>
        <v>Other</v>
      </c>
      <c r="P170" s="126">
        <v>1638338</v>
      </c>
      <c r="Q170" s="90" t="s">
        <v>85</v>
      </c>
      <c r="R170" s="90" t="str">
        <f>IF(P170&gt;20000000,"B","A")</f>
        <v>A</v>
      </c>
      <c r="S170" s="90" t="s">
        <v>90</v>
      </c>
      <c r="T170" s="90" t="s">
        <v>119</v>
      </c>
      <c r="U170" s="90" t="s">
        <v>119</v>
      </c>
      <c r="V170" s="90" t="s">
        <v>119</v>
      </c>
      <c r="W170" s="90" t="s">
        <v>119</v>
      </c>
      <c r="X170" s="90" t="s">
        <v>119</v>
      </c>
      <c r="Y170" s="90" t="s">
        <v>119</v>
      </c>
      <c r="Z170" s="90" t="s">
        <v>119</v>
      </c>
      <c r="AA170" s="90" t="s">
        <v>119</v>
      </c>
      <c r="AB170" s="90" t="s">
        <v>119</v>
      </c>
      <c r="AC170" s="90" t="s">
        <v>119</v>
      </c>
      <c r="AD170" s="90" t="s">
        <v>119</v>
      </c>
      <c r="AE170" s="24">
        <v>0</v>
      </c>
      <c r="AF170" s="90">
        <v>0</v>
      </c>
      <c r="AG170" s="24">
        <v>0</v>
      </c>
      <c r="AH170" s="90">
        <v>89252</v>
      </c>
      <c r="AI170" s="24" t="s">
        <v>674</v>
      </c>
      <c r="AJ170" s="24" t="s">
        <v>675</v>
      </c>
      <c r="AK170" s="90" t="s">
        <v>85</v>
      </c>
      <c r="AL170" s="90">
        <v>158346</v>
      </c>
      <c r="AM170" s="90" t="s">
        <v>81</v>
      </c>
      <c r="AN170" s="90" t="s">
        <v>661</v>
      </c>
      <c r="AO170" s="125" t="s">
        <v>673</v>
      </c>
      <c r="AP170" s="24" t="s">
        <v>634</v>
      </c>
      <c r="AQ170" s="90" t="s">
        <v>664</v>
      </c>
      <c r="AR170" s="24" t="s">
        <v>634</v>
      </c>
      <c r="AS170" s="90" t="s">
        <v>119</v>
      </c>
      <c r="AT170" s="24" t="s">
        <v>674</v>
      </c>
      <c r="AU170" s="90" t="s">
        <v>119</v>
      </c>
      <c r="AV170" s="90" t="str">
        <f>IF(ISNUMBER(SEARCH("disagree",AE170)),"N","Y")</f>
        <v>Y</v>
      </c>
      <c r="AW170" s="90" t="s">
        <v>119</v>
      </c>
      <c r="AX170" s="24" t="s">
        <v>119</v>
      </c>
      <c r="AY170" s="90" t="str">
        <f>CONCATENATE(AZ170,BA170,BB170,BC170)</f>
        <v/>
      </c>
      <c r="AZ170" s="90" t="str">
        <f>IF(ISNUMBER(SEARCH("Y",AC170)),"R","")</f>
        <v/>
      </c>
      <c r="BA170" s="90" t="str">
        <f>IF(ISNUMBER(SEARCH("Y",Y170)),"M","")</f>
        <v/>
      </c>
      <c r="BB170" s="90" t="str">
        <f>IF(ISNUMBER(SEARCH("Y",AB170)),"QC","")</f>
        <v/>
      </c>
      <c r="BC170" s="90" t="str">
        <f>IF(ISNUMBER(SEARCH("Y",Z170)),"S","")</f>
        <v/>
      </c>
      <c r="BD170" s="90"/>
      <c r="BE170" s="24" t="s">
        <v>119</v>
      </c>
      <c r="BF170" s="125" t="str">
        <f>IF(AND(AW170&gt;=56543,AW170&lt;=76543,LEN(AW170)&gt;0),"3 Feb 2020",IF(AND(AW170&gt;=66544,AW170&lt;=99999,LEN(AW170)&gt;0),"12 Sep 2020",""))</f>
        <v/>
      </c>
      <c r="BG170" s="125" t="str">
        <f>IF((AND(BF170="3 Feb 2020",LEN(BF170)&gt;0)),"Completed",IF((AND(BF170="12 Sep 2020",LEN(BF170)&gt;0)),"Pending",""))</f>
        <v/>
      </c>
      <c r="BH170" s="90" t="str">
        <f>IF((AND(BF170="3 Feb 2020",LEN(BF170)&gt;0)),"3 Feb 2020","")</f>
        <v/>
      </c>
      <c r="BI170" s="90">
        <v>158346</v>
      </c>
      <c r="BJ170" s="90" t="str">
        <f>L170</f>
        <v>2C98HS86731-78</v>
      </c>
      <c r="BK170" s="127">
        <v>43508</v>
      </c>
      <c r="BL170" s="127">
        <v>44239</v>
      </c>
      <c r="BM170" s="128">
        <f>P170*1.1</f>
        <v>1802171.8</v>
      </c>
      <c r="BN170" s="129">
        <f>P170*0.9</f>
        <v>1474504.2</v>
      </c>
      <c r="BO170" s="130">
        <f>P170*0.8</f>
        <v>1310670.4000000001</v>
      </c>
      <c r="BP170" s="90">
        <f>IF(Z170="Y",BM170*0.4,BM170*1.05)</f>
        <v>1892280.3900000001</v>
      </c>
      <c r="BQ170" s="90">
        <f>BP170*0.8</f>
        <v>1513824.3120000002</v>
      </c>
      <c r="BR170" s="90" t="str">
        <f>IF(ISNUMBER(SEARCH("subrecipient",AI166)),P170*0.6,"")</f>
        <v/>
      </c>
      <c r="BS170" s="90">
        <v>158346</v>
      </c>
      <c r="BT170" s="90" t="str">
        <f>BJ170</f>
        <v>2C98HS86731-78</v>
      </c>
      <c r="BU170" s="127">
        <f>BK170</f>
        <v>43508</v>
      </c>
      <c r="BV170" s="127">
        <f>BL170</f>
        <v>44239</v>
      </c>
      <c r="BW170" s="90" t="str">
        <f>H170</f>
        <v>CDC</v>
      </c>
      <c r="BX170" s="90" t="str">
        <f>IF(H170="NATIONAL HEMOPHILIA FOUNDATION","Non Federal","Federal")</f>
        <v>Federal</v>
      </c>
      <c r="BY170" s="128">
        <f>BM170</f>
        <v>1802171.8</v>
      </c>
      <c r="BZ170" s="90" t="str">
        <f>IF(LEN(BR170)&gt;0,1,"")</f>
        <v/>
      </c>
      <c r="CA170" s="90" t="str">
        <f>IF(LEN(BR170)&gt;0,"VIRAL HEPATITIS PROJECT","")</f>
        <v/>
      </c>
      <c r="CB170" s="129" t="str">
        <f>IF(LEN(BR170)&gt;0,BM170*0.7,"")</f>
        <v/>
      </c>
      <c r="CC170" s="90">
        <f>BP170</f>
        <v>1892280.3900000001</v>
      </c>
      <c r="CD170" s="90" t="str">
        <f>IF(LEN(BR170)&gt;0,"70%","")</f>
        <v/>
      </c>
      <c r="CE170" s="90">
        <f>BS170</f>
        <v>158346</v>
      </c>
      <c r="CF170" s="90" t="str">
        <f>CA170</f>
        <v/>
      </c>
      <c r="CG170" s="90"/>
      <c r="CH170" s="90"/>
      <c r="CI170" s="90"/>
      <c r="CJ170" s="90"/>
      <c r="CK170" s="90"/>
      <c r="CL170" s="90"/>
      <c r="CM170" s="90"/>
      <c r="CN170" s="90"/>
      <c r="CO170" s="90"/>
      <c r="CP170" s="90"/>
      <c r="CQ170" s="90"/>
      <c r="CR170" s="90"/>
      <c r="CS170" s="90"/>
      <c r="CT170" s="137"/>
    </row>
    <row r="171" spans="1:98" ht="90">
      <c r="A171" s="89">
        <v>164054</v>
      </c>
      <c r="B171" s="90">
        <v>2020</v>
      </c>
      <c r="C171" s="90" t="s">
        <v>81</v>
      </c>
      <c r="D171" s="90" t="s">
        <v>676</v>
      </c>
      <c r="E171" s="125" t="s">
        <v>677</v>
      </c>
      <c r="F171" s="24" t="s">
        <v>678</v>
      </c>
      <c r="G171" s="90" t="s">
        <v>85</v>
      </c>
      <c r="H171" s="90" t="s">
        <v>117</v>
      </c>
      <c r="I171" s="90">
        <v>93</v>
      </c>
      <c r="J171" s="90">
        <v>157</v>
      </c>
      <c r="K171" s="90" t="s">
        <v>85</v>
      </c>
      <c r="L171" s="90" t="s">
        <v>679</v>
      </c>
      <c r="M171" s="90" t="s">
        <v>119</v>
      </c>
      <c r="N171" s="24" t="s">
        <v>644</v>
      </c>
      <c r="O171" s="24" t="str">
        <f>IF(ISNUMBER(SEARCH("Cancer",N171)),"Cancer",IF(ISNUMBER(SEARCH("health",N171)),"Public health",IF(ISNUMBER(SEARCH("disabilities",N171)),"Disabilities","Other")))</f>
        <v>Other</v>
      </c>
      <c r="P171" s="126">
        <v>1391248</v>
      </c>
      <c r="Q171" s="90" t="s">
        <v>85</v>
      </c>
      <c r="R171" s="90" t="str">
        <f>IF(P171&gt;20000000,"B","A")</f>
        <v>A</v>
      </c>
      <c r="S171" s="90" t="s">
        <v>90</v>
      </c>
      <c r="T171" s="90" t="s">
        <v>119</v>
      </c>
      <c r="U171" s="90" t="s">
        <v>119</v>
      </c>
      <c r="V171" s="90" t="s">
        <v>119</v>
      </c>
      <c r="W171" s="90" t="s">
        <v>119</v>
      </c>
      <c r="X171" s="90" t="s">
        <v>119</v>
      </c>
      <c r="Y171" s="90" t="s">
        <v>119</v>
      </c>
      <c r="Z171" s="90" t="s">
        <v>119</v>
      </c>
      <c r="AA171" s="90" t="s">
        <v>119</v>
      </c>
      <c r="AB171" s="90" t="s">
        <v>119</v>
      </c>
      <c r="AC171" s="90" t="s">
        <v>119</v>
      </c>
      <c r="AD171" s="90" t="s">
        <v>119</v>
      </c>
      <c r="AE171" s="24">
        <v>0</v>
      </c>
      <c r="AF171" s="90">
        <v>0</v>
      </c>
      <c r="AG171" s="24">
        <v>0</v>
      </c>
      <c r="AH171" s="90">
        <v>89814</v>
      </c>
      <c r="AI171" s="24" t="s">
        <v>94</v>
      </c>
      <c r="AJ171" s="24" t="s">
        <v>680</v>
      </c>
      <c r="AK171" s="90" t="s">
        <v>85</v>
      </c>
      <c r="AL171" s="90">
        <v>164054</v>
      </c>
      <c r="AM171" s="90" t="s">
        <v>81</v>
      </c>
      <c r="AN171" s="90" t="s">
        <v>676</v>
      </c>
      <c r="AO171" s="125" t="s">
        <v>677</v>
      </c>
      <c r="AP171" s="24" t="s">
        <v>644</v>
      </c>
      <c r="AQ171" s="90" t="s">
        <v>679</v>
      </c>
      <c r="AR171" s="24" t="s">
        <v>644</v>
      </c>
      <c r="AS171" s="90" t="s">
        <v>119</v>
      </c>
      <c r="AT171" s="24" t="s">
        <v>94</v>
      </c>
      <c r="AU171" s="90" t="s">
        <v>119</v>
      </c>
      <c r="AV171" s="90" t="str">
        <f>IF(ISNUMBER(SEARCH("disagree",AE171)),"N","Y")</f>
        <v>Y</v>
      </c>
      <c r="AW171" s="90" t="s">
        <v>119</v>
      </c>
      <c r="AX171" s="24" t="s">
        <v>119</v>
      </c>
      <c r="AY171" s="90" t="str">
        <f>CONCATENATE(AZ171,BA171,BB171,BC171)</f>
        <v/>
      </c>
      <c r="AZ171" s="90" t="str">
        <f>IF(ISNUMBER(SEARCH("Y",AC171)),"R","")</f>
        <v/>
      </c>
      <c r="BA171" s="90" t="str">
        <f>IF(ISNUMBER(SEARCH("Y",Y171)),"M","")</f>
        <v/>
      </c>
      <c r="BB171" s="90" t="str">
        <f>IF(ISNUMBER(SEARCH("Y",AB171)),"QC","")</f>
        <v/>
      </c>
      <c r="BC171" s="90" t="str">
        <f>IF(ISNUMBER(SEARCH("Y",Z171)),"S","")</f>
        <v/>
      </c>
      <c r="BD171" s="90"/>
      <c r="BE171" s="24" t="s">
        <v>119</v>
      </c>
      <c r="BF171" s="125" t="str">
        <f>IF(AND(AW171&gt;=56543,AW171&lt;=76543,LEN(AW171)&gt;0),"3 Feb 2020",IF(AND(AW171&gt;=66544,AW171&lt;=99999,LEN(AW171)&gt;0),"12 Sep 2020",""))</f>
        <v/>
      </c>
      <c r="BG171" s="125" t="str">
        <f>IF((AND(BF171="3 Feb 2020",LEN(BF171)&gt;0)),"Completed",IF((AND(BF171="12 Sep 2020",LEN(BF171)&gt;0)),"Pending",""))</f>
        <v/>
      </c>
      <c r="BH171" s="90" t="str">
        <f>IF((AND(BF171="3 Feb 2020",LEN(BF171)&gt;0)),"3 Feb 2020","")</f>
        <v/>
      </c>
      <c r="BI171" s="90">
        <v>164054</v>
      </c>
      <c r="BJ171" s="90" t="str">
        <f>L171</f>
        <v>3B85IR86775-68</v>
      </c>
      <c r="BK171" s="127">
        <v>43508</v>
      </c>
      <c r="BL171" s="127">
        <v>44239</v>
      </c>
      <c r="BM171" s="128">
        <f>P171*1.1</f>
        <v>1530372.8</v>
      </c>
      <c r="BN171" s="129">
        <f>P171*0.9</f>
        <v>1252123.2</v>
      </c>
      <c r="BO171" s="130">
        <f>P171*0.8</f>
        <v>1112998.4000000001</v>
      </c>
      <c r="BP171" s="90">
        <f>IF(Z171="Y",BM171*0.4,BM171*1.05)</f>
        <v>1606891.4400000002</v>
      </c>
      <c r="BQ171" s="90">
        <f>BP171*0.8</f>
        <v>1285513.1520000002</v>
      </c>
      <c r="BR171" s="90" t="str">
        <f>IF(ISNUMBER(SEARCH("subrecipient",AI167)),P171*0.6,"")</f>
        <v/>
      </c>
      <c r="BS171" s="90">
        <v>164054</v>
      </c>
      <c r="BT171" s="90" t="str">
        <f>BJ171</f>
        <v>3B85IR86775-68</v>
      </c>
      <c r="BU171" s="127">
        <f>BK171</f>
        <v>43508</v>
      </c>
      <c r="BV171" s="127">
        <f>BL171</f>
        <v>44239</v>
      </c>
      <c r="BW171" s="90" t="str">
        <f>H171</f>
        <v>NIH</v>
      </c>
      <c r="BX171" s="90" t="str">
        <f>IF(H171="NATIONAL HEMOPHILIA FOUNDATION","Non Federal","Federal")</f>
        <v>Federal</v>
      </c>
      <c r="BY171" s="128">
        <f>BM171</f>
        <v>1530372.8</v>
      </c>
      <c r="BZ171" s="90" t="str">
        <f>IF(LEN(BR171)&gt;0,1,"")</f>
        <v/>
      </c>
      <c r="CA171" s="90" t="str">
        <f>IF(LEN(BR171)&gt;0,"VIRAL HEPATITIS PROJECT","")</f>
        <v/>
      </c>
      <c r="CB171" s="129" t="str">
        <f>IF(LEN(BR171)&gt;0,BM171*0.7,"")</f>
        <v/>
      </c>
      <c r="CC171" s="90">
        <f>BP171</f>
        <v>1606891.4400000002</v>
      </c>
      <c r="CD171" s="90" t="str">
        <f>IF(LEN(BR171)&gt;0,"70%","")</f>
        <v/>
      </c>
      <c r="CE171" s="90">
        <f>BS171</f>
        <v>164054</v>
      </c>
      <c r="CF171" s="90" t="str">
        <f>CA171</f>
        <v/>
      </c>
      <c r="CG171" s="90"/>
      <c r="CH171" s="90"/>
      <c r="CI171" s="90"/>
      <c r="CJ171" s="90"/>
      <c r="CK171" s="90"/>
      <c r="CL171" s="90"/>
      <c r="CM171" s="90"/>
      <c r="CN171" s="90"/>
      <c r="CO171" s="90"/>
      <c r="CP171" s="90"/>
      <c r="CQ171" s="90"/>
      <c r="CR171" s="90"/>
      <c r="CS171" s="90"/>
      <c r="CT171" s="137"/>
    </row>
    <row r="172" spans="1:98" ht="90">
      <c r="A172" s="89">
        <v>164054</v>
      </c>
      <c r="B172" s="90">
        <v>2020</v>
      </c>
      <c r="C172" s="90" t="s">
        <v>81</v>
      </c>
      <c r="D172" s="90" t="s">
        <v>676</v>
      </c>
      <c r="E172" s="125" t="s">
        <v>681</v>
      </c>
      <c r="F172" s="24" t="s">
        <v>678</v>
      </c>
      <c r="G172" s="90" t="s">
        <v>85</v>
      </c>
      <c r="H172" s="90" t="s">
        <v>117</v>
      </c>
      <c r="I172" s="90">
        <v>93</v>
      </c>
      <c r="J172" s="90">
        <v>157</v>
      </c>
      <c r="K172" s="90" t="s">
        <v>85</v>
      </c>
      <c r="L172" s="90" t="s">
        <v>679</v>
      </c>
      <c r="M172" s="90" t="s">
        <v>119</v>
      </c>
      <c r="N172" s="24" t="s">
        <v>644</v>
      </c>
      <c r="O172" s="24" t="str">
        <f>IF(ISNUMBER(SEARCH("Cancer",N172)),"Cancer",IF(ISNUMBER(SEARCH("health",N172)),"Public health",IF(ISNUMBER(SEARCH("disabilities",N172)),"Disabilities","Other")))</f>
        <v>Other</v>
      </c>
      <c r="P172" s="126">
        <v>1391248</v>
      </c>
      <c r="Q172" s="90" t="s">
        <v>85</v>
      </c>
      <c r="R172" s="90" t="str">
        <f>IF(P172&gt;20000000,"B","A")</f>
        <v>A</v>
      </c>
      <c r="S172" s="90" t="s">
        <v>90</v>
      </c>
      <c r="T172" s="90" t="s">
        <v>119</v>
      </c>
      <c r="U172" s="90" t="s">
        <v>119</v>
      </c>
      <c r="V172" s="90" t="s">
        <v>119</v>
      </c>
      <c r="W172" s="90" t="s">
        <v>119</v>
      </c>
      <c r="X172" s="90" t="s">
        <v>119</v>
      </c>
      <c r="Y172" s="90" t="s">
        <v>119</v>
      </c>
      <c r="Z172" s="90" t="s">
        <v>119</v>
      </c>
      <c r="AA172" s="90" t="s">
        <v>119</v>
      </c>
      <c r="AB172" s="90" t="s">
        <v>119</v>
      </c>
      <c r="AC172" s="90" t="s">
        <v>119</v>
      </c>
      <c r="AD172" s="90" t="s">
        <v>119</v>
      </c>
      <c r="AE172" s="24">
        <v>0</v>
      </c>
      <c r="AF172" s="90">
        <v>0</v>
      </c>
      <c r="AG172" s="24">
        <v>0</v>
      </c>
      <c r="AH172" s="90">
        <v>89815</v>
      </c>
      <c r="AI172" s="24" t="s">
        <v>102</v>
      </c>
      <c r="AJ172" s="24" t="s">
        <v>103</v>
      </c>
      <c r="AK172" s="90" t="s">
        <v>85</v>
      </c>
      <c r="AL172" s="90">
        <v>164054</v>
      </c>
      <c r="AM172" s="90" t="s">
        <v>81</v>
      </c>
      <c r="AN172" s="90" t="s">
        <v>676</v>
      </c>
      <c r="AO172" s="125" t="s">
        <v>681</v>
      </c>
      <c r="AP172" s="24" t="s">
        <v>644</v>
      </c>
      <c r="AQ172" s="90" t="s">
        <v>679</v>
      </c>
      <c r="AR172" s="24" t="s">
        <v>644</v>
      </c>
      <c r="AS172" s="90" t="s">
        <v>119</v>
      </c>
      <c r="AT172" s="24" t="s">
        <v>102</v>
      </c>
      <c r="AU172" s="90" t="s">
        <v>119</v>
      </c>
      <c r="AV172" s="90" t="str">
        <f>IF(ISNUMBER(SEARCH("disagree",AE172)),"N","Y")</f>
        <v>Y</v>
      </c>
      <c r="AW172" s="90" t="s">
        <v>119</v>
      </c>
      <c r="AX172" s="24" t="s">
        <v>119</v>
      </c>
      <c r="AY172" s="90" t="str">
        <f>CONCATENATE(AZ172,BA172,BB172,BC172)</f>
        <v/>
      </c>
      <c r="AZ172" s="90" t="str">
        <f>IF(ISNUMBER(SEARCH("Y",AC172)),"R","")</f>
        <v/>
      </c>
      <c r="BA172" s="90" t="str">
        <f>IF(ISNUMBER(SEARCH("Y",Y172)),"M","")</f>
        <v/>
      </c>
      <c r="BB172" s="90" t="str">
        <f>IF(ISNUMBER(SEARCH("Y",AB172)),"QC","")</f>
        <v/>
      </c>
      <c r="BC172" s="90" t="str">
        <f>IF(ISNUMBER(SEARCH("Y",Z172)),"S","")</f>
        <v/>
      </c>
      <c r="BD172" s="90"/>
      <c r="BE172" s="24" t="s">
        <v>119</v>
      </c>
      <c r="BF172" s="125" t="str">
        <f>IF(AND(AW172&gt;=56543,AW172&lt;=76543,LEN(AW172)&gt;0),"3 Feb 2020",IF(AND(AW172&gt;=66544,AW172&lt;=99999,LEN(AW172)&gt;0),"12 Sep 2020",""))</f>
        <v/>
      </c>
      <c r="BG172" s="125" t="str">
        <f>IF((AND(BF172="3 Feb 2020",LEN(BF172)&gt;0)),"Completed",IF((AND(BF172="12 Sep 2020",LEN(BF172)&gt;0)),"Pending",""))</f>
        <v/>
      </c>
      <c r="BH172" s="90" t="str">
        <f>IF((AND(BF172="3 Feb 2020",LEN(BF172)&gt;0)),"3 Feb 2020","")</f>
        <v/>
      </c>
      <c r="BI172" s="90">
        <v>164054</v>
      </c>
      <c r="BJ172" s="90" t="str">
        <f>L172</f>
        <v>3B85IR86775-68</v>
      </c>
      <c r="BK172" s="127">
        <v>43508</v>
      </c>
      <c r="BL172" s="127">
        <v>44239</v>
      </c>
      <c r="BM172" s="128">
        <f>P172*1.1</f>
        <v>1530372.8</v>
      </c>
      <c r="BN172" s="129">
        <f>P172*0.9</f>
        <v>1252123.2</v>
      </c>
      <c r="BO172" s="130">
        <f>P172*0.8</f>
        <v>1112998.4000000001</v>
      </c>
      <c r="BP172" s="90">
        <f>IF(Z172="Y",BM172*0.4,BM172*1.05)</f>
        <v>1606891.4400000002</v>
      </c>
      <c r="BQ172" s="90">
        <f>BP172*0.8</f>
        <v>1285513.1520000002</v>
      </c>
      <c r="BR172" s="90" t="str">
        <f>IF(ISNUMBER(SEARCH("subrecipient",AI168)),P172*0.6,"")</f>
        <v/>
      </c>
      <c r="BS172" s="90">
        <v>164054</v>
      </c>
      <c r="BT172" s="90" t="str">
        <f>BJ172</f>
        <v>3B85IR86775-68</v>
      </c>
      <c r="BU172" s="127">
        <f>BK172</f>
        <v>43508</v>
      </c>
      <c r="BV172" s="127">
        <f>BL172</f>
        <v>44239</v>
      </c>
      <c r="BW172" s="90" t="str">
        <f>H172</f>
        <v>NIH</v>
      </c>
      <c r="BX172" s="90" t="str">
        <f>IF(H172="NATIONAL HEMOPHILIA FOUNDATION","Non Federal","Federal")</f>
        <v>Federal</v>
      </c>
      <c r="BY172" s="128">
        <f>BM172</f>
        <v>1530372.8</v>
      </c>
      <c r="BZ172" s="90" t="str">
        <f>IF(LEN(BR172)&gt;0,1,"")</f>
        <v/>
      </c>
      <c r="CA172" s="90" t="str">
        <f>IF(LEN(BR172)&gt;0,"VIRAL HEPATITIS PROJECT","")</f>
        <v/>
      </c>
      <c r="CB172" s="129" t="str">
        <f>IF(LEN(BR172)&gt;0,BM172*0.7,"")</f>
        <v/>
      </c>
      <c r="CC172" s="90">
        <f>BP172</f>
        <v>1606891.4400000002</v>
      </c>
      <c r="CD172" s="90" t="str">
        <f>IF(LEN(BR172)&gt;0,"70%","")</f>
        <v/>
      </c>
      <c r="CE172" s="90">
        <f>BS172</f>
        <v>164054</v>
      </c>
      <c r="CF172" s="90" t="str">
        <f>CA172</f>
        <v/>
      </c>
      <c r="CG172" s="90"/>
      <c r="CH172" s="90"/>
      <c r="CI172" s="90"/>
      <c r="CJ172" s="90"/>
      <c r="CK172" s="90"/>
      <c r="CL172" s="90"/>
      <c r="CM172" s="90"/>
      <c r="CN172" s="90"/>
      <c r="CO172" s="90"/>
      <c r="CP172" s="90"/>
      <c r="CQ172" s="90"/>
      <c r="CR172" s="90"/>
      <c r="CS172" s="90"/>
      <c r="CT172" s="137"/>
    </row>
    <row r="173" spans="1:98" ht="90">
      <c r="A173" s="89">
        <v>164054</v>
      </c>
      <c r="B173" s="90">
        <v>2020</v>
      </c>
      <c r="C173" s="90" t="s">
        <v>81</v>
      </c>
      <c r="D173" s="90" t="s">
        <v>676</v>
      </c>
      <c r="E173" s="125" t="s">
        <v>682</v>
      </c>
      <c r="F173" s="24" t="s">
        <v>678</v>
      </c>
      <c r="G173" s="90" t="s">
        <v>85</v>
      </c>
      <c r="H173" s="90" t="s">
        <v>117</v>
      </c>
      <c r="I173" s="90">
        <v>93</v>
      </c>
      <c r="J173" s="90">
        <v>157</v>
      </c>
      <c r="K173" s="90" t="s">
        <v>85</v>
      </c>
      <c r="L173" s="90" t="s">
        <v>679</v>
      </c>
      <c r="M173" s="90" t="s">
        <v>119</v>
      </c>
      <c r="N173" s="24" t="s">
        <v>644</v>
      </c>
      <c r="O173" s="24" t="str">
        <f>IF(ISNUMBER(SEARCH("Cancer",N173)),"Cancer",IF(ISNUMBER(SEARCH("health",N173)),"Public health",IF(ISNUMBER(SEARCH("disabilities",N173)),"Disabilities","Other")))</f>
        <v>Other</v>
      </c>
      <c r="P173" s="126">
        <v>1391248</v>
      </c>
      <c r="Q173" s="90" t="s">
        <v>85</v>
      </c>
      <c r="R173" s="90" t="str">
        <f>IF(P173&gt;20000000,"B","A")</f>
        <v>A</v>
      </c>
      <c r="S173" s="90" t="s">
        <v>90</v>
      </c>
      <c r="T173" s="90" t="s">
        <v>119</v>
      </c>
      <c r="U173" s="90" t="s">
        <v>119</v>
      </c>
      <c r="V173" s="90" t="s">
        <v>119</v>
      </c>
      <c r="W173" s="90" t="s">
        <v>119</v>
      </c>
      <c r="X173" s="90" t="s">
        <v>119</v>
      </c>
      <c r="Y173" s="90" t="s">
        <v>119</v>
      </c>
      <c r="Z173" s="90" t="s">
        <v>119</v>
      </c>
      <c r="AA173" s="90" t="s">
        <v>119</v>
      </c>
      <c r="AB173" s="90" t="s">
        <v>119</v>
      </c>
      <c r="AC173" s="90" t="s">
        <v>119</v>
      </c>
      <c r="AD173" s="90" t="s">
        <v>119</v>
      </c>
      <c r="AE173" s="24">
        <v>0</v>
      </c>
      <c r="AF173" s="90">
        <v>0</v>
      </c>
      <c r="AG173" s="24">
        <v>0</v>
      </c>
      <c r="AH173" s="90">
        <v>89816</v>
      </c>
      <c r="AI173" s="24" t="s">
        <v>110</v>
      </c>
      <c r="AJ173" s="24" t="s">
        <v>683</v>
      </c>
      <c r="AK173" s="90" t="s">
        <v>85</v>
      </c>
      <c r="AL173" s="90">
        <v>164054</v>
      </c>
      <c r="AM173" s="90" t="s">
        <v>81</v>
      </c>
      <c r="AN173" s="90" t="s">
        <v>676</v>
      </c>
      <c r="AO173" s="125" t="s">
        <v>682</v>
      </c>
      <c r="AP173" s="24" t="s">
        <v>644</v>
      </c>
      <c r="AQ173" s="90" t="s">
        <v>679</v>
      </c>
      <c r="AR173" s="24" t="s">
        <v>644</v>
      </c>
      <c r="AS173" s="90" t="s">
        <v>119</v>
      </c>
      <c r="AT173" s="24" t="s">
        <v>110</v>
      </c>
      <c r="AU173" s="90" t="s">
        <v>119</v>
      </c>
      <c r="AV173" s="90" t="str">
        <f>IF(ISNUMBER(SEARCH("disagree",AE173)),"N","Y")</f>
        <v>Y</v>
      </c>
      <c r="AW173" s="90" t="s">
        <v>119</v>
      </c>
      <c r="AX173" s="24" t="s">
        <v>119</v>
      </c>
      <c r="AY173" s="90" t="str">
        <f>CONCATENATE(AZ173,BA173,BB173,BC173)</f>
        <v/>
      </c>
      <c r="AZ173" s="90" t="str">
        <f>IF(ISNUMBER(SEARCH("Y",AC173)),"R","")</f>
        <v/>
      </c>
      <c r="BA173" s="90" t="str">
        <f>IF(ISNUMBER(SEARCH("Y",Y173)),"M","")</f>
        <v/>
      </c>
      <c r="BB173" s="90" t="str">
        <f>IF(ISNUMBER(SEARCH("Y",AB173)),"QC","")</f>
        <v/>
      </c>
      <c r="BC173" s="90" t="str">
        <f>IF(ISNUMBER(SEARCH("Y",Z173)),"S","")</f>
        <v/>
      </c>
      <c r="BD173" s="90"/>
      <c r="BE173" s="24" t="s">
        <v>119</v>
      </c>
      <c r="BF173" s="125" t="str">
        <f>IF(AND(AW173&gt;=56543,AW173&lt;=76543,LEN(AW173)&gt;0),"3 Feb 2020",IF(AND(AW173&gt;=66544,AW173&lt;=99999,LEN(AW173)&gt;0),"12 Sep 2020",""))</f>
        <v/>
      </c>
      <c r="BG173" s="125" t="str">
        <f>IF((AND(BF173="3 Feb 2020",LEN(BF173)&gt;0)),"Completed",IF((AND(BF173="12 Sep 2020",LEN(BF173)&gt;0)),"Pending",""))</f>
        <v/>
      </c>
      <c r="BH173" s="90" t="str">
        <f>IF((AND(BF173="3 Feb 2020",LEN(BF173)&gt;0)),"3 Feb 2020","")</f>
        <v/>
      </c>
      <c r="BI173" s="90">
        <v>164054</v>
      </c>
      <c r="BJ173" s="90" t="str">
        <f>L173</f>
        <v>3B85IR86775-68</v>
      </c>
      <c r="BK173" s="127">
        <v>43508</v>
      </c>
      <c r="BL173" s="127">
        <v>44239</v>
      </c>
      <c r="BM173" s="128">
        <f>P173*1.1</f>
        <v>1530372.8</v>
      </c>
      <c r="BN173" s="129">
        <f>P173*0.9</f>
        <v>1252123.2</v>
      </c>
      <c r="BO173" s="130">
        <f>P173*0.8</f>
        <v>1112998.4000000001</v>
      </c>
      <c r="BP173" s="90">
        <f>IF(Z173="Y",BM173*0.4,BM173*1.05)</f>
        <v>1606891.4400000002</v>
      </c>
      <c r="BQ173" s="90">
        <f>BP173*0.8</f>
        <v>1285513.1520000002</v>
      </c>
      <c r="BR173" s="90" t="str">
        <f>IF(ISNUMBER(SEARCH("subrecipient",AI169)),P173*0.6,"")</f>
        <v/>
      </c>
      <c r="BS173" s="90">
        <v>164054</v>
      </c>
      <c r="BT173" s="90" t="str">
        <f>BJ173</f>
        <v>3B85IR86775-68</v>
      </c>
      <c r="BU173" s="127">
        <f>BK173</f>
        <v>43508</v>
      </c>
      <c r="BV173" s="127">
        <f>BL173</f>
        <v>44239</v>
      </c>
      <c r="BW173" s="90" t="str">
        <f>H173</f>
        <v>NIH</v>
      </c>
      <c r="BX173" s="90" t="str">
        <f>IF(H173="NATIONAL HEMOPHILIA FOUNDATION","Non Federal","Federal")</f>
        <v>Federal</v>
      </c>
      <c r="BY173" s="128">
        <f>BM173</f>
        <v>1530372.8</v>
      </c>
      <c r="BZ173" s="90" t="str">
        <f>IF(LEN(BR173)&gt;0,1,"")</f>
        <v/>
      </c>
      <c r="CA173" s="90" t="str">
        <f>IF(LEN(BR173)&gt;0,"VIRAL HEPATITIS PROJECT","")</f>
        <v/>
      </c>
      <c r="CB173" s="129" t="str">
        <f>IF(LEN(BR173)&gt;0,BM173*0.7,"")</f>
        <v/>
      </c>
      <c r="CC173" s="90">
        <f>BP173</f>
        <v>1606891.4400000002</v>
      </c>
      <c r="CD173" s="90" t="str">
        <f>IF(LEN(BR173)&gt;0,"70%","")</f>
        <v/>
      </c>
      <c r="CE173" s="90">
        <f>BS173</f>
        <v>164054</v>
      </c>
      <c r="CF173" s="90" t="str">
        <f>CA173</f>
        <v/>
      </c>
      <c r="CG173" s="90"/>
      <c r="CH173" s="90"/>
      <c r="CI173" s="90"/>
      <c r="CJ173" s="90"/>
      <c r="CK173" s="90"/>
      <c r="CL173" s="90"/>
      <c r="CM173" s="90"/>
      <c r="CN173" s="90"/>
      <c r="CO173" s="90"/>
      <c r="CP173" s="90"/>
      <c r="CQ173" s="90"/>
      <c r="CR173" s="90"/>
      <c r="CS173" s="90"/>
      <c r="CT173" s="137"/>
    </row>
    <row r="174" spans="1:98" ht="225">
      <c r="A174" s="89">
        <v>181760</v>
      </c>
      <c r="B174" s="90">
        <v>2020</v>
      </c>
      <c r="C174" s="90" t="s">
        <v>81</v>
      </c>
      <c r="D174" s="90" t="s">
        <v>684</v>
      </c>
      <c r="E174" s="125" t="s">
        <v>685</v>
      </c>
      <c r="F174" s="24" t="s">
        <v>686</v>
      </c>
      <c r="G174" s="90" t="s">
        <v>85</v>
      </c>
      <c r="H174" s="90" t="s">
        <v>132</v>
      </c>
      <c r="I174" s="90">
        <v>93</v>
      </c>
      <c r="J174" s="90">
        <v>157</v>
      </c>
      <c r="K174" s="90" t="s">
        <v>85</v>
      </c>
      <c r="L174" s="90" t="s">
        <v>687</v>
      </c>
      <c r="M174" s="90" t="s">
        <v>85</v>
      </c>
      <c r="N174" s="24" t="s">
        <v>688</v>
      </c>
      <c r="O174" s="24" t="str">
        <f>IF(ISNUMBER(SEARCH("Cancer",N174)),"Cancer",IF(ISNUMBER(SEARCH("health",N174)),"Public health",IF(ISNUMBER(SEARCH("disabilities",N174)),"Disabilities","Other")))</f>
        <v>Other</v>
      </c>
      <c r="P174" s="126">
        <v>1994252</v>
      </c>
      <c r="Q174" s="90" t="s">
        <v>87</v>
      </c>
      <c r="R174" s="90" t="str">
        <f>IF(P174&gt;20000000,"B","A")</f>
        <v>A</v>
      </c>
      <c r="S174" s="90" t="s">
        <v>425</v>
      </c>
      <c r="T174" s="90">
        <v>2576687</v>
      </c>
      <c r="U174" s="90" t="s">
        <v>91</v>
      </c>
      <c r="V174" s="90" t="s">
        <v>689</v>
      </c>
      <c r="W174" s="90" t="s">
        <v>85</v>
      </c>
      <c r="X174" s="90" t="s">
        <v>87</v>
      </c>
      <c r="Y174" s="90" t="s">
        <v>85</v>
      </c>
      <c r="Z174" s="90" t="s">
        <v>85</v>
      </c>
      <c r="AA174" s="90" t="s">
        <v>85</v>
      </c>
      <c r="AB174" s="90" t="s">
        <v>85</v>
      </c>
      <c r="AC174" s="90" t="s">
        <v>85</v>
      </c>
      <c r="AD174" s="90">
        <v>0</v>
      </c>
      <c r="AE174" s="24" t="s">
        <v>690</v>
      </c>
      <c r="AF174" s="90" t="s">
        <v>91</v>
      </c>
      <c r="AG174" s="24" t="s">
        <v>691</v>
      </c>
      <c r="AH174" s="90">
        <v>88993</v>
      </c>
      <c r="AI174" s="24" t="s">
        <v>94</v>
      </c>
      <c r="AJ174" s="24" t="s">
        <v>448</v>
      </c>
      <c r="AK174" s="90" t="s">
        <v>87</v>
      </c>
      <c r="AL174" s="90">
        <v>181760</v>
      </c>
      <c r="AM174" s="90" t="s">
        <v>81</v>
      </c>
      <c r="AN174" s="90" t="s">
        <v>684</v>
      </c>
      <c r="AO174" s="125" t="s">
        <v>685</v>
      </c>
      <c r="AP174" s="24" t="s">
        <v>688</v>
      </c>
      <c r="AQ174" s="90" t="s">
        <v>687</v>
      </c>
      <c r="AR174" s="24" t="s">
        <v>688</v>
      </c>
      <c r="AS174" s="90">
        <v>2576687</v>
      </c>
      <c r="AT174" s="24" t="s">
        <v>94</v>
      </c>
      <c r="AU174" s="90" t="s">
        <v>689</v>
      </c>
      <c r="AV174" s="90" t="str">
        <f>IF(ISNUMBER(SEARCH("disagree",AE174)),"N","Y")</f>
        <v>Y</v>
      </c>
      <c r="AW174" s="90" t="s">
        <v>119</v>
      </c>
      <c r="AX174" s="24" t="s">
        <v>119</v>
      </c>
      <c r="AY174" s="90" t="str">
        <f>CONCATENATE(AZ174,BA174,BB174,BC174)</f>
        <v/>
      </c>
      <c r="AZ174" s="90" t="str">
        <f>IF(ISNUMBER(SEARCH("Y",AC174)),"R","")</f>
        <v/>
      </c>
      <c r="BA174" s="90" t="str">
        <f>IF(ISNUMBER(SEARCH("Y",Y174)),"M","")</f>
        <v/>
      </c>
      <c r="BB174" s="90" t="str">
        <f>IF(ISNUMBER(SEARCH("Y",AB174)),"QC","")</f>
        <v/>
      </c>
      <c r="BC174" s="90" t="str">
        <f>IF(ISNUMBER(SEARCH("Y",Z174)),"S","")</f>
        <v/>
      </c>
      <c r="BD174" s="90"/>
      <c r="BE174" s="24" t="s">
        <v>119</v>
      </c>
      <c r="BF174" s="125" t="str">
        <f>IF(AND(AW174&gt;=56543,AW174&lt;=76543,LEN(AW174)&gt;0),"3 Feb 2020",IF(AND(AW174&gt;=66544,AW174&lt;=99999,LEN(AW174)&gt;0),"12 Sep 2020",""))</f>
        <v/>
      </c>
      <c r="BG174" s="125" t="str">
        <f>IF((AND(BF174="3 Feb 2020",LEN(BF174)&gt;0)),"Completed",IF((AND(BF174="12 Sep 2020",LEN(BF174)&gt;0)),"Pending",""))</f>
        <v/>
      </c>
      <c r="BH174" s="90" t="str">
        <f>IF((AND(BF174="3 Feb 2020",LEN(BF174)&gt;0)),"3 Feb 2020","")</f>
        <v/>
      </c>
      <c r="BI174" s="90">
        <v>181760</v>
      </c>
      <c r="BJ174" s="90" t="str">
        <f>L174</f>
        <v>2D78CT89251-44</v>
      </c>
      <c r="BK174" s="127">
        <v>43508</v>
      </c>
      <c r="BL174" s="127">
        <v>44239</v>
      </c>
      <c r="BM174" s="128">
        <f>P174*1.1</f>
        <v>2193677.2000000002</v>
      </c>
      <c r="BN174" s="129">
        <f>P174*0.9</f>
        <v>1794826.8</v>
      </c>
      <c r="BO174" s="130">
        <f>P174*0.8</f>
        <v>1595401.6</v>
      </c>
      <c r="BP174" s="90">
        <f>IF(Z174="Y",BM174*0.4,BM174*1.05)</f>
        <v>2303361.0600000005</v>
      </c>
      <c r="BQ174" s="90">
        <f>BP174*0.8</f>
        <v>1842688.8480000005</v>
      </c>
      <c r="BR174" s="90" t="str">
        <f>IF(ISNUMBER(SEARCH("subrecipient",AI170)),P174*0.6,"")</f>
        <v/>
      </c>
      <c r="BS174" s="90">
        <v>181760</v>
      </c>
      <c r="BT174" s="90" t="str">
        <f>BJ174</f>
        <v>2D78CT89251-44</v>
      </c>
      <c r="BU174" s="127">
        <f>BK174</f>
        <v>43508</v>
      </c>
      <c r="BV174" s="127">
        <f>BL174</f>
        <v>44239</v>
      </c>
      <c r="BW174" s="90" t="str">
        <f>H174</f>
        <v>FDA</v>
      </c>
      <c r="BX174" s="90" t="str">
        <f>IF(H174="NATIONAL HEMOPHILIA FOUNDATION","Non Federal","Federal")</f>
        <v>Federal</v>
      </c>
      <c r="BY174" s="128">
        <f>BM174</f>
        <v>2193677.2000000002</v>
      </c>
      <c r="BZ174" s="90" t="str">
        <f>IF(LEN(BR174)&gt;0,1,"")</f>
        <v/>
      </c>
      <c r="CA174" s="90" t="str">
        <f>IF(LEN(BR174)&gt;0,"VIRAL HEPATITIS PROJECT","")</f>
        <v/>
      </c>
      <c r="CB174" s="129" t="str">
        <f>IF(LEN(BR174)&gt;0,BM174*0.7,"")</f>
        <v/>
      </c>
      <c r="CC174" s="90">
        <f>BP174</f>
        <v>2303361.0600000005</v>
      </c>
      <c r="CD174" s="90" t="str">
        <f>IF(LEN(BR174)&gt;0,"70%","")</f>
        <v/>
      </c>
      <c r="CE174" s="90">
        <f>BS174</f>
        <v>181760</v>
      </c>
      <c r="CF174" s="90" t="str">
        <f>CA174</f>
        <v/>
      </c>
      <c r="CG174" s="90"/>
      <c r="CH174" s="90"/>
      <c r="CI174" s="90"/>
      <c r="CJ174" s="90"/>
      <c r="CK174" s="90"/>
      <c r="CL174" s="90"/>
      <c r="CM174" s="90"/>
      <c r="CN174" s="90"/>
      <c r="CO174" s="90"/>
      <c r="CP174" s="90"/>
      <c r="CQ174" s="90"/>
      <c r="CR174" s="90"/>
      <c r="CS174" s="90"/>
      <c r="CT174" s="137"/>
    </row>
    <row r="175" spans="1:98" ht="165">
      <c r="A175" s="89">
        <v>181760</v>
      </c>
      <c r="B175" s="90">
        <v>2020</v>
      </c>
      <c r="C175" s="90" t="s">
        <v>81</v>
      </c>
      <c r="D175" s="90" t="s">
        <v>684</v>
      </c>
      <c r="E175" s="125" t="s">
        <v>692</v>
      </c>
      <c r="F175" s="24" t="s">
        <v>686</v>
      </c>
      <c r="G175" s="90" t="s">
        <v>85</v>
      </c>
      <c r="H175" s="90" t="s">
        <v>132</v>
      </c>
      <c r="I175" s="90">
        <v>93</v>
      </c>
      <c r="J175" s="90">
        <v>157</v>
      </c>
      <c r="K175" s="90" t="s">
        <v>85</v>
      </c>
      <c r="L175" s="90" t="s">
        <v>687</v>
      </c>
      <c r="M175" s="90" t="s">
        <v>85</v>
      </c>
      <c r="N175" s="24" t="s">
        <v>688</v>
      </c>
      <c r="O175" s="24" t="str">
        <f>IF(ISNUMBER(SEARCH("Cancer",N175)),"Cancer",IF(ISNUMBER(SEARCH("health",N175)),"Public health",IF(ISNUMBER(SEARCH("disabilities",N175)),"Disabilities","Other")))</f>
        <v>Other</v>
      </c>
      <c r="P175" s="126">
        <v>1994252</v>
      </c>
      <c r="Q175" s="90" t="s">
        <v>85</v>
      </c>
      <c r="R175" s="90" t="str">
        <f>IF(P175&gt;20000000,"B","A")</f>
        <v>A</v>
      </c>
      <c r="S175" s="90" t="s">
        <v>425</v>
      </c>
      <c r="T175" s="90">
        <v>2576687</v>
      </c>
      <c r="U175" s="90" t="s">
        <v>91</v>
      </c>
      <c r="V175" s="90" t="s">
        <v>689</v>
      </c>
      <c r="W175" s="90" t="s">
        <v>85</v>
      </c>
      <c r="X175" s="90" t="s">
        <v>87</v>
      </c>
      <c r="Y175" s="90" t="s">
        <v>85</v>
      </c>
      <c r="Z175" s="90" t="s">
        <v>85</v>
      </c>
      <c r="AA175" s="90" t="s">
        <v>85</v>
      </c>
      <c r="AB175" s="90" t="s">
        <v>85</v>
      </c>
      <c r="AC175" s="90" t="s">
        <v>85</v>
      </c>
      <c r="AD175" s="90">
        <v>0</v>
      </c>
      <c r="AE175" s="24">
        <v>0</v>
      </c>
      <c r="AF175" s="90">
        <v>0</v>
      </c>
      <c r="AG175" s="24">
        <v>0</v>
      </c>
      <c r="AH175" s="90">
        <v>88994</v>
      </c>
      <c r="AI175" s="24" t="s">
        <v>102</v>
      </c>
      <c r="AJ175" s="24" t="s">
        <v>103</v>
      </c>
      <c r="AK175" s="90" t="s">
        <v>85</v>
      </c>
      <c r="AL175" s="90">
        <v>181760</v>
      </c>
      <c r="AM175" s="90" t="s">
        <v>81</v>
      </c>
      <c r="AN175" s="90" t="s">
        <v>684</v>
      </c>
      <c r="AO175" s="125" t="s">
        <v>692</v>
      </c>
      <c r="AP175" s="24" t="s">
        <v>688</v>
      </c>
      <c r="AQ175" s="90" t="s">
        <v>687</v>
      </c>
      <c r="AR175" s="24" t="s">
        <v>688</v>
      </c>
      <c r="AS175" s="90">
        <v>2576687</v>
      </c>
      <c r="AT175" s="24" t="s">
        <v>102</v>
      </c>
      <c r="AU175" s="90" t="s">
        <v>689</v>
      </c>
      <c r="AV175" s="90" t="str">
        <f>IF(ISNUMBER(SEARCH("disagree",AE175)),"N","Y")</f>
        <v>Y</v>
      </c>
      <c r="AW175" s="90" t="s">
        <v>119</v>
      </c>
      <c r="AX175" s="24" t="s">
        <v>119</v>
      </c>
      <c r="AY175" s="90" t="str">
        <f>CONCATENATE(AZ175,BA175,BB175,BC175)</f>
        <v/>
      </c>
      <c r="AZ175" s="90" t="str">
        <f>IF(ISNUMBER(SEARCH("Y",AC175)),"R","")</f>
        <v/>
      </c>
      <c r="BA175" s="90" t="str">
        <f>IF(ISNUMBER(SEARCH("Y",Y175)),"M","")</f>
        <v/>
      </c>
      <c r="BB175" s="90" t="str">
        <f>IF(ISNUMBER(SEARCH("Y",AB175)),"QC","")</f>
        <v/>
      </c>
      <c r="BC175" s="90" t="str">
        <f>IF(ISNUMBER(SEARCH("Y",Z175)),"S","")</f>
        <v/>
      </c>
      <c r="BD175" s="90"/>
      <c r="BE175" s="24" t="s">
        <v>119</v>
      </c>
      <c r="BF175" s="125" t="str">
        <f>IF(AND(AW175&gt;=56543,AW175&lt;=76543,LEN(AW175)&gt;0),"3 Feb 2020",IF(AND(AW175&gt;=66544,AW175&lt;=99999,LEN(AW175)&gt;0),"12 Sep 2020",""))</f>
        <v/>
      </c>
      <c r="BG175" s="125" t="str">
        <f>IF((AND(BF175="3 Feb 2020",LEN(BF175)&gt;0)),"Completed",IF((AND(BF175="12 Sep 2020",LEN(BF175)&gt;0)),"Pending",""))</f>
        <v/>
      </c>
      <c r="BH175" s="90" t="str">
        <f>IF((AND(BF175="3 Feb 2020",LEN(BF175)&gt;0)),"3 Feb 2020","")</f>
        <v/>
      </c>
      <c r="BI175" s="90">
        <v>181760</v>
      </c>
      <c r="BJ175" s="90" t="str">
        <f>L175</f>
        <v>2D78CT89251-44</v>
      </c>
      <c r="BK175" s="127">
        <v>43508</v>
      </c>
      <c r="BL175" s="127">
        <v>44239</v>
      </c>
      <c r="BM175" s="128">
        <f>P175*1.1</f>
        <v>2193677.2000000002</v>
      </c>
      <c r="BN175" s="129">
        <f>P175*0.9</f>
        <v>1794826.8</v>
      </c>
      <c r="BO175" s="130">
        <f>P175*0.8</f>
        <v>1595401.6</v>
      </c>
      <c r="BP175" s="90">
        <f>IF(Z175="Y",BM175*0.4,BM175*1.05)</f>
        <v>2303361.0600000005</v>
      </c>
      <c r="BQ175" s="90">
        <f>BP175*0.8</f>
        <v>1842688.8480000005</v>
      </c>
      <c r="BR175" s="90" t="str">
        <f>IF(ISNUMBER(SEARCH("subrecipient",AI171)),P175*0.6,"")</f>
        <v/>
      </c>
      <c r="BS175" s="90">
        <v>181760</v>
      </c>
      <c r="BT175" s="90" t="str">
        <f>BJ175</f>
        <v>2D78CT89251-44</v>
      </c>
      <c r="BU175" s="127">
        <f>BK175</f>
        <v>43508</v>
      </c>
      <c r="BV175" s="127">
        <f>BL175</f>
        <v>44239</v>
      </c>
      <c r="BW175" s="90" t="str">
        <f>H175</f>
        <v>FDA</v>
      </c>
      <c r="BX175" s="90" t="str">
        <f>IF(H175="NATIONAL HEMOPHILIA FOUNDATION","Non Federal","Federal")</f>
        <v>Federal</v>
      </c>
      <c r="BY175" s="128">
        <f>BM175</f>
        <v>2193677.2000000002</v>
      </c>
      <c r="BZ175" s="90" t="str">
        <f>IF(LEN(BR175)&gt;0,1,"")</f>
        <v/>
      </c>
      <c r="CA175" s="90" t="str">
        <f>IF(LEN(BR175)&gt;0,"VIRAL HEPATITIS PROJECT","")</f>
        <v/>
      </c>
      <c r="CB175" s="129" t="str">
        <f>IF(LEN(BR175)&gt;0,BM175*0.7,"")</f>
        <v/>
      </c>
      <c r="CC175" s="90">
        <f>BP175</f>
        <v>2303361.0600000005</v>
      </c>
      <c r="CD175" s="90" t="str">
        <f>IF(LEN(BR175)&gt;0,"70%","")</f>
        <v/>
      </c>
      <c r="CE175" s="90">
        <f>BS175</f>
        <v>181760</v>
      </c>
      <c r="CF175" s="90" t="str">
        <f>CA175</f>
        <v/>
      </c>
      <c r="CG175" s="90"/>
      <c r="CH175" s="90"/>
      <c r="CI175" s="90"/>
      <c r="CJ175" s="90"/>
      <c r="CK175" s="90"/>
      <c r="CL175" s="90"/>
      <c r="CM175" s="90"/>
      <c r="CN175" s="90"/>
      <c r="CO175" s="90"/>
      <c r="CP175" s="90"/>
      <c r="CQ175" s="90"/>
      <c r="CR175" s="90"/>
      <c r="CS175" s="90"/>
      <c r="CT175" s="137"/>
    </row>
    <row r="176" spans="1:98" ht="165">
      <c r="A176" s="89">
        <v>181760</v>
      </c>
      <c r="B176" s="90">
        <v>2020</v>
      </c>
      <c r="C176" s="90" t="s">
        <v>81</v>
      </c>
      <c r="D176" s="90" t="s">
        <v>684</v>
      </c>
      <c r="E176" s="125" t="s">
        <v>693</v>
      </c>
      <c r="F176" s="24" t="s">
        <v>686</v>
      </c>
      <c r="G176" s="90" t="s">
        <v>85</v>
      </c>
      <c r="H176" s="90" t="s">
        <v>132</v>
      </c>
      <c r="I176" s="90">
        <v>93</v>
      </c>
      <c r="J176" s="90">
        <v>157</v>
      </c>
      <c r="K176" s="90" t="s">
        <v>85</v>
      </c>
      <c r="L176" s="90" t="s">
        <v>687</v>
      </c>
      <c r="M176" s="90" t="s">
        <v>85</v>
      </c>
      <c r="N176" s="24" t="s">
        <v>688</v>
      </c>
      <c r="O176" s="24" t="str">
        <f>IF(ISNUMBER(SEARCH("Cancer",N176)),"Cancer",IF(ISNUMBER(SEARCH("health",N176)),"Public health",IF(ISNUMBER(SEARCH("disabilities",N176)),"Disabilities","Other")))</f>
        <v>Other</v>
      </c>
      <c r="P176" s="126">
        <v>1994252</v>
      </c>
      <c r="Q176" s="90" t="s">
        <v>85</v>
      </c>
      <c r="R176" s="90" t="str">
        <f>IF(P176&gt;20000000,"B","A")</f>
        <v>A</v>
      </c>
      <c r="S176" s="90" t="s">
        <v>425</v>
      </c>
      <c r="T176" s="90">
        <v>2576687</v>
      </c>
      <c r="U176" s="90" t="s">
        <v>91</v>
      </c>
      <c r="V176" s="90" t="s">
        <v>689</v>
      </c>
      <c r="W176" s="90" t="s">
        <v>85</v>
      </c>
      <c r="X176" s="90" t="s">
        <v>87</v>
      </c>
      <c r="Y176" s="90" t="s">
        <v>85</v>
      </c>
      <c r="Z176" s="90" t="s">
        <v>85</v>
      </c>
      <c r="AA176" s="90" t="s">
        <v>85</v>
      </c>
      <c r="AB176" s="90" t="s">
        <v>85</v>
      </c>
      <c r="AC176" s="90" t="s">
        <v>85</v>
      </c>
      <c r="AD176" s="90">
        <v>0</v>
      </c>
      <c r="AE176" s="24">
        <v>0</v>
      </c>
      <c r="AF176" s="90">
        <v>0</v>
      </c>
      <c r="AG176" s="24">
        <v>0</v>
      </c>
      <c r="AH176" s="90">
        <v>88995</v>
      </c>
      <c r="AI176" s="24" t="s">
        <v>110</v>
      </c>
      <c r="AJ176" s="24" t="s">
        <v>694</v>
      </c>
      <c r="AK176" s="90" t="s">
        <v>85</v>
      </c>
      <c r="AL176" s="90">
        <v>181760</v>
      </c>
      <c r="AM176" s="90" t="s">
        <v>81</v>
      </c>
      <c r="AN176" s="90" t="s">
        <v>684</v>
      </c>
      <c r="AO176" s="125" t="s">
        <v>693</v>
      </c>
      <c r="AP176" s="24" t="s">
        <v>688</v>
      </c>
      <c r="AQ176" s="90" t="s">
        <v>687</v>
      </c>
      <c r="AR176" s="24" t="s">
        <v>688</v>
      </c>
      <c r="AS176" s="90">
        <v>2576687</v>
      </c>
      <c r="AT176" s="24" t="s">
        <v>110</v>
      </c>
      <c r="AU176" s="90" t="s">
        <v>689</v>
      </c>
      <c r="AV176" s="90" t="str">
        <f>IF(ISNUMBER(SEARCH("disagree",AE176)),"N","Y")</f>
        <v>Y</v>
      </c>
      <c r="AW176" s="90" t="s">
        <v>119</v>
      </c>
      <c r="AX176" s="24" t="s">
        <v>119</v>
      </c>
      <c r="AY176" s="90" t="str">
        <f>CONCATENATE(AZ176,BA176,BB176,BC176)</f>
        <v/>
      </c>
      <c r="AZ176" s="90" t="str">
        <f>IF(ISNUMBER(SEARCH("Y",AC176)),"R","")</f>
        <v/>
      </c>
      <c r="BA176" s="90" t="str">
        <f>IF(ISNUMBER(SEARCH("Y",Y176)),"M","")</f>
        <v/>
      </c>
      <c r="BB176" s="90" t="str">
        <f>IF(ISNUMBER(SEARCH("Y",AB176)),"QC","")</f>
        <v/>
      </c>
      <c r="BC176" s="90" t="str">
        <f>IF(ISNUMBER(SEARCH("Y",Z176)),"S","")</f>
        <v/>
      </c>
      <c r="BD176" s="90"/>
      <c r="BE176" s="24" t="s">
        <v>119</v>
      </c>
      <c r="BF176" s="125" t="str">
        <f>IF(AND(AW176&gt;=56543,AW176&lt;=76543,LEN(AW176)&gt;0),"3 Feb 2020",IF(AND(AW176&gt;=66544,AW176&lt;=99999,LEN(AW176)&gt;0),"12 Sep 2020",""))</f>
        <v/>
      </c>
      <c r="BG176" s="125" t="str">
        <f>IF((AND(BF176="3 Feb 2020",LEN(BF176)&gt;0)),"Completed",IF((AND(BF176="12 Sep 2020",LEN(BF176)&gt;0)),"Pending",""))</f>
        <v/>
      </c>
      <c r="BH176" s="90" t="str">
        <f>IF((AND(BF176="3 Feb 2020",LEN(BF176)&gt;0)),"3 Feb 2020","")</f>
        <v/>
      </c>
      <c r="BI176" s="90">
        <v>181760</v>
      </c>
      <c r="BJ176" s="90" t="str">
        <f>L176</f>
        <v>2D78CT89251-44</v>
      </c>
      <c r="BK176" s="127">
        <v>43508</v>
      </c>
      <c r="BL176" s="127">
        <v>44239</v>
      </c>
      <c r="BM176" s="128">
        <f>P176*1.1</f>
        <v>2193677.2000000002</v>
      </c>
      <c r="BN176" s="129">
        <f>P176*0.9</f>
        <v>1794826.8</v>
      </c>
      <c r="BO176" s="130">
        <f>P176*0.8</f>
        <v>1595401.6</v>
      </c>
      <c r="BP176" s="90">
        <f>IF(Z176="Y",BM176*0.4,BM176*1.05)</f>
        <v>2303361.0600000005</v>
      </c>
      <c r="BQ176" s="90">
        <f>BP176*0.8</f>
        <v>1842688.8480000005</v>
      </c>
      <c r="BR176" s="90" t="str">
        <f>IF(ISNUMBER(SEARCH("subrecipient",AI172)),P176*0.6,"")</f>
        <v/>
      </c>
      <c r="BS176" s="90">
        <v>181760</v>
      </c>
      <c r="BT176" s="90" t="str">
        <f>BJ176</f>
        <v>2D78CT89251-44</v>
      </c>
      <c r="BU176" s="127">
        <f>BK176</f>
        <v>43508</v>
      </c>
      <c r="BV176" s="127">
        <f>BL176</f>
        <v>44239</v>
      </c>
      <c r="BW176" s="90" t="str">
        <f>H176</f>
        <v>FDA</v>
      </c>
      <c r="BX176" s="90" t="str">
        <f>IF(H176="NATIONAL HEMOPHILIA FOUNDATION","Non Federal","Federal")</f>
        <v>Federal</v>
      </c>
      <c r="BY176" s="128">
        <f>BM176</f>
        <v>2193677.2000000002</v>
      </c>
      <c r="BZ176" s="90" t="str">
        <f>IF(LEN(BR176)&gt;0,1,"")</f>
        <v/>
      </c>
      <c r="CA176" s="90" t="str">
        <f>IF(LEN(BR176)&gt;0,"VIRAL HEPATITIS PROJECT","")</f>
        <v/>
      </c>
      <c r="CB176" s="129" t="str">
        <f>IF(LEN(BR176)&gt;0,BM176*0.7,"")</f>
        <v/>
      </c>
      <c r="CC176" s="90">
        <f>BP176</f>
        <v>2303361.0600000005</v>
      </c>
      <c r="CD176" s="90" t="str">
        <f>IF(LEN(BR176)&gt;0,"70%","")</f>
        <v/>
      </c>
      <c r="CE176" s="90">
        <f>BS176</f>
        <v>181760</v>
      </c>
      <c r="CF176" s="90" t="str">
        <f>CA176</f>
        <v/>
      </c>
      <c r="CG176" s="90"/>
      <c r="CH176" s="90"/>
      <c r="CI176" s="90"/>
      <c r="CJ176" s="90"/>
      <c r="CK176" s="90"/>
      <c r="CL176" s="90"/>
      <c r="CM176" s="90"/>
      <c r="CN176" s="90"/>
      <c r="CO176" s="90"/>
      <c r="CP176" s="90"/>
      <c r="CQ176" s="90"/>
      <c r="CR176" s="90"/>
      <c r="CS176" s="90"/>
      <c r="CT176" s="137"/>
    </row>
    <row r="177" spans="1:98" ht="210">
      <c r="A177" s="89">
        <v>182448</v>
      </c>
      <c r="B177" s="90">
        <v>2020</v>
      </c>
      <c r="C177" s="90" t="s">
        <v>81</v>
      </c>
      <c r="D177" s="90" t="s">
        <v>695</v>
      </c>
      <c r="E177" s="125" t="s">
        <v>696</v>
      </c>
      <c r="F177" s="24" t="s">
        <v>697</v>
      </c>
      <c r="G177" s="90" t="s">
        <v>85</v>
      </c>
      <c r="H177" s="90" t="s">
        <v>150</v>
      </c>
      <c r="I177" s="90">
        <v>93</v>
      </c>
      <c r="J177" s="90">
        <v>157</v>
      </c>
      <c r="K177" s="90" t="s">
        <v>85</v>
      </c>
      <c r="L177" s="90" t="s">
        <v>698</v>
      </c>
      <c r="M177" s="90" t="s">
        <v>119</v>
      </c>
      <c r="N177" s="24" t="s">
        <v>699</v>
      </c>
      <c r="O177" s="24" t="str">
        <f>IF(ISNUMBER(SEARCH("Cancer",N177)),"Cancer",IF(ISNUMBER(SEARCH("health",N177)),"Public health",IF(ISNUMBER(SEARCH("disabilities",N177)),"Disabilities","Other")))</f>
        <v>Other</v>
      </c>
      <c r="P177" s="126">
        <v>1607281</v>
      </c>
      <c r="Q177" s="90" t="s">
        <v>85</v>
      </c>
      <c r="R177" s="90" t="str">
        <f>IF(P177&gt;20000000,"B","A")</f>
        <v>A</v>
      </c>
      <c r="S177" s="90" t="s">
        <v>90</v>
      </c>
      <c r="T177" s="90" t="s">
        <v>119</v>
      </c>
      <c r="U177" s="90" t="s">
        <v>119</v>
      </c>
      <c r="V177" s="90" t="s">
        <v>119</v>
      </c>
      <c r="W177" s="90" t="s">
        <v>119</v>
      </c>
      <c r="X177" s="90" t="s">
        <v>119</v>
      </c>
      <c r="Y177" s="90" t="s">
        <v>119</v>
      </c>
      <c r="Z177" s="90" t="s">
        <v>119</v>
      </c>
      <c r="AA177" s="90" t="s">
        <v>119</v>
      </c>
      <c r="AB177" s="90" t="s">
        <v>119</v>
      </c>
      <c r="AC177" s="90" t="s">
        <v>119</v>
      </c>
      <c r="AD177" s="90" t="s">
        <v>119</v>
      </c>
      <c r="AE177" s="24">
        <v>0</v>
      </c>
      <c r="AF177" s="90">
        <v>0</v>
      </c>
      <c r="AG177" s="24">
        <v>0</v>
      </c>
      <c r="AH177" s="90">
        <v>89615</v>
      </c>
      <c r="AI177" s="24" t="s">
        <v>94</v>
      </c>
      <c r="AJ177" s="24" t="s">
        <v>700</v>
      </c>
      <c r="AK177" s="90" t="s">
        <v>85</v>
      </c>
      <c r="AL177" s="90">
        <v>182448</v>
      </c>
      <c r="AM177" s="90" t="s">
        <v>81</v>
      </c>
      <c r="AN177" s="90" t="s">
        <v>695</v>
      </c>
      <c r="AO177" s="125" t="s">
        <v>696</v>
      </c>
      <c r="AP177" s="24" t="s">
        <v>699</v>
      </c>
      <c r="AQ177" s="90" t="s">
        <v>698</v>
      </c>
      <c r="AR177" s="24" t="s">
        <v>699</v>
      </c>
      <c r="AS177" s="90" t="s">
        <v>119</v>
      </c>
      <c r="AT177" s="24" t="s">
        <v>94</v>
      </c>
      <c r="AU177" s="90" t="s">
        <v>119</v>
      </c>
      <c r="AV177" s="90" t="str">
        <f>IF(ISNUMBER(SEARCH("disagree",AE177)),"N","Y")</f>
        <v>Y</v>
      </c>
      <c r="AW177" s="90" t="s">
        <v>119</v>
      </c>
      <c r="AX177" s="24" t="s">
        <v>119</v>
      </c>
      <c r="AY177" s="90" t="str">
        <f>CONCATENATE(AZ177,BA177,BB177,BC177)</f>
        <v/>
      </c>
      <c r="AZ177" s="90" t="str">
        <f>IF(ISNUMBER(SEARCH("Y",AC177)),"R","")</f>
        <v/>
      </c>
      <c r="BA177" s="90" t="str">
        <f>IF(ISNUMBER(SEARCH("Y",Y177)),"M","")</f>
        <v/>
      </c>
      <c r="BB177" s="90" t="str">
        <f>IF(ISNUMBER(SEARCH("Y",AB177)),"QC","")</f>
        <v/>
      </c>
      <c r="BC177" s="90" t="str">
        <f>IF(ISNUMBER(SEARCH("Y",Z177)),"S","")</f>
        <v/>
      </c>
      <c r="BD177" s="90"/>
      <c r="BE177" s="24" t="s">
        <v>119</v>
      </c>
      <c r="BF177" s="125" t="str">
        <f>IF(AND(AW177&gt;=56543,AW177&lt;=76543,LEN(AW177)&gt;0),"3 Feb 2020",IF(AND(AW177&gt;=66544,AW177&lt;=99999,LEN(AW177)&gt;0),"12 Sep 2020",""))</f>
        <v/>
      </c>
      <c r="BG177" s="125" t="str">
        <f>IF((AND(BF177="3 Feb 2020",LEN(BF177)&gt;0)),"Completed",IF((AND(BF177="12 Sep 2020",LEN(BF177)&gt;0)),"Pending",""))</f>
        <v/>
      </c>
      <c r="BH177" s="90" t="str">
        <f>IF((AND(BF177="3 Feb 2020",LEN(BF177)&gt;0)),"3 Feb 2020","")</f>
        <v/>
      </c>
      <c r="BI177" s="90">
        <v>182448</v>
      </c>
      <c r="BJ177" s="90" t="str">
        <f>L177</f>
        <v>9C31BS89816-25</v>
      </c>
      <c r="BK177" s="127">
        <v>43508</v>
      </c>
      <c r="BL177" s="127">
        <v>44239</v>
      </c>
      <c r="BM177" s="128">
        <f>P177*1.1</f>
        <v>1768009.1</v>
      </c>
      <c r="BN177" s="129">
        <f>P177*0.9</f>
        <v>1446552.9000000001</v>
      </c>
      <c r="BO177" s="130">
        <f>P177*0.8</f>
        <v>1285824.8</v>
      </c>
      <c r="BP177" s="90">
        <f>IF(Z177="Y",BM177*0.4,BM177*1.05)</f>
        <v>1856409.5550000002</v>
      </c>
      <c r="BQ177" s="90">
        <f>BP177*0.8</f>
        <v>1485127.6440000003</v>
      </c>
      <c r="BR177" s="90" t="str">
        <f>IF(ISNUMBER(SEARCH("subrecipient",AI173)),P177*0.6,"")</f>
        <v/>
      </c>
      <c r="BS177" s="90">
        <v>182448</v>
      </c>
      <c r="BT177" s="90" t="str">
        <f>BJ177</f>
        <v>9C31BS89816-25</v>
      </c>
      <c r="BU177" s="127">
        <f>BK177</f>
        <v>43508</v>
      </c>
      <c r="BV177" s="127">
        <f>BL177</f>
        <v>44239</v>
      </c>
      <c r="BW177" s="90" t="str">
        <f>H177</f>
        <v>ACF</v>
      </c>
      <c r="BX177" s="90" t="str">
        <f>IF(H177="NATIONAL HEMOPHILIA FOUNDATION","Non Federal","Federal")</f>
        <v>Federal</v>
      </c>
      <c r="BY177" s="128">
        <f>BM177</f>
        <v>1768009.1</v>
      </c>
      <c r="BZ177" s="90" t="str">
        <f>IF(LEN(BR177)&gt;0,1,"")</f>
        <v/>
      </c>
      <c r="CA177" s="90" t="str">
        <f>IF(LEN(BR177)&gt;0,"VIRAL HEPATITIS PROJECT","")</f>
        <v/>
      </c>
      <c r="CB177" s="129" t="str">
        <f>IF(LEN(BR177)&gt;0,BM177*0.7,"")</f>
        <v/>
      </c>
      <c r="CC177" s="90">
        <f>BP177</f>
        <v>1856409.5550000002</v>
      </c>
      <c r="CD177" s="90" t="str">
        <f>IF(LEN(BR177)&gt;0,"70%","")</f>
        <v/>
      </c>
      <c r="CE177" s="90">
        <f>BS177</f>
        <v>182448</v>
      </c>
      <c r="CF177" s="90" t="str">
        <f>CA177</f>
        <v/>
      </c>
      <c r="CG177" s="90"/>
      <c r="CH177" s="90"/>
      <c r="CI177" s="90"/>
      <c r="CJ177" s="90"/>
      <c r="CK177" s="90"/>
      <c r="CL177" s="90"/>
      <c r="CM177" s="90"/>
      <c r="CN177" s="90"/>
      <c r="CO177" s="90"/>
      <c r="CP177" s="90"/>
      <c r="CQ177" s="90"/>
      <c r="CR177" s="90"/>
      <c r="CS177" s="90"/>
      <c r="CT177" s="137"/>
    </row>
    <row r="178" spans="1:98" ht="210">
      <c r="A178" s="89">
        <v>182448</v>
      </c>
      <c r="B178" s="90">
        <v>2020</v>
      </c>
      <c r="C178" s="90" t="s">
        <v>81</v>
      </c>
      <c r="D178" s="90" t="s">
        <v>695</v>
      </c>
      <c r="E178" s="125" t="s">
        <v>701</v>
      </c>
      <c r="F178" s="24" t="s">
        <v>697</v>
      </c>
      <c r="G178" s="90" t="s">
        <v>85</v>
      </c>
      <c r="H178" s="90" t="s">
        <v>150</v>
      </c>
      <c r="I178" s="90">
        <v>93</v>
      </c>
      <c r="J178" s="90">
        <v>157</v>
      </c>
      <c r="K178" s="90" t="s">
        <v>85</v>
      </c>
      <c r="L178" s="90" t="s">
        <v>698</v>
      </c>
      <c r="M178" s="90" t="s">
        <v>119</v>
      </c>
      <c r="N178" s="24" t="s">
        <v>699</v>
      </c>
      <c r="O178" s="24" t="str">
        <f>IF(ISNUMBER(SEARCH("Cancer",N178)),"Cancer",IF(ISNUMBER(SEARCH("health",N178)),"Public health",IF(ISNUMBER(SEARCH("disabilities",N178)),"Disabilities","Other")))</f>
        <v>Other</v>
      </c>
      <c r="P178" s="126">
        <v>1607281</v>
      </c>
      <c r="Q178" s="90" t="s">
        <v>85</v>
      </c>
      <c r="R178" s="90" t="str">
        <f>IF(P178&gt;20000000,"B","A")</f>
        <v>A</v>
      </c>
      <c r="S178" s="90" t="s">
        <v>90</v>
      </c>
      <c r="T178" s="90" t="s">
        <v>119</v>
      </c>
      <c r="U178" s="90" t="s">
        <v>119</v>
      </c>
      <c r="V178" s="90" t="s">
        <v>119</v>
      </c>
      <c r="W178" s="90" t="s">
        <v>119</v>
      </c>
      <c r="X178" s="90" t="s">
        <v>119</v>
      </c>
      <c r="Y178" s="90" t="s">
        <v>119</v>
      </c>
      <c r="Z178" s="90" t="s">
        <v>119</v>
      </c>
      <c r="AA178" s="90" t="s">
        <v>119</v>
      </c>
      <c r="AB178" s="90" t="s">
        <v>119</v>
      </c>
      <c r="AC178" s="90" t="s">
        <v>119</v>
      </c>
      <c r="AD178" s="90" t="s">
        <v>119</v>
      </c>
      <c r="AE178" s="24">
        <v>0</v>
      </c>
      <c r="AF178" s="90">
        <v>0</v>
      </c>
      <c r="AG178" s="24">
        <v>0</v>
      </c>
      <c r="AH178" s="90">
        <v>89616</v>
      </c>
      <c r="AI178" s="24" t="s">
        <v>102</v>
      </c>
      <c r="AJ178" s="24" t="s">
        <v>103</v>
      </c>
      <c r="AK178" s="90" t="s">
        <v>85</v>
      </c>
      <c r="AL178" s="90">
        <v>182448</v>
      </c>
      <c r="AM178" s="90" t="s">
        <v>81</v>
      </c>
      <c r="AN178" s="90" t="s">
        <v>695</v>
      </c>
      <c r="AO178" s="125" t="s">
        <v>701</v>
      </c>
      <c r="AP178" s="24" t="s">
        <v>699</v>
      </c>
      <c r="AQ178" s="90" t="s">
        <v>698</v>
      </c>
      <c r="AR178" s="24" t="s">
        <v>699</v>
      </c>
      <c r="AS178" s="90" t="s">
        <v>119</v>
      </c>
      <c r="AT178" s="24" t="s">
        <v>102</v>
      </c>
      <c r="AU178" s="90" t="s">
        <v>119</v>
      </c>
      <c r="AV178" s="90" t="str">
        <f>IF(ISNUMBER(SEARCH("disagree",AE178)),"N","Y")</f>
        <v>Y</v>
      </c>
      <c r="AW178" s="90" t="s">
        <v>119</v>
      </c>
      <c r="AX178" s="24" t="s">
        <v>119</v>
      </c>
      <c r="AY178" s="90" t="str">
        <f>CONCATENATE(AZ178,BA178,BB178,BC178)</f>
        <v/>
      </c>
      <c r="AZ178" s="90" t="str">
        <f>IF(ISNUMBER(SEARCH("Y",AC178)),"R","")</f>
        <v/>
      </c>
      <c r="BA178" s="90" t="str">
        <f>IF(ISNUMBER(SEARCH("Y",Y178)),"M","")</f>
        <v/>
      </c>
      <c r="BB178" s="90" t="str">
        <f>IF(ISNUMBER(SEARCH("Y",AB178)),"QC","")</f>
        <v/>
      </c>
      <c r="BC178" s="90" t="str">
        <f>IF(ISNUMBER(SEARCH("Y",Z178)),"S","")</f>
        <v/>
      </c>
      <c r="BD178" s="90"/>
      <c r="BE178" s="24" t="s">
        <v>119</v>
      </c>
      <c r="BF178" s="125" t="str">
        <f>IF(AND(AW178&gt;=56543,AW178&lt;=76543,LEN(AW178)&gt;0),"3 Feb 2020",IF(AND(AW178&gt;=66544,AW178&lt;=99999,LEN(AW178)&gt;0),"12 Sep 2020",""))</f>
        <v/>
      </c>
      <c r="BG178" s="125" t="str">
        <f>IF((AND(BF178="3 Feb 2020",LEN(BF178)&gt;0)),"Completed",IF((AND(BF178="12 Sep 2020",LEN(BF178)&gt;0)),"Pending",""))</f>
        <v/>
      </c>
      <c r="BH178" s="90" t="str">
        <f>IF((AND(BF178="3 Feb 2020",LEN(BF178)&gt;0)),"3 Feb 2020","")</f>
        <v/>
      </c>
      <c r="BI178" s="90">
        <v>182448</v>
      </c>
      <c r="BJ178" s="90" t="str">
        <f>L178</f>
        <v>9C31BS89816-25</v>
      </c>
      <c r="BK178" s="127">
        <v>43508</v>
      </c>
      <c r="BL178" s="127">
        <v>44239</v>
      </c>
      <c r="BM178" s="128">
        <f>P178*1.1</f>
        <v>1768009.1</v>
      </c>
      <c r="BN178" s="129">
        <f>P178*0.9</f>
        <v>1446552.9000000001</v>
      </c>
      <c r="BO178" s="130">
        <f>P178*0.8</f>
        <v>1285824.8</v>
      </c>
      <c r="BP178" s="90">
        <f>IF(Z178="Y",BM178*0.4,BM178*1.05)</f>
        <v>1856409.5550000002</v>
      </c>
      <c r="BQ178" s="90">
        <f>BP178*0.8</f>
        <v>1485127.6440000003</v>
      </c>
      <c r="BR178" s="90" t="str">
        <f>IF(ISNUMBER(SEARCH("subrecipient",AI174)),P178*0.6,"")</f>
        <v/>
      </c>
      <c r="BS178" s="90">
        <v>182448</v>
      </c>
      <c r="BT178" s="90" t="str">
        <f>BJ178</f>
        <v>9C31BS89816-25</v>
      </c>
      <c r="BU178" s="127">
        <f>BK178</f>
        <v>43508</v>
      </c>
      <c r="BV178" s="127">
        <f>BL178</f>
        <v>44239</v>
      </c>
      <c r="BW178" s="90" t="str">
        <f>H178</f>
        <v>ACF</v>
      </c>
      <c r="BX178" s="90" t="str">
        <f>IF(H178="NATIONAL HEMOPHILIA FOUNDATION","Non Federal","Federal")</f>
        <v>Federal</v>
      </c>
      <c r="BY178" s="128">
        <f>BM178</f>
        <v>1768009.1</v>
      </c>
      <c r="BZ178" s="90" t="str">
        <f>IF(LEN(BR178)&gt;0,1,"")</f>
        <v/>
      </c>
      <c r="CA178" s="90" t="str">
        <f>IF(LEN(BR178)&gt;0,"VIRAL HEPATITIS PROJECT","")</f>
        <v/>
      </c>
      <c r="CB178" s="129" t="str">
        <f>IF(LEN(BR178)&gt;0,BM178*0.7,"")</f>
        <v/>
      </c>
      <c r="CC178" s="90">
        <f>BP178</f>
        <v>1856409.5550000002</v>
      </c>
      <c r="CD178" s="90" t="str">
        <f>IF(LEN(BR178)&gt;0,"70%","")</f>
        <v/>
      </c>
      <c r="CE178" s="90">
        <f>BS178</f>
        <v>182448</v>
      </c>
      <c r="CF178" s="90" t="str">
        <f>CA178</f>
        <v/>
      </c>
      <c r="CG178" s="90"/>
      <c r="CH178" s="90"/>
      <c r="CI178" s="90"/>
      <c r="CJ178" s="90"/>
      <c r="CK178" s="90"/>
      <c r="CL178" s="90"/>
      <c r="CM178" s="90"/>
      <c r="CN178" s="90"/>
      <c r="CO178" s="90"/>
      <c r="CP178" s="90"/>
      <c r="CQ178" s="90"/>
      <c r="CR178" s="90"/>
      <c r="CS178" s="90"/>
      <c r="CT178" s="137"/>
    </row>
    <row r="179" spans="1:98" ht="210">
      <c r="A179" s="89">
        <v>182448</v>
      </c>
      <c r="B179" s="90">
        <v>2020</v>
      </c>
      <c r="C179" s="90" t="s">
        <v>81</v>
      </c>
      <c r="D179" s="90" t="s">
        <v>695</v>
      </c>
      <c r="E179" s="125" t="s">
        <v>702</v>
      </c>
      <c r="F179" s="24" t="s">
        <v>697</v>
      </c>
      <c r="G179" s="90" t="s">
        <v>85</v>
      </c>
      <c r="H179" s="90" t="s">
        <v>150</v>
      </c>
      <c r="I179" s="90">
        <v>93</v>
      </c>
      <c r="J179" s="90">
        <v>157</v>
      </c>
      <c r="K179" s="90" t="s">
        <v>85</v>
      </c>
      <c r="L179" s="90" t="s">
        <v>698</v>
      </c>
      <c r="M179" s="90" t="s">
        <v>119</v>
      </c>
      <c r="N179" s="24" t="s">
        <v>699</v>
      </c>
      <c r="O179" s="24" t="str">
        <f>IF(ISNUMBER(SEARCH("Cancer",N179)),"Cancer",IF(ISNUMBER(SEARCH("health",N179)),"Public health",IF(ISNUMBER(SEARCH("disabilities",N179)),"Disabilities","Other")))</f>
        <v>Other</v>
      </c>
      <c r="P179" s="126">
        <v>1607281</v>
      </c>
      <c r="Q179" s="90" t="s">
        <v>85</v>
      </c>
      <c r="R179" s="90" t="str">
        <f>IF(P179&gt;20000000,"B","A")</f>
        <v>A</v>
      </c>
      <c r="S179" s="90" t="s">
        <v>90</v>
      </c>
      <c r="T179" s="90" t="s">
        <v>119</v>
      </c>
      <c r="U179" s="90" t="s">
        <v>119</v>
      </c>
      <c r="V179" s="90" t="s">
        <v>119</v>
      </c>
      <c r="W179" s="90" t="s">
        <v>119</v>
      </c>
      <c r="X179" s="90" t="s">
        <v>119</v>
      </c>
      <c r="Y179" s="90" t="s">
        <v>119</v>
      </c>
      <c r="Z179" s="90" t="s">
        <v>119</v>
      </c>
      <c r="AA179" s="90" t="s">
        <v>119</v>
      </c>
      <c r="AB179" s="90" t="s">
        <v>119</v>
      </c>
      <c r="AC179" s="90" t="s">
        <v>119</v>
      </c>
      <c r="AD179" s="90" t="s">
        <v>119</v>
      </c>
      <c r="AE179" s="24">
        <v>0</v>
      </c>
      <c r="AF179" s="90">
        <v>0</v>
      </c>
      <c r="AG179" s="24">
        <v>0</v>
      </c>
      <c r="AH179" s="90">
        <v>89617</v>
      </c>
      <c r="AI179" s="24" t="s">
        <v>110</v>
      </c>
      <c r="AJ179" s="24" t="s">
        <v>703</v>
      </c>
      <c r="AK179" s="90" t="s">
        <v>85</v>
      </c>
      <c r="AL179" s="90">
        <v>182448</v>
      </c>
      <c r="AM179" s="90" t="s">
        <v>81</v>
      </c>
      <c r="AN179" s="90" t="s">
        <v>695</v>
      </c>
      <c r="AO179" s="125" t="s">
        <v>702</v>
      </c>
      <c r="AP179" s="24" t="s">
        <v>699</v>
      </c>
      <c r="AQ179" s="90" t="s">
        <v>698</v>
      </c>
      <c r="AR179" s="24" t="s">
        <v>699</v>
      </c>
      <c r="AS179" s="90" t="s">
        <v>119</v>
      </c>
      <c r="AT179" s="24" t="s">
        <v>110</v>
      </c>
      <c r="AU179" s="90" t="s">
        <v>119</v>
      </c>
      <c r="AV179" s="90" t="str">
        <f>IF(ISNUMBER(SEARCH("disagree",AE179)),"N","Y")</f>
        <v>Y</v>
      </c>
      <c r="AW179" s="90" t="s">
        <v>119</v>
      </c>
      <c r="AX179" s="24" t="s">
        <v>119</v>
      </c>
      <c r="AY179" s="90" t="str">
        <f>CONCATENATE(AZ179,BA179,BB179,BC179)</f>
        <v/>
      </c>
      <c r="AZ179" s="90" t="str">
        <f>IF(ISNUMBER(SEARCH("Y",AC179)),"R","")</f>
        <v/>
      </c>
      <c r="BA179" s="90" t="str">
        <f>IF(ISNUMBER(SEARCH("Y",Y179)),"M","")</f>
        <v/>
      </c>
      <c r="BB179" s="90" t="str">
        <f>IF(ISNUMBER(SEARCH("Y",AB179)),"QC","")</f>
        <v/>
      </c>
      <c r="BC179" s="90" t="str">
        <f>IF(ISNUMBER(SEARCH("Y",Z179)),"S","")</f>
        <v/>
      </c>
      <c r="BD179" s="90"/>
      <c r="BE179" s="24" t="s">
        <v>119</v>
      </c>
      <c r="BF179" s="125" t="str">
        <f>IF(AND(AW179&gt;=56543,AW179&lt;=76543,LEN(AW179)&gt;0),"3 Feb 2020",IF(AND(AW179&gt;=66544,AW179&lt;=99999,LEN(AW179)&gt;0),"12 Sep 2020",""))</f>
        <v/>
      </c>
      <c r="BG179" s="125" t="str">
        <f>IF((AND(BF179="3 Feb 2020",LEN(BF179)&gt;0)),"Completed",IF((AND(BF179="12 Sep 2020",LEN(BF179)&gt;0)),"Pending",""))</f>
        <v/>
      </c>
      <c r="BH179" s="90" t="str">
        <f>IF((AND(BF179="3 Feb 2020",LEN(BF179)&gt;0)),"3 Feb 2020","")</f>
        <v/>
      </c>
      <c r="BI179" s="90">
        <v>182448</v>
      </c>
      <c r="BJ179" s="90" t="str">
        <f>L179</f>
        <v>9C31BS89816-25</v>
      </c>
      <c r="BK179" s="127">
        <v>43508</v>
      </c>
      <c r="BL179" s="127">
        <v>44239</v>
      </c>
      <c r="BM179" s="128">
        <f>P179*1.1</f>
        <v>1768009.1</v>
      </c>
      <c r="BN179" s="129">
        <f>P179*0.9</f>
        <v>1446552.9000000001</v>
      </c>
      <c r="BO179" s="130">
        <f>P179*0.8</f>
        <v>1285824.8</v>
      </c>
      <c r="BP179" s="90">
        <f>IF(Z179="Y",BM179*0.4,BM179*1.05)</f>
        <v>1856409.5550000002</v>
      </c>
      <c r="BQ179" s="90">
        <f>BP179*0.8</f>
        <v>1485127.6440000003</v>
      </c>
      <c r="BR179" s="90" t="str">
        <f>IF(ISNUMBER(SEARCH("subrecipient",AI175)),P179*0.6,"")</f>
        <v/>
      </c>
      <c r="BS179" s="90">
        <v>182448</v>
      </c>
      <c r="BT179" s="90" t="str">
        <f>BJ179</f>
        <v>9C31BS89816-25</v>
      </c>
      <c r="BU179" s="127">
        <f>BK179</f>
        <v>43508</v>
      </c>
      <c r="BV179" s="127">
        <f>BL179</f>
        <v>44239</v>
      </c>
      <c r="BW179" s="90" t="str">
        <f>H179</f>
        <v>ACF</v>
      </c>
      <c r="BX179" s="90" t="str">
        <f>IF(H179="NATIONAL HEMOPHILIA FOUNDATION","Non Federal","Federal")</f>
        <v>Federal</v>
      </c>
      <c r="BY179" s="128">
        <f>BM179</f>
        <v>1768009.1</v>
      </c>
      <c r="BZ179" s="90" t="str">
        <f>IF(LEN(BR179)&gt;0,1,"")</f>
        <v/>
      </c>
      <c r="CA179" s="90" t="str">
        <f>IF(LEN(BR179)&gt;0,"VIRAL HEPATITIS PROJECT","")</f>
        <v/>
      </c>
      <c r="CB179" s="129" t="str">
        <f>IF(LEN(BR179)&gt;0,BM179*0.7,"")</f>
        <v/>
      </c>
      <c r="CC179" s="90">
        <f>BP179</f>
        <v>1856409.5550000002</v>
      </c>
      <c r="CD179" s="90" t="str">
        <f>IF(LEN(BR179)&gt;0,"70%","")</f>
        <v/>
      </c>
      <c r="CE179" s="90">
        <f>BS179</f>
        <v>182448</v>
      </c>
      <c r="CF179" s="90" t="str">
        <f>CA179</f>
        <v/>
      </c>
      <c r="CG179" s="90"/>
      <c r="CH179" s="90"/>
      <c r="CI179" s="90"/>
      <c r="CJ179" s="90"/>
      <c r="CK179" s="90"/>
      <c r="CL179" s="90"/>
      <c r="CM179" s="90"/>
      <c r="CN179" s="90"/>
      <c r="CO179" s="90"/>
      <c r="CP179" s="90"/>
      <c r="CQ179" s="90"/>
      <c r="CR179" s="90"/>
      <c r="CS179" s="90"/>
      <c r="CT179" s="137"/>
    </row>
    <row r="180" spans="1:98" ht="225">
      <c r="A180" s="89">
        <v>182528</v>
      </c>
      <c r="B180" s="90">
        <v>2020</v>
      </c>
      <c r="C180" s="90" t="s">
        <v>81</v>
      </c>
      <c r="D180" s="90" t="s">
        <v>704</v>
      </c>
      <c r="E180" s="125" t="s">
        <v>705</v>
      </c>
      <c r="F180" s="24" t="s">
        <v>706</v>
      </c>
      <c r="G180" s="90" t="s">
        <v>85</v>
      </c>
      <c r="H180" s="90" t="s">
        <v>86</v>
      </c>
      <c r="I180" s="90">
        <v>93</v>
      </c>
      <c r="J180" s="90">
        <v>157</v>
      </c>
      <c r="K180" s="90" t="s">
        <v>85</v>
      </c>
      <c r="L180" s="90" t="s">
        <v>707</v>
      </c>
      <c r="M180" s="90" t="s">
        <v>119</v>
      </c>
      <c r="N180" s="24" t="s">
        <v>708</v>
      </c>
      <c r="O180" s="24" t="str">
        <f>IF(ISNUMBER(SEARCH("Cancer",N180)),"Cancer",IF(ISNUMBER(SEARCH("health",N180)),"Public health",IF(ISNUMBER(SEARCH("disabilities",N180)),"Disabilities","Other")))</f>
        <v>Other</v>
      </c>
      <c r="P180" s="126">
        <v>1821066</v>
      </c>
      <c r="Q180" s="90" t="s">
        <v>85</v>
      </c>
      <c r="R180" s="90" t="str">
        <f>IF(P180&gt;20000000,"B","A")</f>
        <v>A</v>
      </c>
      <c r="S180" s="90" t="s">
        <v>90</v>
      </c>
      <c r="T180" s="90" t="s">
        <v>119</v>
      </c>
      <c r="U180" s="90" t="s">
        <v>119</v>
      </c>
      <c r="V180" s="90" t="s">
        <v>119</v>
      </c>
      <c r="W180" s="90" t="s">
        <v>119</v>
      </c>
      <c r="X180" s="90" t="s">
        <v>119</v>
      </c>
      <c r="Y180" s="90" t="s">
        <v>119</v>
      </c>
      <c r="Z180" s="90" t="s">
        <v>119</v>
      </c>
      <c r="AA180" s="90" t="s">
        <v>119</v>
      </c>
      <c r="AB180" s="90" t="s">
        <v>119</v>
      </c>
      <c r="AC180" s="90" t="s">
        <v>119</v>
      </c>
      <c r="AD180" s="90" t="s">
        <v>119</v>
      </c>
      <c r="AE180" s="24">
        <v>0</v>
      </c>
      <c r="AF180" s="90">
        <v>0</v>
      </c>
      <c r="AG180" s="24">
        <v>0</v>
      </c>
      <c r="AH180" s="90">
        <v>89342</v>
      </c>
      <c r="AI180" s="24" t="s">
        <v>94</v>
      </c>
      <c r="AJ180" s="24" t="s">
        <v>709</v>
      </c>
      <c r="AK180" s="90" t="s">
        <v>85</v>
      </c>
      <c r="AL180" s="90">
        <v>182528</v>
      </c>
      <c r="AM180" s="90" t="s">
        <v>81</v>
      </c>
      <c r="AN180" s="90" t="s">
        <v>704</v>
      </c>
      <c r="AO180" s="125" t="s">
        <v>705</v>
      </c>
      <c r="AP180" s="24" t="s">
        <v>708</v>
      </c>
      <c r="AQ180" s="90" t="s">
        <v>707</v>
      </c>
      <c r="AR180" s="24" t="s">
        <v>708</v>
      </c>
      <c r="AS180" s="90" t="s">
        <v>119</v>
      </c>
      <c r="AT180" s="24" t="s">
        <v>94</v>
      </c>
      <c r="AU180" s="90" t="s">
        <v>119</v>
      </c>
      <c r="AV180" s="90" t="str">
        <f>IF(ISNUMBER(SEARCH("disagree",AE180)),"N","Y")</f>
        <v>Y</v>
      </c>
      <c r="AW180" s="90" t="s">
        <v>119</v>
      </c>
      <c r="AX180" s="24" t="s">
        <v>119</v>
      </c>
      <c r="AY180" s="90" t="str">
        <f>CONCATENATE(AZ180,BA180,BB180,BC180)</f>
        <v/>
      </c>
      <c r="AZ180" s="90" t="str">
        <f>IF(ISNUMBER(SEARCH("Y",AC180)),"R","")</f>
        <v/>
      </c>
      <c r="BA180" s="90" t="str">
        <f>IF(ISNUMBER(SEARCH("Y",Y180)),"M","")</f>
        <v/>
      </c>
      <c r="BB180" s="90" t="str">
        <f>IF(ISNUMBER(SEARCH("Y",AB180)),"QC","")</f>
        <v/>
      </c>
      <c r="BC180" s="90" t="str">
        <f>IF(ISNUMBER(SEARCH("Y",Z180)),"S","")</f>
        <v/>
      </c>
      <c r="BD180" s="90"/>
      <c r="BE180" s="24" t="s">
        <v>119</v>
      </c>
      <c r="BF180" s="125" t="str">
        <f>IF(AND(AW180&gt;=56543,AW180&lt;=76543,LEN(AW180)&gt;0),"3 Feb 2020",IF(AND(AW180&gt;=66544,AW180&lt;=99999,LEN(AW180)&gt;0),"12 Sep 2020",""))</f>
        <v/>
      </c>
      <c r="BG180" s="125" t="str">
        <f>IF((AND(BF180="3 Feb 2020",LEN(BF180)&gt;0)),"Completed",IF((AND(BF180="12 Sep 2020",LEN(BF180)&gt;0)),"Pending",""))</f>
        <v/>
      </c>
      <c r="BH180" s="90" t="str">
        <f>IF((AND(BF180="3 Feb 2020",LEN(BF180)&gt;0)),"3 Feb 2020","")</f>
        <v/>
      </c>
      <c r="BI180" s="90">
        <v>182528</v>
      </c>
      <c r="BJ180" s="90" t="str">
        <f>L180</f>
        <v>8C54DS88995-36</v>
      </c>
      <c r="BK180" s="127">
        <v>43508</v>
      </c>
      <c r="BL180" s="127">
        <v>44239</v>
      </c>
      <c r="BM180" s="128">
        <f>P180*1.1</f>
        <v>2003172.6</v>
      </c>
      <c r="BN180" s="129">
        <f>P180*0.9</f>
        <v>1638959.4000000001</v>
      </c>
      <c r="BO180" s="130">
        <f>P180*0.8</f>
        <v>1456852.8</v>
      </c>
      <c r="BP180" s="90">
        <f>IF(Z180="Y",BM180*0.4,BM180*1.05)</f>
        <v>2103331.23</v>
      </c>
      <c r="BQ180" s="90">
        <f>BP180*0.8</f>
        <v>1682664.9840000002</v>
      </c>
      <c r="BR180" s="90" t="str">
        <f>IF(ISNUMBER(SEARCH("subrecipient",AI176)),P180*0.6,"")</f>
        <v/>
      </c>
      <c r="BS180" s="90">
        <v>182528</v>
      </c>
      <c r="BT180" s="90" t="str">
        <f>BJ180</f>
        <v>8C54DS88995-36</v>
      </c>
      <c r="BU180" s="127">
        <f>BK180</f>
        <v>43508</v>
      </c>
      <c r="BV180" s="127">
        <f>BL180</f>
        <v>44239</v>
      </c>
      <c r="BW180" s="90" t="str">
        <f>H180</f>
        <v>CDC</v>
      </c>
      <c r="BX180" s="90" t="str">
        <f>IF(H180="NATIONAL HEMOPHILIA FOUNDATION","Non Federal","Federal")</f>
        <v>Federal</v>
      </c>
      <c r="BY180" s="128">
        <f>BM180</f>
        <v>2003172.6</v>
      </c>
      <c r="BZ180" s="90" t="str">
        <f>IF(LEN(BR180)&gt;0,1,"")</f>
        <v/>
      </c>
      <c r="CA180" s="90" t="str">
        <f>IF(LEN(BR180)&gt;0,"VIRAL HEPATITIS PROJECT","")</f>
        <v/>
      </c>
      <c r="CB180" s="129" t="str">
        <f>IF(LEN(BR180)&gt;0,BM180*0.7,"")</f>
        <v/>
      </c>
      <c r="CC180" s="90">
        <f>BP180</f>
        <v>2103331.23</v>
      </c>
      <c r="CD180" s="90" t="str">
        <f>IF(LEN(BR180)&gt;0,"70%","")</f>
        <v/>
      </c>
      <c r="CE180" s="90">
        <f>BS180</f>
        <v>182528</v>
      </c>
      <c r="CF180" s="90" t="str">
        <f>CA180</f>
        <v/>
      </c>
      <c r="CG180" s="90"/>
      <c r="CH180" s="90"/>
      <c r="CI180" s="90"/>
      <c r="CJ180" s="90"/>
      <c r="CK180" s="90"/>
      <c r="CL180" s="90"/>
      <c r="CM180" s="90"/>
      <c r="CN180" s="90"/>
      <c r="CO180" s="90"/>
      <c r="CP180" s="90"/>
      <c r="CQ180" s="90"/>
      <c r="CR180" s="90"/>
      <c r="CS180" s="90"/>
      <c r="CT180" s="137"/>
    </row>
    <row r="181" spans="1:98" ht="135">
      <c r="A181" s="89">
        <v>182528</v>
      </c>
      <c r="B181" s="90">
        <v>2020</v>
      </c>
      <c r="C181" s="90" t="s">
        <v>81</v>
      </c>
      <c r="D181" s="90" t="s">
        <v>704</v>
      </c>
      <c r="E181" s="125" t="s">
        <v>710</v>
      </c>
      <c r="F181" s="24" t="s">
        <v>706</v>
      </c>
      <c r="G181" s="90" t="s">
        <v>85</v>
      </c>
      <c r="H181" s="90" t="s">
        <v>86</v>
      </c>
      <c r="I181" s="90">
        <v>93</v>
      </c>
      <c r="J181" s="90">
        <v>157</v>
      </c>
      <c r="K181" s="90" t="s">
        <v>85</v>
      </c>
      <c r="L181" s="90" t="s">
        <v>707</v>
      </c>
      <c r="M181" s="90" t="s">
        <v>119</v>
      </c>
      <c r="N181" s="24" t="s">
        <v>708</v>
      </c>
      <c r="O181" s="24" t="str">
        <f>IF(ISNUMBER(SEARCH("Cancer",N181)),"Cancer",IF(ISNUMBER(SEARCH("health",N181)),"Public health",IF(ISNUMBER(SEARCH("disabilities",N181)),"Disabilities","Other")))</f>
        <v>Other</v>
      </c>
      <c r="P181" s="126">
        <v>1821066</v>
      </c>
      <c r="Q181" s="90" t="s">
        <v>85</v>
      </c>
      <c r="R181" s="90" t="str">
        <f>IF(P181&gt;20000000,"B","A")</f>
        <v>A</v>
      </c>
      <c r="S181" s="90" t="s">
        <v>90</v>
      </c>
      <c r="T181" s="90" t="s">
        <v>119</v>
      </c>
      <c r="U181" s="90" t="s">
        <v>119</v>
      </c>
      <c r="V181" s="90" t="s">
        <v>119</v>
      </c>
      <c r="W181" s="90" t="s">
        <v>119</v>
      </c>
      <c r="X181" s="90" t="s">
        <v>119</v>
      </c>
      <c r="Y181" s="90" t="s">
        <v>119</v>
      </c>
      <c r="Z181" s="90" t="s">
        <v>119</v>
      </c>
      <c r="AA181" s="90" t="s">
        <v>119</v>
      </c>
      <c r="AB181" s="90" t="s">
        <v>119</v>
      </c>
      <c r="AC181" s="90" t="s">
        <v>119</v>
      </c>
      <c r="AD181" s="90" t="s">
        <v>119</v>
      </c>
      <c r="AE181" s="24">
        <v>0</v>
      </c>
      <c r="AF181" s="90">
        <v>0</v>
      </c>
      <c r="AG181" s="24">
        <v>0</v>
      </c>
      <c r="AH181" s="90">
        <v>89341</v>
      </c>
      <c r="AI181" s="24" t="s">
        <v>102</v>
      </c>
      <c r="AJ181" s="24" t="s">
        <v>103</v>
      </c>
      <c r="AK181" s="90" t="s">
        <v>85</v>
      </c>
      <c r="AL181" s="90">
        <v>182528</v>
      </c>
      <c r="AM181" s="90" t="s">
        <v>81</v>
      </c>
      <c r="AN181" s="90" t="s">
        <v>704</v>
      </c>
      <c r="AO181" s="125" t="s">
        <v>710</v>
      </c>
      <c r="AP181" s="24" t="s">
        <v>708</v>
      </c>
      <c r="AQ181" s="90" t="s">
        <v>707</v>
      </c>
      <c r="AR181" s="24" t="s">
        <v>708</v>
      </c>
      <c r="AS181" s="90" t="s">
        <v>119</v>
      </c>
      <c r="AT181" s="24" t="s">
        <v>102</v>
      </c>
      <c r="AU181" s="90" t="s">
        <v>119</v>
      </c>
      <c r="AV181" s="90" t="str">
        <f>IF(ISNUMBER(SEARCH("disagree",AE181)),"N","Y")</f>
        <v>Y</v>
      </c>
      <c r="AW181" s="90" t="s">
        <v>119</v>
      </c>
      <c r="AX181" s="24" t="s">
        <v>119</v>
      </c>
      <c r="AY181" s="90" t="str">
        <f>CONCATENATE(AZ181,BA181,BB181,BC181)</f>
        <v/>
      </c>
      <c r="AZ181" s="90" t="str">
        <f>IF(ISNUMBER(SEARCH("Y",AC181)),"R","")</f>
        <v/>
      </c>
      <c r="BA181" s="90" t="str">
        <f>IF(ISNUMBER(SEARCH("Y",Y181)),"M","")</f>
        <v/>
      </c>
      <c r="BB181" s="90" t="str">
        <f>IF(ISNUMBER(SEARCH("Y",AB181)),"QC","")</f>
        <v/>
      </c>
      <c r="BC181" s="90" t="str">
        <f>IF(ISNUMBER(SEARCH("Y",Z181)),"S","")</f>
        <v/>
      </c>
      <c r="BD181" s="90"/>
      <c r="BE181" s="24" t="s">
        <v>119</v>
      </c>
      <c r="BF181" s="125" t="str">
        <f>IF(AND(AW181&gt;=56543,AW181&lt;=76543,LEN(AW181)&gt;0),"3 Feb 2020",IF(AND(AW181&gt;=66544,AW181&lt;=99999,LEN(AW181)&gt;0),"12 Sep 2020",""))</f>
        <v/>
      </c>
      <c r="BG181" s="125" t="str">
        <f>IF((AND(BF181="3 Feb 2020",LEN(BF181)&gt;0)),"Completed",IF((AND(BF181="12 Sep 2020",LEN(BF181)&gt;0)),"Pending",""))</f>
        <v/>
      </c>
      <c r="BH181" s="90" t="str">
        <f>IF((AND(BF181="3 Feb 2020",LEN(BF181)&gt;0)),"3 Feb 2020","")</f>
        <v/>
      </c>
      <c r="BI181" s="90">
        <v>182528</v>
      </c>
      <c r="BJ181" s="90" t="str">
        <f>L181</f>
        <v>8C54DS88995-36</v>
      </c>
      <c r="BK181" s="127">
        <v>43508</v>
      </c>
      <c r="BL181" s="127">
        <v>44239</v>
      </c>
      <c r="BM181" s="128">
        <f>P181*1.1</f>
        <v>2003172.6</v>
      </c>
      <c r="BN181" s="129">
        <f>P181*0.9</f>
        <v>1638959.4000000001</v>
      </c>
      <c r="BO181" s="130">
        <f>P181*0.8</f>
        <v>1456852.8</v>
      </c>
      <c r="BP181" s="90">
        <f>IF(Z181="Y",BM181*0.4,BM181*1.05)</f>
        <v>2103331.23</v>
      </c>
      <c r="BQ181" s="90">
        <f>BP181*0.8</f>
        <v>1682664.9840000002</v>
      </c>
      <c r="BR181" s="90" t="str">
        <f>IF(ISNUMBER(SEARCH("subrecipient",AI177)),P181*0.6,"")</f>
        <v/>
      </c>
      <c r="BS181" s="90">
        <v>182528</v>
      </c>
      <c r="BT181" s="90" t="str">
        <f>BJ181</f>
        <v>8C54DS88995-36</v>
      </c>
      <c r="BU181" s="127">
        <f>BK181</f>
        <v>43508</v>
      </c>
      <c r="BV181" s="127">
        <f>BL181</f>
        <v>44239</v>
      </c>
      <c r="BW181" s="90" t="str">
        <f>H181</f>
        <v>CDC</v>
      </c>
      <c r="BX181" s="90" t="str">
        <f>IF(H181="NATIONAL HEMOPHILIA FOUNDATION","Non Federal","Federal")</f>
        <v>Federal</v>
      </c>
      <c r="BY181" s="128">
        <f>BM181</f>
        <v>2003172.6</v>
      </c>
      <c r="BZ181" s="90" t="str">
        <f>IF(LEN(BR181)&gt;0,1,"")</f>
        <v/>
      </c>
      <c r="CA181" s="90" t="str">
        <f>IF(LEN(BR181)&gt;0,"VIRAL HEPATITIS PROJECT","")</f>
        <v/>
      </c>
      <c r="CB181" s="129" t="str">
        <f>IF(LEN(BR181)&gt;0,BM181*0.7,"")</f>
        <v/>
      </c>
      <c r="CC181" s="90">
        <f>BP181</f>
        <v>2103331.23</v>
      </c>
      <c r="CD181" s="90" t="str">
        <f>IF(LEN(BR181)&gt;0,"70%","")</f>
        <v/>
      </c>
      <c r="CE181" s="90">
        <f>BS181</f>
        <v>182528</v>
      </c>
      <c r="CF181" s="90" t="str">
        <f>CA181</f>
        <v/>
      </c>
      <c r="CG181" s="90"/>
      <c r="CH181" s="90"/>
      <c r="CI181" s="90"/>
      <c r="CJ181" s="90"/>
      <c r="CK181" s="90"/>
      <c r="CL181" s="90"/>
      <c r="CM181" s="90"/>
      <c r="CN181" s="90"/>
      <c r="CO181" s="90"/>
      <c r="CP181" s="90"/>
      <c r="CQ181" s="90"/>
      <c r="CR181" s="90"/>
      <c r="CS181" s="90"/>
      <c r="CT181" s="137"/>
    </row>
    <row r="182" spans="1:98" ht="210">
      <c r="A182" s="89">
        <v>183839</v>
      </c>
      <c r="B182" s="90">
        <v>2020</v>
      </c>
      <c r="C182" s="90" t="s">
        <v>81</v>
      </c>
      <c r="D182" s="90" t="s">
        <v>711</v>
      </c>
      <c r="E182" s="125" t="s">
        <v>712</v>
      </c>
      <c r="F182" s="24" t="s">
        <v>713</v>
      </c>
      <c r="G182" s="90" t="s">
        <v>85</v>
      </c>
      <c r="H182" s="90" t="s">
        <v>117</v>
      </c>
      <c r="I182" s="90">
        <v>93</v>
      </c>
      <c r="J182" s="90">
        <v>157</v>
      </c>
      <c r="K182" s="90" t="s">
        <v>85</v>
      </c>
      <c r="L182" s="90" t="s">
        <v>714</v>
      </c>
      <c r="M182" s="90" t="s">
        <v>87</v>
      </c>
      <c r="N182" s="24" t="s">
        <v>715</v>
      </c>
      <c r="O182" s="24" t="str">
        <f>IF(ISNUMBER(SEARCH("Cancer",N182)),"Cancer",IF(ISNUMBER(SEARCH("health",N182)),"Public health",IF(ISNUMBER(SEARCH("disabilities",N182)),"Disabilities","Other")))</f>
        <v>Cancer</v>
      </c>
      <c r="P182" s="126">
        <v>1015560</v>
      </c>
      <c r="Q182" s="90" t="s">
        <v>87</v>
      </c>
      <c r="R182" s="90" t="str">
        <f>IF(P182&gt;20000000,"B","A")</f>
        <v>A</v>
      </c>
      <c r="S182" s="90" t="s">
        <v>90</v>
      </c>
      <c r="T182" s="90">
        <v>2569295</v>
      </c>
      <c r="U182" s="90" t="s">
        <v>91</v>
      </c>
      <c r="V182" s="90" t="s">
        <v>584</v>
      </c>
      <c r="W182" s="90" t="s">
        <v>87</v>
      </c>
      <c r="X182" s="90" t="s">
        <v>85</v>
      </c>
      <c r="Y182" s="90" t="s">
        <v>85</v>
      </c>
      <c r="Z182" s="90" t="s">
        <v>87</v>
      </c>
      <c r="AA182" s="90" t="s">
        <v>85</v>
      </c>
      <c r="AB182" s="90" t="s">
        <v>87</v>
      </c>
      <c r="AC182" s="90" t="s">
        <v>87</v>
      </c>
      <c r="AD182" s="90" t="s">
        <v>457</v>
      </c>
      <c r="AE182" s="24" t="s">
        <v>716</v>
      </c>
      <c r="AF182" s="90" t="s">
        <v>91</v>
      </c>
      <c r="AG182" s="24" t="s">
        <v>717</v>
      </c>
      <c r="AH182" s="90">
        <v>88712</v>
      </c>
      <c r="AI182" s="24" t="s">
        <v>94</v>
      </c>
      <c r="AJ182" s="24" t="s">
        <v>95</v>
      </c>
      <c r="AK182" s="90" t="s">
        <v>87</v>
      </c>
      <c r="AL182" s="90">
        <v>183839</v>
      </c>
      <c r="AM182" s="90" t="s">
        <v>81</v>
      </c>
      <c r="AN182" s="90" t="s">
        <v>711</v>
      </c>
      <c r="AO182" s="125" t="s">
        <v>712</v>
      </c>
      <c r="AP182" s="24" t="s">
        <v>715</v>
      </c>
      <c r="AQ182" s="90" t="s">
        <v>714</v>
      </c>
      <c r="AR182" s="24" t="s">
        <v>715</v>
      </c>
      <c r="AS182" s="90">
        <v>2569295</v>
      </c>
      <c r="AT182" s="24" t="s">
        <v>94</v>
      </c>
      <c r="AU182" s="90" t="s">
        <v>584</v>
      </c>
      <c r="AV182" s="90" t="str">
        <f>IF(ISNUMBER(SEARCH("disagree",AE182)),"N","Y")</f>
        <v>Y</v>
      </c>
      <c r="AW182" s="90">
        <v>73545</v>
      </c>
      <c r="AX182" s="24" t="s">
        <v>96</v>
      </c>
      <c r="AY182" s="90" t="str">
        <f>CONCATENATE(AZ182,BA182,BB182,BC182)</f>
        <v>RQCS</v>
      </c>
      <c r="AZ182" s="90" t="str">
        <f>IF(ISNUMBER(SEARCH("Y",AC182)),"R","")</f>
        <v>R</v>
      </c>
      <c r="BA182" s="90" t="str">
        <f>IF(ISNUMBER(SEARCH("Y",Y182)),"M","")</f>
        <v/>
      </c>
      <c r="BB182" s="90" t="str">
        <f>IF(ISNUMBER(SEARCH("Y",AB182)),"QC","")</f>
        <v>QC</v>
      </c>
      <c r="BC182" s="90" t="str">
        <f>IF(ISNUMBER(SEARCH("Y",Z182)),"S","")</f>
        <v>S</v>
      </c>
      <c r="BD182" s="90"/>
      <c r="BE182" s="24" t="s">
        <v>97</v>
      </c>
      <c r="BF182" s="125" t="str">
        <f>IF(AND(AW182&gt;=56543,AW182&lt;=76543,LEN(AW182)&gt;0),"3 Feb 2020",IF(AND(AW182&gt;=66544,AW182&lt;=99999,LEN(AW182)&gt;0),"12 Sep 2020",""))</f>
        <v>3 Feb 2020</v>
      </c>
      <c r="BG182" s="125" t="str">
        <f>IF((AND(BF182="3 Feb 2020",LEN(BF182)&gt;0)),"Completed",IF((AND(BF182="12 Sep 2020",LEN(BF182)&gt;0)),"Pending",""))</f>
        <v>Completed</v>
      </c>
      <c r="BH182" s="90" t="str">
        <f>IF((AND(BF182="3 Feb 2020",LEN(BF182)&gt;0)),"3 Feb 2020","")</f>
        <v>3 Feb 2020</v>
      </c>
      <c r="BI182" s="90">
        <v>183839</v>
      </c>
      <c r="BJ182" s="90" t="str">
        <f>L182</f>
        <v>4C87ES89617-58</v>
      </c>
      <c r="BK182" s="127">
        <v>43508</v>
      </c>
      <c r="BL182" s="127">
        <v>44239</v>
      </c>
      <c r="BM182" s="128">
        <f>P182*1.1</f>
        <v>1117116</v>
      </c>
      <c r="BN182" s="129">
        <f>P182*0.9</f>
        <v>914004</v>
      </c>
      <c r="BO182" s="130">
        <f>P182*0.8</f>
        <v>812448</v>
      </c>
      <c r="BP182" s="90">
        <f>IF(Z182="Y",BM182*0.4,BM182*1.05)</f>
        <v>446846.4</v>
      </c>
      <c r="BQ182" s="90">
        <f>BP182*0.8</f>
        <v>357477.12000000005</v>
      </c>
      <c r="BR182" s="90" t="str">
        <f>IF(ISNUMBER(SEARCH("subrecipient",AI178)),P182*0.6,"")</f>
        <v/>
      </c>
      <c r="BS182" s="90">
        <v>183839</v>
      </c>
      <c r="BT182" s="90" t="str">
        <f>BJ182</f>
        <v>4C87ES89617-58</v>
      </c>
      <c r="BU182" s="127">
        <f>BK182</f>
        <v>43508</v>
      </c>
      <c r="BV182" s="127">
        <f>BL182</f>
        <v>44239</v>
      </c>
      <c r="BW182" s="90" t="str">
        <f>H182</f>
        <v>NIH</v>
      </c>
      <c r="BX182" s="90" t="str">
        <f>IF(H182="NATIONAL HEMOPHILIA FOUNDATION","Non Federal","Federal")</f>
        <v>Federal</v>
      </c>
      <c r="BY182" s="128">
        <f>BM182</f>
        <v>1117116</v>
      </c>
      <c r="BZ182" s="90" t="str">
        <f>IF(LEN(BR182)&gt;0,1,"")</f>
        <v/>
      </c>
      <c r="CA182" s="90" t="str">
        <f>IF(LEN(BR182)&gt;0,"VIRAL HEPATITIS PROJECT","")</f>
        <v/>
      </c>
      <c r="CB182" s="129" t="str">
        <f>IF(LEN(BR182)&gt;0,BM182*0.7,"")</f>
        <v/>
      </c>
      <c r="CC182" s="90">
        <f>BP182</f>
        <v>446846.4</v>
      </c>
      <c r="CD182" s="90" t="str">
        <f>IF(LEN(BR182)&gt;0,"70%","")</f>
        <v/>
      </c>
      <c r="CE182" s="90">
        <f>BS182</f>
        <v>183839</v>
      </c>
      <c r="CF182" s="90" t="str">
        <f>CA182</f>
        <v/>
      </c>
      <c r="CG182" s="90"/>
      <c r="CH182" s="90"/>
      <c r="CI182" s="90"/>
      <c r="CJ182" s="90"/>
      <c r="CK182" s="90"/>
      <c r="CL182" s="90"/>
      <c r="CM182" s="90"/>
      <c r="CN182" s="90"/>
      <c r="CO182" s="90"/>
      <c r="CP182" s="90"/>
      <c r="CQ182" s="90"/>
      <c r="CR182" s="90"/>
      <c r="CS182" s="90"/>
      <c r="CT182" s="137"/>
    </row>
    <row r="183" spans="1:98" ht="90">
      <c r="A183" s="89">
        <v>183839</v>
      </c>
      <c r="B183" s="90">
        <v>2020</v>
      </c>
      <c r="C183" s="90" t="s">
        <v>81</v>
      </c>
      <c r="D183" s="90" t="s">
        <v>711</v>
      </c>
      <c r="E183" s="125" t="s">
        <v>718</v>
      </c>
      <c r="F183" s="24" t="s">
        <v>713</v>
      </c>
      <c r="G183" s="90" t="s">
        <v>85</v>
      </c>
      <c r="H183" s="90" t="s">
        <v>117</v>
      </c>
      <c r="I183" s="90">
        <v>93</v>
      </c>
      <c r="J183" s="90">
        <v>157</v>
      </c>
      <c r="K183" s="90" t="s">
        <v>85</v>
      </c>
      <c r="L183" s="90" t="s">
        <v>714</v>
      </c>
      <c r="M183" s="90" t="s">
        <v>87</v>
      </c>
      <c r="N183" s="24" t="s">
        <v>715</v>
      </c>
      <c r="O183" s="24" t="str">
        <f>IF(ISNUMBER(SEARCH("Cancer",N183)),"Cancer",IF(ISNUMBER(SEARCH("health",N183)),"Public health",IF(ISNUMBER(SEARCH("disabilities",N183)),"Disabilities","Other")))</f>
        <v>Cancer</v>
      </c>
      <c r="P183" s="126">
        <v>1015560</v>
      </c>
      <c r="Q183" s="90" t="s">
        <v>85</v>
      </c>
      <c r="R183" s="90" t="str">
        <f>IF(P183&gt;20000000,"B","A")</f>
        <v>A</v>
      </c>
      <c r="S183" s="90" t="s">
        <v>90</v>
      </c>
      <c r="T183" s="90">
        <v>2569295</v>
      </c>
      <c r="U183" s="90" t="s">
        <v>91</v>
      </c>
      <c r="V183" s="90" t="s">
        <v>584</v>
      </c>
      <c r="W183" s="90" t="s">
        <v>87</v>
      </c>
      <c r="X183" s="90" t="s">
        <v>85</v>
      </c>
      <c r="Y183" s="90" t="s">
        <v>85</v>
      </c>
      <c r="Z183" s="90" t="s">
        <v>85</v>
      </c>
      <c r="AA183" s="90" t="s">
        <v>85</v>
      </c>
      <c r="AB183" s="90" t="s">
        <v>87</v>
      </c>
      <c r="AC183" s="90" t="s">
        <v>87</v>
      </c>
      <c r="AD183" s="90" t="s">
        <v>457</v>
      </c>
      <c r="AE183" s="24">
        <v>0</v>
      </c>
      <c r="AF183" s="90">
        <v>0</v>
      </c>
      <c r="AG183" s="24">
        <v>0</v>
      </c>
      <c r="AH183" s="90">
        <v>88713</v>
      </c>
      <c r="AI183" s="24" t="s">
        <v>102</v>
      </c>
      <c r="AJ183" s="24" t="s">
        <v>103</v>
      </c>
      <c r="AK183" s="90" t="s">
        <v>85</v>
      </c>
      <c r="AL183" s="90">
        <v>183839</v>
      </c>
      <c r="AM183" s="90" t="s">
        <v>81</v>
      </c>
      <c r="AN183" s="90" t="s">
        <v>711</v>
      </c>
      <c r="AO183" s="125" t="s">
        <v>718</v>
      </c>
      <c r="AP183" s="24" t="s">
        <v>715</v>
      </c>
      <c r="AQ183" s="90" t="s">
        <v>714</v>
      </c>
      <c r="AR183" s="24" t="s">
        <v>715</v>
      </c>
      <c r="AS183" s="90">
        <v>2569295</v>
      </c>
      <c r="AT183" s="24" t="s">
        <v>102</v>
      </c>
      <c r="AU183" s="90" t="s">
        <v>584</v>
      </c>
      <c r="AV183" s="90" t="str">
        <f>IF(ISNUMBER(SEARCH("disagree",AE183)),"N","Y")</f>
        <v>Y</v>
      </c>
      <c r="AW183" s="90">
        <v>72439</v>
      </c>
      <c r="AX183" s="24" t="s">
        <v>104</v>
      </c>
      <c r="AY183" s="90" t="str">
        <f>CONCATENATE(AZ183,BA183,BB183,BC183)</f>
        <v>RQC</v>
      </c>
      <c r="AZ183" s="90" t="str">
        <f>IF(ISNUMBER(SEARCH("Y",AC183)),"R","")</f>
        <v>R</v>
      </c>
      <c r="BA183" s="90" t="str">
        <f>IF(ISNUMBER(SEARCH("Y",Y183)),"M","")</f>
        <v/>
      </c>
      <c r="BB183" s="90" t="str">
        <f>IF(ISNUMBER(SEARCH("Y",AB183)),"QC","")</f>
        <v>QC</v>
      </c>
      <c r="BC183" s="90" t="str">
        <f>IF(ISNUMBER(SEARCH("Y",Z183)),"S","")</f>
        <v/>
      </c>
      <c r="BD183" s="90"/>
      <c r="BE183" s="24" t="s">
        <v>327</v>
      </c>
      <c r="BF183" s="125" t="str">
        <f>IF(AND(AW183&gt;=56543,AW183&lt;=76543,LEN(AW183)&gt;0),"3 Feb 2020",IF(AND(AW183&gt;=66544,AW183&lt;=99999,LEN(AW183)&gt;0),"12 Sep 2020",""))</f>
        <v>3 Feb 2020</v>
      </c>
      <c r="BG183" s="125" t="str">
        <f>IF((AND(BF183="3 Feb 2020",LEN(BF183)&gt;0)),"Completed",IF((AND(BF183="12 Sep 2020",LEN(BF183)&gt;0)),"Pending",""))</f>
        <v>Completed</v>
      </c>
      <c r="BH183" s="90" t="str">
        <f>IF((AND(BF183="3 Feb 2020",LEN(BF183)&gt;0)),"3 Feb 2020","")</f>
        <v>3 Feb 2020</v>
      </c>
      <c r="BI183" s="90">
        <v>183839</v>
      </c>
      <c r="BJ183" s="90" t="str">
        <f>L183</f>
        <v>4C87ES89617-58</v>
      </c>
      <c r="BK183" s="127">
        <v>43508</v>
      </c>
      <c r="BL183" s="127">
        <v>44239</v>
      </c>
      <c r="BM183" s="128">
        <f>P183*1.1</f>
        <v>1117116</v>
      </c>
      <c r="BN183" s="129">
        <f>P183*0.9</f>
        <v>914004</v>
      </c>
      <c r="BO183" s="130">
        <f>P183*0.8</f>
        <v>812448</v>
      </c>
      <c r="BP183" s="90">
        <f>IF(Z183="Y",BM183*0.4,BM183*1.05)</f>
        <v>1172971.8</v>
      </c>
      <c r="BQ183" s="90">
        <f>BP183*0.8</f>
        <v>938377.44000000006</v>
      </c>
      <c r="BR183" s="90" t="str">
        <f>IF(ISNUMBER(SEARCH("subrecipient",AI179)),P183*0.6,"")</f>
        <v/>
      </c>
      <c r="BS183" s="90">
        <v>183839</v>
      </c>
      <c r="BT183" s="90" t="str">
        <f>BJ183</f>
        <v>4C87ES89617-58</v>
      </c>
      <c r="BU183" s="127">
        <f>BK183</f>
        <v>43508</v>
      </c>
      <c r="BV183" s="127">
        <f>BL183</f>
        <v>44239</v>
      </c>
      <c r="BW183" s="90" t="str">
        <f>H183</f>
        <v>NIH</v>
      </c>
      <c r="BX183" s="90" t="str">
        <f>IF(H183="NATIONAL HEMOPHILIA FOUNDATION","Non Federal","Federal")</f>
        <v>Federal</v>
      </c>
      <c r="BY183" s="128">
        <f>BM183</f>
        <v>1117116</v>
      </c>
      <c r="BZ183" s="90" t="str">
        <f>IF(LEN(BR183)&gt;0,1,"")</f>
        <v/>
      </c>
      <c r="CA183" s="90" t="str">
        <f>IF(LEN(BR183)&gt;0,"VIRAL HEPATITIS PROJECT","")</f>
        <v/>
      </c>
      <c r="CB183" s="129" t="str">
        <f>IF(LEN(BR183)&gt;0,BM183*0.7,"")</f>
        <v/>
      </c>
      <c r="CC183" s="90">
        <f>BP183</f>
        <v>1172971.8</v>
      </c>
      <c r="CD183" s="90" t="str">
        <f>IF(LEN(BR183)&gt;0,"70%","")</f>
        <v/>
      </c>
      <c r="CE183" s="90">
        <f>BS183</f>
        <v>183839</v>
      </c>
      <c r="CF183" s="90" t="str">
        <f>CA183</f>
        <v/>
      </c>
      <c r="CG183" s="90"/>
      <c r="CH183" s="90"/>
      <c r="CI183" s="90"/>
      <c r="CJ183" s="90"/>
      <c r="CK183" s="90"/>
      <c r="CL183" s="90"/>
      <c r="CM183" s="90"/>
      <c r="CN183" s="90"/>
      <c r="CO183" s="90"/>
      <c r="CP183" s="90"/>
      <c r="CQ183" s="90"/>
      <c r="CR183" s="90"/>
      <c r="CS183" s="90"/>
      <c r="CT183" s="137"/>
    </row>
    <row r="184" spans="1:98" ht="90">
      <c r="A184" s="89">
        <v>183839</v>
      </c>
      <c r="B184" s="90">
        <v>2020</v>
      </c>
      <c r="C184" s="90" t="s">
        <v>81</v>
      </c>
      <c r="D184" s="90" t="s">
        <v>711</v>
      </c>
      <c r="E184" s="125" t="s">
        <v>719</v>
      </c>
      <c r="F184" s="24" t="s">
        <v>713</v>
      </c>
      <c r="G184" s="90" t="s">
        <v>85</v>
      </c>
      <c r="H184" s="90" t="s">
        <v>117</v>
      </c>
      <c r="I184" s="90">
        <v>93</v>
      </c>
      <c r="J184" s="90">
        <v>157</v>
      </c>
      <c r="K184" s="90" t="s">
        <v>85</v>
      </c>
      <c r="L184" s="90" t="s">
        <v>714</v>
      </c>
      <c r="M184" s="90" t="s">
        <v>87</v>
      </c>
      <c r="N184" s="24" t="s">
        <v>715</v>
      </c>
      <c r="O184" s="24" t="str">
        <f>IF(ISNUMBER(SEARCH("Cancer",N184)),"Cancer",IF(ISNUMBER(SEARCH("health",N184)),"Public health",IF(ISNUMBER(SEARCH("disabilities",N184)),"Disabilities","Other")))</f>
        <v>Cancer</v>
      </c>
      <c r="P184" s="126">
        <v>1015560</v>
      </c>
      <c r="Q184" s="90" t="s">
        <v>85</v>
      </c>
      <c r="R184" s="90" t="str">
        <f>IF(P184&gt;20000000,"B","A")</f>
        <v>A</v>
      </c>
      <c r="S184" s="90" t="s">
        <v>90</v>
      </c>
      <c r="T184" s="90">
        <v>2569295</v>
      </c>
      <c r="U184" s="90" t="s">
        <v>91</v>
      </c>
      <c r="V184" s="90" t="s">
        <v>584</v>
      </c>
      <c r="W184" s="90" t="s">
        <v>87</v>
      </c>
      <c r="X184" s="90" t="s">
        <v>85</v>
      </c>
      <c r="Y184" s="90" t="s">
        <v>85</v>
      </c>
      <c r="Z184" s="90" t="s">
        <v>85</v>
      </c>
      <c r="AA184" s="90" t="s">
        <v>85</v>
      </c>
      <c r="AB184" s="90" t="s">
        <v>87</v>
      </c>
      <c r="AC184" s="90" t="s">
        <v>87</v>
      </c>
      <c r="AD184" s="90" t="s">
        <v>457</v>
      </c>
      <c r="AE184" s="24">
        <v>0</v>
      </c>
      <c r="AF184" s="90">
        <v>0</v>
      </c>
      <c r="AG184" s="24">
        <v>0</v>
      </c>
      <c r="AH184" s="90">
        <v>88714</v>
      </c>
      <c r="AI184" s="24" t="s">
        <v>110</v>
      </c>
      <c r="AJ184" s="24" t="s">
        <v>720</v>
      </c>
      <c r="AK184" s="90" t="s">
        <v>85</v>
      </c>
      <c r="AL184" s="90">
        <v>183839</v>
      </c>
      <c r="AM184" s="90" t="s">
        <v>81</v>
      </c>
      <c r="AN184" s="90" t="s">
        <v>711</v>
      </c>
      <c r="AO184" s="125" t="s">
        <v>719</v>
      </c>
      <c r="AP184" s="24" t="s">
        <v>715</v>
      </c>
      <c r="AQ184" s="90" t="s">
        <v>714</v>
      </c>
      <c r="AR184" s="24" t="s">
        <v>715</v>
      </c>
      <c r="AS184" s="90">
        <v>2569295</v>
      </c>
      <c r="AT184" s="24" t="s">
        <v>110</v>
      </c>
      <c r="AU184" s="90" t="s">
        <v>584</v>
      </c>
      <c r="AV184" s="90" t="str">
        <f>IF(ISNUMBER(SEARCH("disagree",AE184)),"N","Y")</f>
        <v>Y</v>
      </c>
      <c r="AW184" s="90">
        <v>96398</v>
      </c>
      <c r="AX184" s="24" t="s">
        <v>112</v>
      </c>
      <c r="AY184" s="90" t="str">
        <f>CONCATENATE(AZ184,BA184,BB184,BC184)</f>
        <v>RQC</v>
      </c>
      <c r="AZ184" s="90" t="str">
        <f>IF(ISNUMBER(SEARCH("Y",AC184)),"R","")</f>
        <v>R</v>
      </c>
      <c r="BA184" s="90" t="str">
        <f>IF(ISNUMBER(SEARCH("Y",Y184)),"M","")</f>
        <v/>
      </c>
      <c r="BB184" s="90" t="str">
        <f>IF(ISNUMBER(SEARCH("Y",AB184)),"QC","")</f>
        <v>QC</v>
      </c>
      <c r="BC184" s="90" t="str">
        <f>IF(ISNUMBER(SEARCH("Y",Z184)),"S","")</f>
        <v/>
      </c>
      <c r="BD184" s="90"/>
      <c r="BE184" s="24" t="s">
        <v>113</v>
      </c>
      <c r="BF184" s="125" t="str">
        <f>IF(AND(AW184&gt;=56543,AW184&lt;=76543,LEN(AW184)&gt;0),"3 Feb 2020",IF(AND(AW184&gt;=66544,AW184&lt;=99999,LEN(AW184)&gt;0),"12 Sep 2020",""))</f>
        <v>12 Sep 2020</v>
      </c>
      <c r="BG184" s="125" t="str">
        <f>IF((AND(BF184="3 Feb 2020",LEN(BF184)&gt;0)),"Completed",IF((AND(BF184="12 Sep 2020",LEN(BF184)&gt;0)),"Pending",""))</f>
        <v>Pending</v>
      </c>
      <c r="BH184" s="90" t="str">
        <f>IF((AND(BF184="3 Feb 2020",LEN(BF184)&gt;0)),"3 Feb 2020","")</f>
        <v/>
      </c>
      <c r="BI184" s="90">
        <v>183839</v>
      </c>
      <c r="BJ184" s="90" t="str">
        <f>L184</f>
        <v>4C87ES89617-58</v>
      </c>
      <c r="BK184" s="127">
        <v>43508</v>
      </c>
      <c r="BL184" s="127">
        <v>44239</v>
      </c>
      <c r="BM184" s="128">
        <f>P184*1.1</f>
        <v>1117116</v>
      </c>
      <c r="BN184" s="129">
        <f>P184*0.9</f>
        <v>914004</v>
      </c>
      <c r="BO184" s="130">
        <f>P184*0.8</f>
        <v>812448</v>
      </c>
      <c r="BP184" s="90">
        <f>IF(Z184="Y",BM184*0.4,BM184*1.05)</f>
        <v>1172971.8</v>
      </c>
      <c r="BQ184" s="90">
        <f>BP184*0.8</f>
        <v>938377.44000000006</v>
      </c>
      <c r="BR184" s="90" t="str">
        <f>IF(ISNUMBER(SEARCH("subrecipient",AI180)),P184*0.6,"")</f>
        <v/>
      </c>
      <c r="BS184" s="90">
        <v>183839</v>
      </c>
      <c r="BT184" s="90" t="str">
        <f>BJ184</f>
        <v>4C87ES89617-58</v>
      </c>
      <c r="BU184" s="127">
        <f>BK184</f>
        <v>43508</v>
      </c>
      <c r="BV184" s="127">
        <f>BL184</f>
        <v>44239</v>
      </c>
      <c r="BW184" s="90" t="str">
        <f>H184</f>
        <v>NIH</v>
      </c>
      <c r="BX184" s="90" t="str">
        <f>IF(H184="NATIONAL HEMOPHILIA FOUNDATION","Non Federal","Federal")</f>
        <v>Federal</v>
      </c>
      <c r="BY184" s="128">
        <f>BM184</f>
        <v>1117116</v>
      </c>
      <c r="BZ184" s="90" t="str">
        <f>IF(LEN(BR184)&gt;0,1,"")</f>
        <v/>
      </c>
      <c r="CA184" s="90" t="str">
        <f>IF(LEN(BR184)&gt;0,"VIRAL HEPATITIS PROJECT","")</f>
        <v/>
      </c>
      <c r="CB184" s="129" t="str">
        <f>IF(LEN(BR184)&gt;0,BM184*0.7,"")</f>
        <v/>
      </c>
      <c r="CC184" s="90">
        <f>BP184</f>
        <v>1172971.8</v>
      </c>
      <c r="CD184" s="90" t="str">
        <f>IF(LEN(BR184)&gt;0,"70%","")</f>
        <v/>
      </c>
      <c r="CE184" s="90">
        <f>BS184</f>
        <v>183839</v>
      </c>
      <c r="CF184" s="90" t="str">
        <f>CA184</f>
        <v/>
      </c>
      <c r="CG184" s="90"/>
      <c r="CH184" s="90"/>
      <c r="CI184" s="90"/>
      <c r="CJ184" s="90"/>
      <c r="CK184" s="90"/>
      <c r="CL184" s="90"/>
      <c r="CM184" s="90"/>
      <c r="CN184" s="90"/>
      <c r="CO184" s="90"/>
      <c r="CP184" s="90"/>
      <c r="CQ184" s="90"/>
      <c r="CR184" s="90"/>
      <c r="CS184" s="90"/>
      <c r="CT184" s="137"/>
    </row>
    <row r="185" spans="1:98" ht="90">
      <c r="A185" s="89">
        <v>185174</v>
      </c>
      <c r="B185" s="90">
        <v>2020</v>
      </c>
      <c r="C185" s="90" t="s">
        <v>81</v>
      </c>
      <c r="D185" s="90" t="s">
        <v>721</v>
      </c>
      <c r="E185" s="125" t="s">
        <v>722</v>
      </c>
      <c r="F185" s="24" t="s">
        <v>723</v>
      </c>
      <c r="G185" s="90" t="s">
        <v>85</v>
      </c>
      <c r="H185" s="90" t="s">
        <v>132</v>
      </c>
      <c r="I185" s="90">
        <v>93</v>
      </c>
      <c r="J185" s="90">
        <v>157</v>
      </c>
      <c r="K185" s="90" t="s">
        <v>85</v>
      </c>
      <c r="L185" s="90" t="s">
        <v>724</v>
      </c>
      <c r="M185" s="90" t="s">
        <v>119</v>
      </c>
      <c r="N185" s="24" t="s">
        <v>725</v>
      </c>
      <c r="O185" s="24" t="str">
        <f>IF(ISNUMBER(SEARCH("Cancer",N185)),"Cancer",IF(ISNUMBER(SEARCH("health",N185)),"Public health",IF(ISNUMBER(SEARCH("disabilities",N185)),"Disabilities","Other")))</f>
        <v>Public health</v>
      </c>
      <c r="P185" s="126">
        <v>1362567</v>
      </c>
      <c r="Q185" s="90" t="s">
        <v>85</v>
      </c>
      <c r="R185" s="90" t="str">
        <f>IF(P185&gt;20000000,"B","A")</f>
        <v>A</v>
      </c>
      <c r="S185" s="90" t="s">
        <v>90</v>
      </c>
      <c r="T185" s="90" t="s">
        <v>119</v>
      </c>
      <c r="U185" s="90" t="s">
        <v>119</v>
      </c>
      <c r="V185" s="90" t="s">
        <v>119</v>
      </c>
      <c r="W185" s="90" t="s">
        <v>119</v>
      </c>
      <c r="X185" s="90" t="s">
        <v>119</v>
      </c>
      <c r="Y185" s="90" t="s">
        <v>119</v>
      </c>
      <c r="Z185" s="90" t="s">
        <v>119</v>
      </c>
      <c r="AA185" s="90" t="s">
        <v>119</v>
      </c>
      <c r="AB185" s="90" t="s">
        <v>119</v>
      </c>
      <c r="AC185" s="90" t="s">
        <v>119</v>
      </c>
      <c r="AD185" s="90" t="s">
        <v>119</v>
      </c>
      <c r="AE185" s="24">
        <v>0</v>
      </c>
      <c r="AF185" s="90">
        <v>0</v>
      </c>
      <c r="AG185" s="24">
        <v>0</v>
      </c>
      <c r="AH185" s="90">
        <v>86702</v>
      </c>
      <c r="AI185" s="24" t="s">
        <v>94</v>
      </c>
      <c r="AJ185" s="24" t="s">
        <v>726</v>
      </c>
      <c r="AK185" s="90" t="s">
        <v>85</v>
      </c>
      <c r="AL185" s="90">
        <v>185174</v>
      </c>
      <c r="AM185" s="90" t="s">
        <v>81</v>
      </c>
      <c r="AN185" s="90" t="s">
        <v>721</v>
      </c>
      <c r="AO185" s="125" t="s">
        <v>722</v>
      </c>
      <c r="AP185" s="24" t="s">
        <v>725</v>
      </c>
      <c r="AQ185" s="90" t="s">
        <v>724</v>
      </c>
      <c r="AR185" s="24" t="s">
        <v>725</v>
      </c>
      <c r="AS185" s="90" t="s">
        <v>119</v>
      </c>
      <c r="AT185" s="24" t="s">
        <v>94</v>
      </c>
      <c r="AU185" s="90" t="s">
        <v>119</v>
      </c>
      <c r="AV185" s="90" t="str">
        <f>IF(ISNUMBER(SEARCH("disagree",AE185)),"N","Y")</f>
        <v>Y</v>
      </c>
      <c r="AW185" s="90" t="s">
        <v>119</v>
      </c>
      <c r="AX185" s="24" t="s">
        <v>119</v>
      </c>
      <c r="AY185" s="90" t="str">
        <f>CONCATENATE(AZ185,BA185,BB185,BC185)</f>
        <v/>
      </c>
      <c r="AZ185" s="90" t="str">
        <f>IF(ISNUMBER(SEARCH("Y",AC185)),"R","")</f>
        <v/>
      </c>
      <c r="BA185" s="90" t="str">
        <f>IF(ISNUMBER(SEARCH("Y",Y185)),"M","")</f>
        <v/>
      </c>
      <c r="BB185" s="90" t="str">
        <f>IF(ISNUMBER(SEARCH("Y",AB185)),"QC","")</f>
        <v/>
      </c>
      <c r="BC185" s="90" t="str">
        <f>IF(ISNUMBER(SEARCH("Y",Z185)),"S","")</f>
        <v/>
      </c>
      <c r="BD185" s="90"/>
      <c r="BE185" s="24" t="s">
        <v>119</v>
      </c>
      <c r="BF185" s="125" t="str">
        <f>IF(AND(AW185&gt;=56543,AW185&lt;=76543,LEN(AW185)&gt;0),"3 Feb 2020",IF(AND(AW185&gt;=66544,AW185&lt;=99999,LEN(AW185)&gt;0),"12 Sep 2020",""))</f>
        <v/>
      </c>
      <c r="BG185" s="125" t="str">
        <f>IF((AND(BF185="3 Feb 2020",LEN(BF185)&gt;0)),"Completed",IF((AND(BF185="12 Sep 2020",LEN(BF185)&gt;0)),"Pending",""))</f>
        <v/>
      </c>
      <c r="BH185" s="90" t="str">
        <f>IF((AND(BF185="3 Feb 2020",LEN(BF185)&gt;0)),"3 Feb 2020","")</f>
        <v/>
      </c>
      <c r="BI185" s="90">
        <v>185174</v>
      </c>
      <c r="BJ185" s="90" t="str">
        <f>L185</f>
        <v>4C54DS88712-85</v>
      </c>
      <c r="BK185" s="127">
        <v>43508</v>
      </c>
      <c r="BL185" s="127">
        <v>44239</v>
      </c>
      <c r="BM185" s="128">
        <f>P185*1.1</f>
        <v>1498823.7000000002</v>
      </c>
      <c r="BN185" s="129">
        <f>P185*0.9</f>
        <v>1226310.3</v>
      </c>
      <c r="BO185" s="130">
        <f>P185*0.8</f>
        <v>1090053.6000000001</v>
      </c>
      <c r="BP185" s="90">
        <f>IF(Z185="Y",BM185*0.4,BM185*1.05)</f>
        <v>1573764.8850000002</v>
      </c>
      <c r="BQ185" s="90">
        <f>BP185*0.8</f>
        <v>1259011.9080000003</v>
      </c>
      <c r="BR185" s="90" t="str">
        <f>IF(ISNUMBER(SEARCH("subrecipient",AI181)),P185*0.6,"")</f>
        <v/>
      </c>
      <c r="BS185" s="90">
        <v>185174</v>
      </c>
      <c r="BT185" s="90" t="str">
        <f>BJ185</f>
        <v>4C54DS88712-85</v>
      </c>
      <c r="BU185" s="127">
        <f>BK185</f>
        <v>43508</v>
      </c>
      <c r="BV185" s="127">
        <f>BL185</f>
        <v>44239</v>
      </c>
      <c r="BW185" s="90" t="str">
        <f>H185</f>
        <v>FDA</v>
      </c>
      <c r="BX185" s="90" t="str">
        <f>IF(H185="NATIONAL HEMOPHILIA FOUNDATION","Non Federal","Federal")</f>
        <v>Federal</v>
      </c>
      <c r="BY185" s="128">
        <f>BM185</f>
        <v>1498823.7000000002</v>
      </c>
      <c r="BZ185" s="90" t="str">
        <f>IF(LEN(BR185)&gt;0,1,"")</f>
        <v/>
      </c>
      <c r="CA185" s="90" t="str">
        <f>IF(LEN(BR185)&gt;0,"VIRAL HEPATITIS PROJECT","")</f>
        <v/>
      </c>
      <c r="CB185" s="129" t="str">
        <f>IF(LEN(BR185)&gt;0,BM185*0.7,"")</f>
        <v/>
      </c>
      <c r="CC185" s="90">
        <f>BP185</f>
        <v>1573764.8850000002</v>
      </c>
      <c r="CD185" s="90" t="str">
        <f>IF(LEN(BR185)&gt;0,"70%","")</f>
        <v/>
      </c>
      <c r="CE185" s="90">
        <f>BS185</f>
        <v>185174</v>
      </c>
      <c r="CF185" s="90" t="str">
        <f>CA185</f>
        <v/>
      </c>
      <c r="CG185" s="90"/>
      <c r="CH185" s="90"/>
      <c r="CI185" s="90"/>
      <c r="CJ185" s="90"/>
      <c r="CK185" s="90"/>
      <c r="CL185" s="90"/>
      <c r="CM185" s="90"/>
      <c r="CN185" s="90"/>
      <c r="CO185" s="90"/>
      <c r="CP185" s="90"/>
      <c r="CQ185" s="90"/>
      <c r="CR185" s="90"/>
      <c r="CS185" s="90"/>
      <c r="CT185" s="137"/>
    </row>
    <row r="186" spans="1:98" ht="60">
      <c r="A186" s="89">
        <v>185174</v>
      </c>
      <c r="B186" s="90">
        <v>2020</v>
      </c>
      <c r="C186" s="90" t="s">
        <v>81</v>
      </c>
      <c r="D186" s="90" t="s">
        <v>721</v>
      </c>
      <c r="E186" s="125" t="s">
        <v>727</v>
      </c>
      <c r="F186" s="24" t="s">
        <v>723</v>
      </c>
      <c r="G186" s="90" t="s">
        <v>85</v>
      </c>
      <c r="H186" s="90" t="s">
        <v>132</v>
      </c>
      <c r="I186" s="90">
        <v>93</v>
      </c>
      <c r="J186" s="90">
        <v>157</v>
      </c>
      <c r="K186" s="90" t="s">
        <v>85</v>
      </c>
      <c r="L186" s="90" t="s">
        <v>724</v>
      </c>
      <c r="M186" s="90" t="s">
        <v>119</v>
      </c>
      <c r="N186" s="24" t="s">
        <v>725</v>
      </c>
      <c r="O186" s="24" t="str">
        <f>IF(ISNUMBER(SEARCH("Cancer",N186)),"Cancer",IF(ISNUMBER(SEARCH("health",N186)),"Public health",IF(ISNUMBER(SEARCH("disabilities",N186)),"Disabilities","Other")))</f>
        <v>Public health</v>
      </c>
      <c r="P186" s="126">
        <v>1362567</v>
      </c>
      <c r="Q186" s="90" t="s">
        <v>85</v>
      </c>
      <c r="R186" s="90" t="str">
        <f>IF(P186&gt;20000000,"B","A")</f>
        <v>A</v>
      </c>
      <c r="S186" s="90" t="s">
        <v>90</v>
      </c>
      <c r="T186" s="90" t="s">
        <v>119</v>
      </c>
      <c r="U186" s="90" t="s">
        <v>119</v>
      </c>
      <c r="V186" s="90" t="s">
        <v>119</v>
      </c>
      <c r="W186" s="90" t="s">
        <v>119</v>
      </c>
      <c r="X186" s="90" t="s">
        <v>119</v>
      </c>
      <c r="Y186" s="90" t="s">
        <v>119</v>
      </c>
      <c r="Z186" s="90" t="s">
        <v>119</v>
      </c>
      <c r="AA186" s="90" t="s">
        <v>119</v>
      </c>
      <c r="AB186" s="90" t="s">
        <v>119</v>
      </c>
      <c r="AC186" s="90" t="s">
        <v>119</v>
      </c>
      <c r="AD186" s="90" t="s">
        <v>119</v>
      </c>
      <c r="AE186" s="24">
        <v>0</v>
      </c>
      <c r="AF186" s="90">
        <v>0</v>
      </c>
      <c r="AG186" s="24">
        <v>0</v>
      </c>
      <c r="AH186" s="90">
        <v>86703</v>
      </c>
      <c r="AI186" s="24" t="s">
        <v>102</v>
      </c>
      <c r="AJ186" s="24" t="s">
        <v>728</v>
      </c>
      <c r="AK186" s="90" t="s">
        <v>85</v>
      </c>
      <c r="AL186" s="90">
        <v>185174</v>
      </c>
      <c r="AM186" s="90" t="s">
        <v>81</v>
      </c>
      <c r="AN186" s="90" t="s">
        <v>721</v>
      </c>
      <c r="AO186" s="125" t="s">
        <v>727</v>
      </c>
      <c r="AP186" s="24" t="s">
        <v>725</v>
      </c>
      <c r="AQ186" s="90" t="s">
        <v>724</v>
      </c>
      <c r="AR186" s="24" t="s">
        <v>725</v>
      </c>
      <c r="AS186" s="90" t="s">
        <v>119</v>
      </c>
      <c r="AT186" s="24" t="s">
        <v>102</v>
      </c>
      <c r="AU186" s="90" t="s">
        <v>119</v>
      </c>
      <c r="AV186" s="90" t="str">
        <f>IF(ISNUMBER(SEARCH("disagree",AE186)),"N","Y")</f>
        <v>Y</v>
      </c>
      <c r="AW186" s="90" t="s">
        <v>119</v>
      </c>
      <c r="AX186" s="24" t="s">
        <v>119</v>
      </c>
      <c r="AY186" s="90" t="str">
        <f>CONCATENATE(AZ186,BA186,BB186,BC186)</f>
        <v/>
      </c>
      <c r="AZ186" s="90" t="str">
        <f>IF(ISNUMBER(SEARCH("Y",AC186)),"R","")</f>
        <v/>
      </c>
      <c r="BA186" s="90" t="str">
        <f>IF(ISNUMBER(SEARCH("Y",Y186)),"M","")</f>
        <v/>
      </c>
      <c r="BB186" s="90" t="str">
        <f>IF(ISNUMBER(SEARCH("Y",AB186)),"QC","")</f>
        <v/>
      </c>
      <c r="BC186" s="90" t="str">
        <f>IF(ISNUMBER(SEARCH("Y",Z186)),"S","")</f>
        <v/>
      </c>
      <c r="BD186" s="90"/>
      <c r="BE186" s="24" t="s">
        <v>119</v>
      </c>
      <c r="BF186" s="125" t="str">
        <f>IF(AND(AW186&gt;=56543,AW186&lt;=76543,LEN(AW186)&gt;0),"3 Feb 2020",IF(AND(AW186&gt;=66544,AW186&lt;=99999,LEN(AW186)&gt;0),"12 Sep 2020",""))</f>
        <v/>
      </c>
      <c r="BG186" s="125" t="str">
        <f>IF((AND(BF186="3 Feb 2020",LEN(BF186)&gt;0)),"Completed",IF((AND(BF186="12 Sep 2020",LEN(BF186)&gt;0)),"Pending",""))</f>
        <v/>
      </c>
      <c r="BH186" s="90" t="str">
        <f>IF((AND(BF186="3 Feb 2020",LEN(BF186)&gt;0)),"3 Feb 2020","")</f>
        <v/>
      </c>
      <c r="BI186" s="90">
        <v>185174</v>
      </c>
      <c r="BJ186" s="90" t="str">
        <f>L186</f>
        <v>4C54DS88712-85</v>
      </c>
      <c r="BK186" s="127">
        <v>43508</v>
      </c>
      <c r="BL186" s="127">
        <v>44239</v>
      </c>
      <c r="BM186" s="128">
        <f>P186*1.1</f>
        <v>1498823.7000000002</v>
      </c>
      <c r="BN186" s="129">
        <f>P186*0.9</f>
        <v>1226310.3</v>
      </c>
      <c r="BO186" s="130">
        <f>P186*0.8</f>
        <v>1090053.6000000001</v>
      </c>
      <c r="BP186" s="90">
        <f>IF(Z186="Y",BM186*0.4,BM186*1.05)</f>
        <v>1573764.8850000002</v>
      </c>
      <c r="BQ186" s="90">
        <f>BP186*0.8</f>
        <v>1259011.9080000003</v>
      </c>
      <c r="BR186" s="90" t="str">
        <f>IF(ISNUMBER(SEARCH("subrecipient",AI182)),P186*0.6,"")</f>
        <v/>
      </c>
      <c r="BS186" s="90">
        <v>185174</v>
      </c>
      <c r="BT186" s="90" t="str">
        <f>BJ186</f>
        <v>4C54DS88712-85</v>
      </c>
      <c r="BU186" s="127">
        <f>BK186</f>
        <v>43508</v>
      </c>
      <c r="BV186" s="127">
        <f>BL186</f>
        <v>44239</v>
      </c>
      <c r="BW186" s="90" t="str">
        <f>H186</f>
        <v>FDA</v>
      </c>
      <c r="BX186" s="90" t="str">
        <f>IF(H186="NATIONAL HEMOPHILIA FOUNDATION","Non Federal","Federal")</f>
        <v>Federal</v>
      </c>
      <c r="BY186" s="128">
        <f>BM186</f>
        <v>1498823.7000000002</v>
      </c>
      <c r="BZ186" s="90" t="str">
        <f>IF(LEN(BR186)&gt;0,1,"")</f>
        <v/>
      </c>
      <c r="CA186" s="90" t="str">
        <f>IF(LEN(BR186)&gt;0,"VIRAL HEPATITIS PROJECT","")</f>
        <v/>
      </c>
      <c r="CB186" s="129" t="str">
        <f>IF(LEN(BR186)&gt;0,BM186*0.7,"")</f>
        <v/>
      </c>
      <c r="CC186" s="90">
        <f>BP186</f>
        <v>1573764.8850000002</v>
      </c>
      <c r="CD186" s="90" t="str">
        <f>IF(LEN(BR186)&gt;0,"70%","")</f>
        <v/>
      </c>
      <c r="CE186" s="90">
        <f>BS186</f>
        <v>185174</v>
      </c>
      <c r="CF186" s="90" t="str">
        <f>CA186</f>
        <v/>
      </c>
      <c r="CG186" s="90"/>
      <c r="CH186" s="90"/>
      <c r="CI186" s="90"/>
      <c r="CJ186" s="90"/>
      <c r="CK186" s="90"/>
      <c r="CL186" s="90"/>
      <c r="CM186" s="90"/>
      <c r="CN186" s="90"/>
      <c r="CO186" s="90"/>
      <c r="CP186" s="90"/>
      <c r="CQ186" s="90"/>
      <c r="CR186" s="90"/>
      <c r="CS186" s="90"/>
      <c r="CT186" s="137"/>
    </row>
    <row r="187" spans="1:98" ht="60">
      <c r="A187" s="89">
        <v>185174</v>
      </c>
      <c r="B187" s="90">
        <v>2020</v>
      </c>
      <c r="C187" s="90" t="s">
        <v>81</v>
      </c>
      <c r="D187" s="90" t="s">
        <v>721</v>
      </c>
      <c r="E187" s="125" t="s">
        <v>729</v>
      </c>
      <c r="F187" s="24" t="s">
        <v>723</v>
      </c>
      <c r="G187" s="90" t="s">
        <v>85</v>
      </c>
      <c r="H187" s="90" t="s">
        <v>132</v>
      </c>
      <c r="I187" s="90">
        <v>93</v>
      </c>
      <c r="J187" s="90">
        <v>157</v>
      </c>
      <c r="K187" s="90" t="s">
        <v>85</v>
      </c>
      <c r="L187" s="90" t="s">
        <v>724</v>
      </c>
      <c r="M187" s="90" t="s">
        <v>119</v>
      </c>
      <c r="N187" s="24" t="s">
        <v>725</v>
      </c>
      <c r="O187" s="24" t="str">
        <f>IF(ISNUMBER(SEARCH("Cancer",N187)),"Cancer",IF(ISNUMBER(SEARCH("health",N187)),"Public health",IF(ISNUMBER(SEARCH("disabilities",N187)),"Disabilities","Other")))</f>
        <v>Public health</v>
      </c>
      <c r="P187" s="126">
        <v>1362567</v>
      </c>
      <c r="Q187" s="90" t="s">
        <v>85</v>
      </c>
      <c r="R187" s="90" t="str">
        <f>IF(P187&gt;20000000,"B","A")</f>
        <v>A</v>
      </c>
      <c r="S187" s="90" t="s">
        <v>90</v>
      </c>
      <c r="T187" s="90" t="s">
        <v>119</v>
      </c>
      <c r="U187" s="90" t="s">
        <v>119</v>
      </c>
      <c r="V187" s="90" t="s">
        <v>119</v>
      </c>
      <c r="W187" s="90" t="s">
        <v>119</v>
      </c>
      <c r="X187" s="90" t="s">
        <v>119</v>
      </c>
      <c r="Y187" s="90" t="s">
        <v>119</v>
      </c>
      <c r="Z187" s="90" t="s">
        <v>119</v>
      </c>
      <c r="AA187" s="90" t="s">
        <v>119</v>
      </c>
      <c r="AB187" s="90" t="s">
        <v>119</v>
      </c>
      <c r="AC187" s="90" t="s">
        <v>119</v>
      </c>
      <c r="AD187" s="90" t="s">
        <v>119</v>
      </c>
      <c r="AE187" s="24">
        <v>0</v>
      </c>
      <c r="AF187" s="90">
        <v>0</v>
      </c>
      <c r="AG187" s="24">
        <v>0</v>
      </c>
      <c r="AH187" s="90">
        <v>86704</v>
      </c>
      <c r="AI187" s="24" t="s">
        <v>110</v>
      </c>
      <c r="AJ187" s="24" t="s">
        <v>730</v>
      </c>
      <c r="AK187" s="90" t="s">
        <v>85</v>
      </c>
      <c r="AL187" s="90">
        <v>185174</v>
      </c>
      <c r="AM187" s="90" t="s">
        <v>81</v>
      </c>
      <c r="AN187" s="90" t="s">
        <v>721</v>
      </c>
      <c r="AO187" s="125" t="s">
        <v>729</v>
      </c>
      <c r="AP187" s="24" t="s">
        <v>725</v>
      </c>
      <c r="AQ187" s="90" t="s">
        <v>724</v>
      </c>
      <c r="AR187" s="24" t="s">
        <v>725</v>
      </c>
      <c r="AS187" s="90" t="s">
        <v>119</v>
      </c>
      <c r="AT187" s="24" t="s">
        <v>110</v>
      </c>
      <c r="AU187" s="90" t="s">
        <v>119</v>
      </c>
      <c r="AV187" s="90" t="str">
        <f>IF(ISNUMBER(SEARCH("disagree",AE187)),"N","Y")</f>
        <v>Y</v>
      </c>
      <c r="AW187" s="90" t="s">
        <v>119</v>
      </c>
      <c r="AX187" s="24" t="s">
        <v>119</v>
      </c>
      <c r="AY187" s="90" t="str">
        <f>CONCATENATE(AZ187,BA187,BB187,BC187)</f>
        <v/>
      </c>
      <c r="AZ187" s="90" t="str">
        <f>IF(ISNUMBER(SEARCH("Y",AC187)),"R","")</f>
        <v/>
      </c>
      <c r="BA187" s="90" t="str">
        <f>IF(ISNUMBER(SEARCH("Y",Y187)),"M","")</f>
        <v/>
      </c>
      <c r="BB187" s="90" t="str">
        <f>IF(ISNUMBER(SEARCH("Y",AB187)),"QC","")</f>
        <v/>
      </c>
      <c r="BC187" s="90" t="str">
        <f>IF(ISNUMBER(SEARCH("Y",Z187)),"S","")</f>
        <v/>
      </c>
      <c r="BD187" s="90"/>
      <c r="BE187" s="24" t="s">
        <v>119</v>
      </c>
      <c r="BF187" s="125" t="str">
        <f>IF(AND(AW187&gt;=56543,AW187&lt;=76543,LEN(AW187)&gt;0),"3 Feb 2020",IF(AND(AW187&gt;=66544,AW187&lt;=99999,LEN(AW187)&gt;0),"12 Sep 2020",""))</f>
        <v/>
      </c>
      <c r="BG187" s="125" t="str">
        <f>IF((AND(BF187="3 Feb 2020",LEN(BF187)&gt;0)),"Completed",IF((AND(BF187="12 Sep 2020",LEN(BF187)&gt;0)),"Pending",""))</f>
        <v/>
      </c>
      <c r="BH187" s="90" t="str">
        <f>IF((AND(BF187="3 Feb 2020",LEN(BF187)&gt;0)),"3 Feb 2020","")</f>
        <v/>
      </c>
      <c r="BI187" s="90">
        <v>185174</v>
      </c>
      <c r="BJ187" s="90" t="str">
        <f>L187</f>
        <v>4C54DS88712-85</v>
      </c>
      <c r="BK187" s="127">
        <v>43508</v>
      </c>
      <c r="BL187" s="127">
        <v>44239</v>
      </c>
      <c r="BM187" s="128">
        <f>P187*1.1</f>
        <v>1498823.7000000002</v>
      </c>
      <c r="BN187" s="129">
        <f>P187*0.9</f>
        <v>1226310.3</v>
      </c>
      <c r="BO187" s="130">
        <f>P187*0.8</f>
        <v>1090053.6000000001</v>
      </c>
      <c r="BP187" s="90">
        <f>IF(Z187="Y",BM187*0.4,BM187*1.05)</f>
        <v>1573764.8850000002</v>
      </c>
      <c r="BQ187" s="90">
        <f>BP187*0.8</f>
        <v>1259011.9080000003</v>
      </c>
      <c r="BR187" s="90" t="str">
        <f>IF(ISNUMBER(SEARCH("subrecipient",AI183)),P187*0.6,"")</f>
        <v/>
      </c>
      <c r="BS187" s="90">
        <v>185174</v>
      </c>
      <c r="BT187" s="90" t="str">
        <f>BJ187</f>
        <v>4C54DS88712-85</v>
      </c>
      <c r="BU187" s="127">
        <f>BK187</f>
        <v>43508</v>
      </c>
      <c r="BV187" s="127">
        <f>BL187</f>
        <v>44239</v>
      </c>
      <c r="BW187" s="90" t="str">
        <f>H187</f>
        <v>FDA</v>
      </c>
      <c r="BX187" s="90" t="str">
        <f>IF(H187="NATIONAL HEMOPHILIA FOUNDATION","Non Federal","Federal")</f>
        <v>Federal</v>
      </c>
      <c r="BY187" s="128">
        <f>BM187</f>
        <v>1498823.7000000002</v>
      </c>
      <c r="BZ187" s="90" t="str">
        <f>IF(LEN(BR187)&gt;0,1,"")</f>
        <v/>
      </c>
      <c r="CA187" s="90" t="str">
        <f>IF(LEN(BR187)&gt;0,"VIRAL HEPATITIS PROJECT","")</f>
        <v/>
      </c>
      <c r="CB187" s="129" t="str">
        <f>IF(LEN(BR187)&gt;0,BM187*0.7,"")</f>
        <v/>
      </c>
      <c r="CC187" s="90">
        <f>BP187</f>
        <v>1573764.8850000002</v>
      </c>
      <c r="CD187" s="90" t="str">
        <f>IF(LEN(BR187)&gt;0,"70%","")</f>
        <v/>
      </c>
      <c r="CE187" s="90">
        <f>BS187</f>
        <v>185174</v>
      </c>
      <c r="CF187" s="90" t="str">
        <f>CA187</f>
        <v/>
      </c>
      <c r="CG187" s="90"/>
      <c r="CH187" s="90"/>
      <c r="CI187" s="90"/>
      <c r="CJ187" s="90"/>
      <c r="CK187" s="90"/>
      <c r="CL187" s="90"/>
      <c r="CM187" s="90"/>
      <c r="CN187" s="90"/>
      <c r="CO187" s="90"/>
      <c r="CP187" s="90"/>
      <c r="CQ187" s="90"/>
      <c r="CR187" s="90"/>
      <c r="CS187" s="90"/>
      <c r="CT187" s="137"/>
    </row>
    <row r="188" spans="1:98" ht="105">
      <c r="A188" s="89">
        <v>185174</v>
      </c>
      <c r="B188" s="90">
        <v>2020</v>
      </c>
      <c r="C188" s="90" t="s">
        <v>81</v>
      </c>
      <c r="D188" s="90" t="s">
        <v>721</v>
      </c>
      <c r="E188" s="125" t="s">
        <v>731</v>
      </c>
      <c r="F188" s="24" t="s">
        <v>723</v>
      </c>
      <c r="G188" s="90" t="s">
        <v>85</v>
      </c>
      <c r="H188" s="90" t="s">
        <v>132</v>
      </c>
      <c r="I188" s="90">
        <v>93</v>
      </c>
      <c r="J188" s="90">
        <v>157</v>
      </c>
      <c r="K188" s="90" t="s">
        <v>85</v>
      </c>
      <c r="L188" s="90" t="s">
        <v>724</v>
      </c>
      <c r="M188" s="90" t="s">
        <v>119</v>
      </c>
      <c r="N188" s="24" t="s">
        <v>725</v>
      </c>
      <c r="O188" s="24" t="str">
        <f>IF(ISNUMBER(SEARCH("Cancer",N188)),"Cancer",IF(ISNUMBER(SEARCH("health",N188)),"Public health",IF(ISNUMBER(SEARCH("disabilities",N188)),"Disabilities","Other")))</f>
        <v>Public health</v>
      </c>
      <c r="P188" s="126">
        <v>1362567</v>
      </c>
      <c r="Q188" s="90" t="s">
        <v>85</v>
      </c>
      <c r="R188" s="90" t="str">
        <f>IF(P188&gt;20000000,"B","A")</f>
        <v>A</v>
      </c>
      <c r="S188" s="90" t="s">
        <v>90</v>
      </c>
      <c r="T188" s="90" t="s">
        <v>119</v>
      </c>
      <c r="U188" s="90" t="s">
        <v>119</v>
      </c>
      <c r="V188" s="90" t="s">
        <v>119</v>
      </c>
      <c r="W188" s="90" t="s">
        <v>119</v>
      </c>
      <c r="X188" s="90" t="s">
        <v>119</v>
      </c>
      <c r="Y188" s="90" t="s">
        <v>119</v>
      </c>
      <c r="Z188" s="90" t="s">
        <v>119</v>
      </c>
      <c r="AA188" s="90" t="s">
        <v>119</v>
      </c>
      <c r="AB188" s="90" t="s">
        <v>119</v>
      </c>
      <c r="AC188" s="90" t="s">
        <v>119</v>
      </c>
      <c r="AD188" s="90" t="s">
        <v>119</v>
      </c>
      <c r="AE188" s="24">
        <v>0</v>
      </c>
      <c r="AF188" s="90">
        <v>0</v>
      </c>
      <c r="AG188" s="24">
        <v>0</v>
      </c>
      <c r="AH188" s="90">
        <v>86705</v>
      </c>
      <c r="AI188" s="24" t="s">
        <v>732</v>
      </c>
      <c r="AJ188" s="24" t="s">
        <v>733</v>
      </c>
      <c r="AK188" s="90" t="s">
        <v>85</v>
      </c>
      <c r="AL188" s="90">
        <v>185174</v>
      </c>
      <c r="AM188" s="90" t="s">
        <v>81</v>
      </c>
      <c r="AN188" s="90" t="s">
        <v>721</v>
      </c>
      <c r="AO188" s="125" t="s">
        <v>731</v>
      </c>
      <c r="AP188" s="24" t="s">
        <v>725</v>
      </c>
      <c r="AQ188" s="90" t="s">
        <v>724</v>
      </c>
      <c r="AR188" s="24" t="s">
        <v>725</v>
      </c>
      <c r="AS188" s="90" t="s">
        <v>119</v>
      </c>
      <c r="AT188" s="24" t="s">
        <v>732</v>
      </c>
      <c r="AU188" s="90" t="s">
        <v>119</v>
      </c>
      <c r="AV188" s="90" t="str">
        <f>IF(ISNUMBER(SEARCH("disagree",AE188)),"N","Y")</f>
        <v>Y</v>
      </c>
      <c r="AW188" s="90" t="s">
        <v>119</v>
      </c>
      <c r="AX188" s="24" t="s">
        <v>119</v>
      </c>
      <c r="AY188" s="90" t="str">
        <f>CONCATENATE(AZ188,BA188,BB188,BC188)</f>
        <v/>
      </c>
      <c r="AZ188" s="90" t="str">
        <f>IF(ISNUMBER(SEARCH("Y",AC188)),"R","")</f>
        <v/>
      </c>
      <c r="BA188" s="90" t="str">
        <f>IF(ISNUMBER(SEARCH("Y",Y188)),"M","")</f>
        <v/>
      </c>
      <c r="BB188" s="90" t="str">
        <f>IF(ISNUMBER(SEARCH("Y",AB188)),"QC","")</f>
        <v/>
      </c>
      <c r="BC188" s="90" t="str">
        <f>IF(ISNUMBER(SEARCH("Y",Z188)),"S","")</f>
        <v/>
      </c>
      <c r="BD188" s="90"/>
      <c r="BE188" s="24" t="s">
        <v>119</v>
      </c>
      <c r="BF188" s="125" t="str">
        <f>IF(AND(AW188&gt;=56543,AW188&lt;=76543,LEN(AW188)&gt;0),"3 Feb 2020",IF(AND(AW188&gt;=66544,AW188&lt;=99999,LEN(AW188)&gt;0),"12 Sep 2020",""))</f>
        <v/>
      </c>
      <c r="BG188" s="125" t="str">
        <f>IF((AND(BF188="3 Feb 2020",LEN(BF188)&gt;0)),"Completed",IF((AND(BF188="12 Sep 2020",LEN(BF188)&gt;0)),"Pending",""))</f>
        <v/>
      </c>
      <c r="BH188" s="90" t="str">
        <f>IF((AND(BF188="3 Feb 2020",LEN(BF188)&gt;0)),"3 Feb 2020","")</f>
        <v/>
      </c>
      <c r="BI188" s="90">
        <v>185174</v>
      </c>
      <c r="BJ188" s="90" t="str">
        <f>L188</f>
        <v>4C54DS88712-85</v>
      </c>
      <c r="BK188" s="127">
        <v>43508</v>
      </c>
      <c r="BL188" s="127">
        <v>44239</v>
      </c>
      <c r="BM188" s="128">
        <f>P188*1.1</f>
        <v>1498823.7000000002</v>
      </c>
      <c r="BN188" s="129">
        <f>P188*0.9</f>
        <v>1226310.3</v>
      </c>
      <c r="BO188" s="130">
        <f>P188*0.8</f>
        <v>1090053.6000000001</v>
      </c>
      <c r="BP188" s="90">
        <f>IF(Z188="Y",BM188*0.4,BM188*1.05)</f>
        <v>1573764.8850000002</v>
      </c>
      <c r="BQ188" s="90">
        <f>BP188*0.8</f>
        <v>1259011.9080000003</v>
      </c>
      <c r="BR188" s="90" t="str">
        <f>IF(ISNUMBER(SEARCH("subrecipient",AI184)),P188*0.6,"")</f>
        <v/>
      </c>
      <c r="BS188" s="90">
        <v>185174</v>
      </c>
      <c r="BT188" s="90" t="str">
        <f>BJ188</f>
        <v>4C54DS88712-85</v>
      </c>
      <c r="BU188" s="127">
        <f>BK188</f>
        <v>43508</v>
      </c>
      <c r="BV188" s="127">
        <f>BL188</f>
        <v>44239</v>
      </c>
      <c r="BW188" s="90" t="str">
        <f>H188</f>
        <v>FDA</v>
      </c>
      <c r="BX188" s="90" t="str">
        <f>IF(H188="NATIONAL HEMOPHILIA FOUNDATION","Non Federal","Federal")</f>
        <v>Federal</v>
      </c>
      <c r="BY188" s="128">
        <f>BM188</f>
        <v>1498823.7000000002</v>
      </c>
      <c r="BZ188" s="90" t="str">
        <f>IF(LEN(BR188)&gt;0,1,"")</f>
        <v/>
      </c>
      <c r="CA188" s="90" t="str">
        <f>IF(LEN(BR188)&gt;0,"VIRAL HEPATITIS PROJECT","")</f>
        <v/>
      </c>
      <c r="CB188" s="129" t="str">
        <f>IF(LEN(BR188)&gt;0,BM188*0.7,"")</f>
        <v/>
      </c>
      <c r="CC188" s="90">
        <f>BP188</f>
        <v>1573764.8850000002</v>
      </c>
      <c r="CD188" s="90" t="str">
        <f>IF(LEN(BR188)&gt;0,"70%","")</f>
        <v/>
      </c>
      <c r="CE188" s="90">
        <f>BS188</f>
        <v>185174</v>
      </c>
      <c r="CF188" s="90" t="str">
        <f>CA188</f>
        <v/>
      </c>
      <c r="CG188" s="90"/>
      <c r="CH188" s="90"/>
      <c r="CI188" s="90"/>
      <c r="CJ188" s="90"/>
      <c r="CK188" s="90"/>
      <c r="CL188" s="90"/>
      <c r="CM188" s="90"/>
      <c r="CN188" s="90"/>
      <c r="CO188" s="90"/>
      <c r="CP188" s="90"/>
      <c r="CQ188" s="90"/>
      <c r="CR188" s="90"/>
      <c r="CS188" s="90"/>
      <c r="CT188" s="137"/>
    </row>
    <row r="189" spans="1:98" ht="75">
      <c r="A189" s="89">
        <v>185192</v>
      </c>
      <c r="B189" s="90">
        <v>2020</v>
      </c>
      <c r="C189" s="90" t="s">
        <v>81</v>
      </c>
      <c r="D189" s="90" t="s">
        <v>734</v>
      </c>
      <c r="E189" s="125" t="s">
        <v>735</v>
      </c>
      <c r="F189" s="24" t="s">
        <v>736</v>
      </c>
      <c r="G189" s="90" t="s">
        <v>85</v>
      </c>
      <c r="H189" s="90" t="s">
        <v>150</v>
      </c>
      <c r="I189" s="90">
        <v>93</v>
      </c>
      <c r="J189" s="90">
        <v>157</v>
      </c>
      <c r="K189" s="90" t="s">
        <v>85</v>
      </c>
      <c r="L189" s="90" t="s">
        <v>737</v>
      </c>
      <c r="M189" s="90" t="s">
        <v>119</v>
      </c>
      <c r="N189" s="24" t="s">
        <v>738</v>
      </c>
      <c r="O189" s="24" t="str">
        <f>IF(ISNUMBER(SEARCH("Cancer",N189)),"Cancer",IF(ISNUMBER(SEARCH("health",N189)),"Public health",IF(ISNUMBER(SEARCH("disabilities",N189)),"Disabilities","Other")))</f>
        <v>Other</v>
      </c>
      <c r="P189" s="126">
        <v>1642256</v>
      </c>
      <c r="Q189" s="90" t="s">
        <v>85</v>
      </c>
      <c r="R189" s="90" t="str">
        <f>IF(P189&gt;20000000,"B","A")</f>
        <v>A</v>
      </c>
      <c r="S189" s="90" t="s">
        <v>90</v>
      </c>
      <c r="T189" s="90" t="s">
        <v>119</v>
      </c>
      <c r="U189" s="90" t="s">
        <v>119</v>
      </c>
      <c r="V189" s="90" t="s">
        <v>119</v>
      </c>
      <c r="W189" s="90" t="s">
        <v>119</v>
      </c>
      <c r="X189" s="90" t="s">
        <v>119</v>
      </c>
      <c r="Y189" s="90" t="s">
        <v>119</v>
      </c>
      <c r="Z189" s="90" t="s">
        <v>119</v>
      </c>
      <c r="AA189" s="90" t="s">
        <v>119</v>
      </c>
      <c r="AB189" s="90" t="s">
        <v>119</v>
      </c>
      <c r="AC189" s="90" t="s">
        <v>119</v>
      </c>
      <c r="AD189" s="90" t="s">
        <v>119</v>
      </c>
      <c r="AE189" s="24">
        <v>0</v>
      </c>
      <c r="AF189" s="90">
        <v>0</v>
      </c>
      <c r="AG189" s="24">
        <v>0</v>
      </c>
      <c r="AH189" s="90">
        <v>85444</v>
      </c>
      <c r="AI189" s="24" t="s">
        <v>94</v>
      </c>
      <c r="AJ189" s="24" t="s">
        <v>739</v>
      </c>
      <c r="AK189" s="90" t="s">
        <v>85</v>
      </c>
      <c r="AL189" s="90">
        <v>185192</v>
      </c>
      <c r="AM189" s="90" t="s">
        <v>81</v>
      </c>
      <c r="AN189" s="90" t="s">
        <v>734</v>
      </c>
      <c r="AO189" s="125" t="s">
        <v>735</v>
      </c>
      <c r="AP189" s="24" t="s">
        <v>738</v>
      </c>
      <c r="AQ189" s="90" t="s">
        <v>737</v>
      </c>
      <c r="AR189" s="24" t="s">
        <v>738</v>
      </c>
      <c r="AS189" s="90" t="s">
        <v>119</v>
      </c>
      <c r="AT189" s="24" t="s">
        <v>94</v>
      </c>
      <c r="AU189" s="90" t="s">
        <v>119</v>
      </c>
      <c r="AV189" s="90" t="str">
        <f>IF(ISNUMBER(SEARCH("disagree",AE189)),"N","Y")</f>
        <v>Y</v>
      </c>
      <c r="AW189" s="90" t="s">
        <v>119</v>
      </c>
      <c r="AX189" s="24" t="s">
        <v>119</v>
      </c>
      <c r="AY189" s="90" t="str">
        <f>CONCATENATE(AZ189,BA189,BB189,BC189)</f>
        <v/>
      </c>
      <c r="AZ189" s="90" t="str">
        <f>IF(ISNUMBER(SEARCH("Y",AC189)),"R","")</f>
        <v/>
      </c>
      <c r="BA189" s="90" t="str">
        <f>IF(ISNUMBER(SEARCH("Y",Y189)),"M","")</f>
        <v/>
      </c>
      <c r="BB189" s="90" t="str">
        <f>IF(ISNUMBER(SEARCH("Y",AB189)),"QC","")</f>
        <v/>
      </c>
      <c r="BC189" s="90" t="str">
        <f>IF(ISNUMBER(SEARCH("Y",Z189)),"S","")</f>
        <v/>
      </c>
      <c r="BD189" s="90"/>
      <c r="BE189" s="24" t="s">
        <v>119</v>
      </c>
      <c r="BF189" s="125" t="str">
        <f>IF(AND(AW189&gt;=56543,AW189&lt;=76543,LEN(AW189)&gt;0),"3 Feb 2020",IF(AND(AW189&gt;=66544,AW189&lt;=99999,LEN(AW189)&gt;0),"12 Sep 2020",""))</f>
        <v/>
      </c>
      <c r="BG189" s="125" t="str">
        <f>IF((AND(BF189="3 Feb 2020",LEN(BF189)&gt;0)),"Completed",IF((AND(BF189="12 Sep 2020",LEN(BF189)&gt;0)),"Pending",""))</f>
        <v/>
      </c>
      <c r="BH189" s="90" t="str">
        <f>IF((AND(BF189="3 Feb 2020",LEN(BF189)&gt;0)),"3 Feb 2020","")</f>
        <v/>
      </c>
      <c r="BI189" s="90">
        <v>185192</v>
      </c>
      <c r="BJ189" s="90" t="str">
        <f>L189</f>
        <v>2C56ES86702-12</v>
      </c>
      <c r="BK189" s="127">
        <v>43508</v>
      </c>
      <c r="BL189" s="127">
        <v>44239</v>
      </c>
      <c r="BM189" s="128">
        <f>P189*1.1</f>
        <v>1806481.6</v>
      </c>
      <c r="BN189" s="129">
        <f>P189*0.9</f>
        <v>1478030.4000000001</v>
      </c>
      <c r="BO189" s="130">
        <f>P189*0.8</f>
        <v>1313804.8</v>
      </c>
      <c r="BP189" s="90">
        <f>IF(Z189="Y",BM189*0.4,BM189*1.05)</f>
        <v>1896805.6800000002</v>
      </c>
      <c r="BQ189" s="90">
        <f>BP189*0.8</f>
        <v>1517444.5440000002</v>
      </c>
      <c r="BR189" s="90" t="str">
        <f>IF(ISNUMBER(SEARCH("subrecipient",AI185)),P189*0.6,"")</f>
        <v/>
      </c>
      <c r="BS189" s="90">
        <v>185192</v>
      </c>
      <c r="BT189" s="90" t="str">
        <f>BJ189</f>
        <v>2C56ES86702-12</v>
      </c>
      <c r="BU189" s="127">
        <f>BK189</f>
        <v>43508</v>
      </c>
      <c r="BV189" s="127">
        <f>BL189</f>
        <v>44239</v>
      </c>
      <c r="BW189" s="90" t="str">
        <f>H189</f>
        <v>ACF</v>
      </c>
      <c r="BX189" s="90" t="str">
        <f>IF(H189="NATIONAL HEMOPHILIA FOUNDATION","Non Federal","Federal")</f>
        <v>Federal</v>
      </c>
      <c r="BY189" s="128">
        <f>BM189</f>
        <v>1806481.6</v>
      </c>
      <c r="BZ189" s="90" t="str">
        <f>IF(LEN(BR189)&gt;0,1,"")</f>
        <v/>
      </c>
      <c r="CA189" s="90" t="str">
        <f>IF(LEN(BR189)&gt;0,"VIRAL HEPATITIS PROJECT","")</f>
        <v/>
      </c>
      <c r="CB189" s="129" t="str">
        <f>IF(LEN(BR189)&gt;0,BM189*0.7,"")</f>
        <v/>
      </c>
      <c r="CC189" s="90">
        <f>BP189</f>
        <v>1896805.6800000002</v>
      </c>
      <c r="CD189" s="90" t="str">
        <f>IF(LEN(BR189)&gt;0,"70%","")</f>
        <v/>
      </c>
      <c r="CE189" s="90">
        <f>BS189</f>
        <v>185192</v>
      </c>
      <c r="CF189" s="90" t="str">
        <f>CA189</f>
        <v/>
      </c>
      <c r="CG189" s="90"/>
      <c r="CH189" s="90"/>
      <c r="CI189" s="90"/>
      <c r="CJ189" s="90"/>
      <c r="CK189" s="90"/>
      <c r="CL189" s="90"/>
      <c r="CM189" s="90"/>
      <c r="CN189" s="90"/>
      <c r="CO189" s="90"/>
      <c r="CP189" s="90"/>
      <c r="CQ189" s="90"/>
      <c r="CR189" s="90"/>
      <c r="CS189" s="90"/>
      <c r="CT189" s="137"/>
    </row>
    <row r="190" spans="1:98" ht="75">
      <c r="A190" s="89">
        <v>185192</v>
      </c>
      <c r="B190" s="90">
        <v>2020</v>
      </c>
      <c r="C190" s="90" t="s">
        <v>81</v>
      </c>
      <c r="D190" s="90" t="s">
        <v>734</v>
      </c>
      <c r="E190" s="125" t="s">
        <v>740</v>
      </c>
      <c r="F190" s="24" t="s">
        <v>736</v>
      </c>
      <c r="G190" s="90" t="s">
        <v>85</v>
      </c>
      <c r="H190" s="90" t="s">
        <v>150</v>
      </c>
      <c r="I190" s="90">
        <v>93</v>
      </c>
      <c r="J190" s="90">
        <v>157</v>
      </c>
      <c r="K190" s="90" t="s">
        <v>85</v>
      </c>
      <c r="L190" s="90" t="s">
        <v>737</v>
      </c>
      <c r="M190" s="90" t="s">
        <v>119</v>
      </c>
      <c r="N190" s="24" t="s">
        <v>738</v>
      </c>
      <c r="O190" s="24" t="str">
        <f>IF(ISNUMBER(SEARCH("Cancer",N190)),"Cancer",IF(ISNUMBER(SEARCH("health",N190)),"Public health",IF(ISNUMBER(SEARCH("disabilities",N190)),"Disabilities","Other")))</f>
        <v>Other</v>
      </c>
      <c r="P190" s="126">
        <v>1642256</v>
      </c>
      <c r="Q190" s="90" t="s">
        <v>85</v>
      </c>
      <c r="R190" s="90" t="str">
        <f>IF(P190&gt;20000000,"B","A")</f>
        <v>A</v>
      </c>
      <c r="S190" s="90" t="s">
        <v>90</v>
      </c>
      <c r="T190" s="90" t="s">
        <v>119</v>
      </c>
      <c r="U190" s="90" t="s">
        <v>119</v>
      </c>
      <c r="V190" s="90" t="s">
        <v>119</v>
      </c>
      <c r="W190" s="90" t="s">
        <v>119</v>
      </c>
      <c r="X190" s="90" t="s">
        <v>119</v>
      </c>
      <c r="Y190" s="90" t="s">
        <v>119</v>
      </c>
      <c r="Z190" s="90" t="s">
        <v>119</v>
      </c>
      <c r="AA190" s="90" t="s">
        <v>119</v>
      </c>
      <c r="AB190" s="90" t="s">
        <v>119</v>
      </c>
      <c r="AC190" s="90" t="s">
        <v>119</v>
      </c>
      <c r="AD190" s="90" t="s">
        <v>119</v>
      </c>
      <c r="AE190" s="24">
        <v>0</v>
      </c>
      <c r="AF190" s="90">
        <v>0</v>
      </c>
      <c r="AG190" s="24">
        <v>0</v>
      </c>
      <c r="AH190" s="90">
        <v>85445</v>
      </c>
      <c r="AI190" s="24" t="s">
        <v>102</v>
      </c>
      <c r="AJ190" s="24" t="s">
        <v>103</v>
      </c>
      <c r="AK190" s="90" t="s">
        <v>85</v>
      </c>
      <c r="AL190" s="90">
        <v>185192</v>
      </c>
      <c r="AM190" s="90" t="s">
        <v>81</v>
      </c>
      <c r="AN190" s="90" t="s">
        <v>734</v>
      </c>
      <c r="AO190" s="125" t="s">
        <v>740</v>
      </c>
      <c r="AP190" s="24" t="s">
        <v>738</v>
      </c>
      <c r="AQ190" s="90" t="s">
        <v>737</v>
      </c>
      <c r="AR190" s="24" t="s">
        <v>738</v>
      </c>
      <c r="AS190" s="90" t="s">
        <v>119</v>
      </c>
      <c r="AT190" s="24" t="s">
        <v>102</v>
      </c>
      <c r="AU190" s="90" t="s">
        <v>119</v>
      </c>
      <c r="AV190" s="90" t="str">
        <f>IF(ISNUMBER(SEARCH("disagree",AE190)),"N","Y")</f>
        <v>Y</v>
      </c>
      <c r="AW190" s="90" t="s">
        <v>119</v>
      </c>
      <c r="AX190" s="24" t="s">
        <v>119</v>
      </c>
      <c r="AY190" s="90" t="str">
        <f>CONCATENATE(AZ190,BA190,BB190,BC190)</f>
        <v/>
      </c>
      <c r="AZ190" s="90" t="str">
        <f>IF(ISNUMBER(SEARCH("Y",AC190)),"R","")</f>
        <v/>
      </c>
      <c r="BA190" s="90" t="str">
        <f>IF(ISNUMBER(SEARCH("Y",Y190)),"M","")</f>
        <v/>
      </c>
      <c r="BB190" s="90" t="str">
        <f>IF(ISNUMBER(SEARCH("Y",AB190)),"QC","")</f>
        <v/>
      </c>
      <c r="BC190" s="90" t="str">
        <f>IF(ISNUMBER(SEARCH("Y",Z190)),"S","")</f>
        <v/>
      </c>
      <c r="BD190" s="90"/>
      <c r="BE190" s="24" t="s">
        <v>119</v>
      </c>
      <c r="BF190" s="125" t="str">
        <f>IF(AND(AW190&gt;=56543,AW190&lt;=76543,LEN(AW190)&gt;0),"3 Feb 2020",IF(AND(AW190&gt;=66544,AW190&lt;=99999,LEN(AW190)&gt;0),"12 Sep 2020",""))</f>
        <v/>
      </c>
      <c r="BG190" s="125" t="str">
        <f>IF((AND(BF190="3 Feb 2020",LEN(BF190)&gt;0)),"Completed",IF((AND(BF190="12 Sep 2020",LEN(BF190)&gt;0)),"Pending",""))</f>
        <v/>
      </c>
      <c r="BH190" s="90" t="str">
        <f>IF((AND(BF190="3 Feb 2020",LEN(BF190)&gt;0)),"3 Feb 2020","")</f>
        <v/>
      </c>
      <c r="BI190" s="90">
        <v>185192</v>
      </c>
      <c r="BJ190" s="90" t="str">
        <f>L190</f>
        <v>2C56ES86702-12</v>
      </c>
      <c r="BK190" s="127">
        <v>43508</v>
      </c>
      <c r="BL190" s="127">
        <v>44239</v>
      </c>
      <c r="BM190" s="128">
        <f>P190*1.1</f>
        <v>1806481.6</v>
      </c>
      <c r="BN190" s="129">
        <f>P190*0.9</f>
        <v>1478030.4000000001</v>
      </c>
      <c r="BO190" s="130">
        <f>P190*0.8</f>
        <v>1313804.8</v>
      </c>
      <c r="BP190" s="90">
        <f>IF(Z190="Y",BM190*0.4,BM190*1.05)</f>
        <v>1896805.6800000002</v>
      </c>
      <c r="BQ190" s="90">
        <f>BP190*0.8</f>
        <v>1517444.5440000002</v>
      </c>
      <c r="BR190" s="90" t="str">
        <f>IF(ISNUMBER(SEARCH("subrecipient",AI186)),P190*0.6,"")</f>
        <v/>
      </c>
      <c r="BS190" s="90">
        <v>185192</v>
      </c>
      <c r="BT190" s="90" t="str">
        <f>BJ190</f>
        <v>2C56ES86702-12</v>
      </c>
      <c r="BU190" s="127">
        <f>BK190</f>
        <v>43508</v>
      </c>
      <c r="BV190" s="127">
        <f>BL190</f>
        <v>44239</v>
      </c>
      <c r="BW190" s="90" t="str">
        <f>H190</f>
        <v>ACF</v>
      </c>
      <c r="BX190" s="90" t="str">
        <f>IF(H190="NATIONAL HEMOPHILIA FOUNDATION","Non Federal","Federal")</f>
        <v>Federal</v>
      </c>
      <c r="BY190" s="128">
        <f>BM190</f>
        <v>1806481.6</v>
      </c>
      <c r="BZ190" s="90" t="str">
        <f>IF(LEN(BR190)&gt;0,1,"")</f>
        <v/>
      </c>
      <c r="CA190" s="90" t="str">
        <f>IF(LEN(BR190)&gt;0,"VIRAL HEPATITIS PROJECT","")</f>
        <v/>
      </c>
      <c r="CB190" s="129" t="str">
        <f>IF(LEN(BR190)&gt;0,BM190*0.7,"")</f>
        <v/>
      </c>
      <c r="CC190" s="90">
        <f>BP190</f>
        <v>1896805.6800000002</v>
      </c>
      <c r="CD190" s="90" t="str">
        <f>IF(LEN(BR190)&gt;0,"70%","")</f>
        <v/>
      </c>
      <c r="CE190" s="90">
        <f>BS190</f>
        <v>185192</v>
      </c>
      <c r="CF190" s="90" t="str">
        <f>CA190</f>
        <v/>
      </c>
      <c r="CG190" s="90"/>
      <c r="CH190" s="90"/>
      <c r="CI190" s="90"/>
      <c r="CJ190" s="90"/>
      <c r="CK190" s="90"/>
      <c r="CL190" s="90"/>
      <c r="CM190" s="90"/>
      <c r="CN190" s="90"/>
      <c r="CO190" s="90"/>
      <c r="CP190" s="90"/>
      <c r="CQ190" s="90"/>
      <c r="CR190" s="90"/>
      <c r="CS190" s="90"/>
      <c r="CT190" s="137"/>
    </row>
    <row r="191" spans="1:98" ht="75">
      <c r="A191" s="89">
        <v>185192</v>
      </c>
      <c r="B191" s="90">
        <v>2020</v>
      </c>
      <c r="C191" s="90" t="s">
        <v>81</v>
      </c>
      <c r="D191" s="90" t="s">
        <v>734</v>
      </c>
      <c r="E191" s="125" t="s">
        <v>741</v>
      </c>
      <c r="F191" s="24" t="s">
        <v>736</v>
      </c>
      <c r="G191" s="90" t="s">
        <v>85</v>
      </c>
      <c r="H191" s="90" t="s">
        <v>150</v>
      </c>
      <c r="I191" s="90">
        <v>93</v>
      </c>
      <c r="J191" s="90">
        <v>157</v>
      </c>
      <c r="K191" s="90" t="s">
        <v>85</v>
      </c>
      <c r="L191" s="90" t="s">
        <v>737</v>
      </c>
      <c r="M191" s="90" t="s">
        <v>119</v>
      </c>
      <c r="N191" s="24" t="s">
        <v>738</v>
      </c>
      <c r="O191" s="24" t="str">
        <f>IF(ISNUMBER(SEARCH("Cancer",N191)),"Cancer",IF(ISNUMBER(SEARCH("health",N191)),"Public health",IF(ISNUMBER(SEARCH("disabilities",N191)),"Disabilities","Other")))</f>
        <v>Other</v>
      </c>
      <c r="P191" s="126">
        <v>1642256</v>
      </c>
      <c r="Q191" s="90" t="s">
        <v>85</v>
      </c>
      <c r="R191" s="90" t="str">
        <f>IF(P191&gt;20000000,"B","A")</f>
        <v>A</v>
      </c>
      <c r="S191" s="90" t="s">
        <v>90</v>
      </c>
      <c r="T191" s="90" t="s">
        <v>119</v>
      </c>
      <c r="U191" s="90" t="s">
        <v>119</v>
      </c>
      <c r="V191" s="90" t="s">
        <v>119</v>
      </c>
      <c r="W191" s="90" t="s">
        <v>119</v>
      </c>
      <c r="X191" s="90" t="s">
        <v>119</v>
      </c>
      <c r="Y191" s="90" t="s">
        <v>119</v>
      </c>
      <c r="Z191" s="90" t="s">
        <v>119</v>
      </c>
      <c r="AA191" s="90" t="s">
        <v>119</v>
      </c>
      <c r="AB191" s="90" t="s">
        <v>119</v>
      </c>
      <c r="AC191" s="90" t="s">
        <v>119</v>
      </c>
      <c r="AD191" s="90" t="s">
        <v>119</v>
      </c>
      <c r="AE191" s="24">
        <v>0</v>
      </c>
      <c r="AF191" s="90">
        <v>0</v>
      </c>
      <c r="AG191" s="24">
        <v>0</v>
      </c>
      <c r="AH191" s="90">
        <v>85446</v>
      </c>
      <c r="AI191" s="24" t="s">
        <v>110</v>
      </c>
      <c r="AJ191" s="24" t="s">
        <v>742</v>
      </c>
      <c r="AK191" s="90" t="s">
        <v>85</v>
      </c>
      <c r="AL191" s="90">
        <v>185192</v>
      </c>
      <c r="AM191" s="90" t="s">
        <v>81</v>
      </c>
      <c r="AN191" s="90" t="s">
        <v>734</v>
      </c>
      <c r="AO191" s="125" t="s">
        <v>741</v>
      </c>
      <c r="AP191" s="24" t="s">
        <v>738</v>
      </c>
      <c r="AQ191" s="90" t="s">
        <v>737</v>
      </c>
      <c r="AR191" s="24" t="s">
        <v>738</v>
      </c>
      <c r="AS191" s="90" t="s">
        <v>119</v>
      </c>
      <c r="AT191" s="24" t="s">
        <v>110</v>
      </c>
      <c r="AU191" s="90" t="s">
        <v>119</v>
      </c>
      <c r="AV191" s="90" t="str">
        <f>IF(ISNUMBER(SEARCH("disagree",AE191)),"N","Y")</f>
        <v>Y</v>
      </c>
      <c r="AW191" s="90" t="s">
        <v>119</v>
      </c>
      <c r="AX191" s="24" t="s">
        <v>119</v>
      </c>
      <c r="AY191" s="90" t="str">
        <f>CONCATENATE(AZ191,BA191,BB191,BC191)</f>
        <v/>
      </c>
      <c r="AZ191" s="90" t="str">
        <f>IF(ISNUMBER(SEARCH("Y",AC191)),"R","")</f>
        <v/>
      </c>
      <c r="BA191" s="90" t="str">
        <f>IF(ISNUMBER(SEARCH("Y",Y191)),"M","")</f>
        <v/>
      </c>
      <c r="BB191" s="90" t="str">
        <f>IF(ISNUMBER(SEARCH("Y",AB191)),"QC","")</f>
        <v/>
      </c>
      <c r="BC191" s="90" t="str">
        <f>IF(ISNUMBER(SEARCH("Y",Z191)),"S","")</f>
        <v/>
      </c>
      <c r="BD191" s="90"/>
      <c r="BE191" s="24" t="s">
        <v>119</v>
      </c>
      <c r="BF191" s="125" t="str">
        <f>IF(AND(AW191&gt;=56543,AW191&lt;=76543,LEN(AW191)&gt;0),"3 Feb 2020",IF(AND(AW191&gt;=66544,AW191&lt;=99999,LEN(AW191)&gt;0),"12 Sep 2020",""))</f>
        <v/>
      </c>
      <c r="BG191" s="125" t="str">
        <f>IF((AND(BF191="3 Feb 2020",LEN(BF191)&gt;0)),"Completed",IF((AND(BF191="12 Sep 2020",LEN(BF191)&gt;0)),"Pending",""))</f>
        <v/>
      </c>
      <c r="BH191" s="90" t="str">
        <f>IF((AND(BF191="3 Feb 2020",LEN(BF191)&gt;0)),"3 Feb 2020","")</f>
        <v/>
      </c>
      <c r="BI191" s="90">
        <v>185192</v>
      </c>
      <c r="BJ191" s="90" t="str">
        <f>L191</f>
        <v>2C56ES86702-12</v>
      </c>
      <c r="BK191" s="127">
        <v>43508</v>
      </c>
      <c r="BL191" s="127">
        <v>44239</v>
      </c>
      <c r="BM191" s="128">
        <f>P191*1.1</f>
        <v>1806481.6</v>
      </c>
      <c r="BN191" s="129">
        <f>P191*0.9</f>
        <v>1478030.4000000001</v>
      </c>
      <c r="BO191" s="130">
        <f>P191*0.8</f>
        <v>1313804.8</v>
      </c>
      <c r="BP191" s="90">
        <f>IF(Z191="Y",BM191*0.4,BM191*1.05)</f>
        <v>1896805.6800000002</v>
      </c>
      <c r="BQ191" s="90">
        <f>BP191*0.8</f>
        <v>1517444.5440000002</v>
      </c>
      <c r="BR191" s="90" t="str">
        <f>IF(ISNUMBER(SEARCH("subrecipient",AI187)),P191*0.6,"")</f>
        <v/>
      </c>
      <c r="BS191" s="90">
        <v>185192</v>
      </c>
      <c r="BT191" s="90" t="str">
        <f>BJ191</f>
        <v>2C56ES86702-12</v>
      </c>
      <c r="BU191" s="127">
        <f>BK191</f>
        <v>43508</v>
      </c>
      <c r="BV191" s="127">
        <f>BL191</f>
        <v>44239</v>
      </c>
      <c r="BW191" s="90" t="str">
        <f>H191</f>
        <v>ACF</v>
      </c>
      <c r="BX191" s="90" t="str">
        <f>IF(H191="NATIONAL HEMOPHILIA FOUNDATION","Non Federal","Federal")</f>
        <v>Federal</v>
      </c>
      <c r="BY191" s="128">
        <f>BM191</f>
        <v>1806481.6</v>
      </c>
      <c r="BZ191" s="90" t="str">
        <f>IF(LEN(BR191)&gt;0,1,"")</f>
        <v/>
      </c>
      <c r="CA191" s="90" t="str">
        <f>IF(LEN(BR191)&gt;0,"VIRAL HEPATITIS PROJECT","")</f>
        <v/>
      </c>
      <c r="CB191" s="129" t="str">
        <f>IF(LEN(BR191)&gt;0,BM191*0.7,"")</f>
        <v/>
      </c>
      <c r="CC191" s="90">
        <f>BP191</f>
        <v>1896805.6800000002</v>
      </c>
      <c r="CD191" s="90" t="str">
        <f>IF(LEN(BR191)&gt;0,"70%","")</f>
        <v/>
      </c>
      <c r="CE191" s="90">
        <f>BS191</f>
        <v>185192</v>
      </c>
      <c r="CF191" s="90" t="str">
        <f>CA191</f>
        <v/>
      </c>
      <c r="CG191" s="90"/>
      <c r="CH191" s="90"/>
      <c r="CI191" s="90"/>
      <c r="CJ191" s="90"/>
      <c r="CK191" s="90"/>
      <c r="CL191" s="90"/>
      <c r="CM191" s="90"/>
      <c r="CN191" s="90"/>
      <c r="CO191" s="90"/>
      <c r="CP191" s="90"/>
      <c r="CQ191" s="90"/>
      <c r="CR191" s="90"/>
      <c r="CS191" s="90"/>
      <c r="CT191" s="137"/>
    </row>
    <row r="192" spans="1:98" ht="195">
      <c r="A192" s="89">
        <v>185196</v>
      </c>
      <c r="B192" s="90">
        <v>2020</v>
      </c>
      <c r="C192" s="90" t="s">
        <v>81</v>
      </c>
      <c r="D192" s="90" t="s">
        <v>743</v>
      </c>
      <c r="E192" s="125" t="s">
        <v>744</v>
      </c>
      <c r="F192" s="24" t="s">
        <v>745</v>
      </c>
      <c r="G192" s="90" t="s">
        <v>85</v>
      </c>
      <c r="H192" s="90" t="s">
        <v>86</v>
      </c>
      <c r="I192" s="90">
        <v>93</v>
      </c>
      <c r="J192" s="90">
        <v>157</v>
      </c>
      <c r="K192" s="90" t="s">
        <v>85</v>
      </c>
      <c r="L192" s="90" t="s">
        <v>746</v>
      </c>
      <c r="M192" s="90" t="s">
        <v>119</v>
      </c>
      <c r="N192" s="24" t="s">
        <v>747</v>
      </c>
      <c r="O192" s="24" t="str">
        <f>IF(ISNUMBER(SEARCH("Cancer",N192)),"Cancer",IF(ISNUMBER(SEARCH("health",N192)),"Public health",IF(ISNUMBER(SEARCH("disabilities",N192)),"Disabilities","Other")))</f>
        <v>Cancer</v>
      </c>
      <c r="P192" s="126">
        <v>1158525</v>
      </c>
      <c r="Q192" s="90" t="s">
        <v>85</v>
      </c>
      <c r="R192" s="90" t="str">
        <f>IF(P192&gt;20000000,"B","A")</f>
        <v>A</v>
      </c>
      <c r="S192" s="90" t="s">
        <v>90</v>
      </c>
      <c r="T192" s="90" t="s">
        <v>119</v>
      </c>
      <c r="U192" s="90" t="s">
        <v>119</v>
      </c>
      <c r="V192" s="90" t="s">
        <v>119</v>
      </c>
      <c r="W192" s="90" t="s">
        <v>119</v>
      </c>
      <c r="X192" s="90" t="s">
        <v>119</v>
      </c>
      <c r="Y192" s="90" t="s">
        <v>119</v>
      </c>
      <c r="Z192" s="90" t="s">
        <v>119</v>
      </c>
      <c r="AA192" s="90" t="s">
        <v>119</v>
      </c>
      <c r="AB192" s="90" t="s">
        <v>119</v>
      </c>
      <c r="AC192" s="90" t="s">
        <v>119</v>
      </c>
      <c r="AD192" s="90" t="s">
        <v>119</v>
      </c>
      <c r="AE192" s="24">
        <v>0</v>
      </c>
      <c r="AF192" s="90">
        <v>0</v>
      </c>
      <c r="AG192" s="24">
        <v>0</v>
      </c>
      <c r="AH192" s="90">
        <v>85452</v>
      </c>
      <c r="AI192" s="24" t="s">
        <v>94</v>
      </c>
      <c r="AJ192" s="24" t="s">
        <v>95</v>
      </c>
      <c r="AK192" s="90" t="s">
        <v>85</v>
      </c>
      <c r="AL192" s="90">
        <v>185196</v>
      </c>
      <c r="AM192" s="90" t="s">
        <v>81</v>
      </c>
      <c r="AN192" s="90" t="s">
        <v>743</v>
      </c>
      <c r="AO192" s="125" t="s">
        <v>744</v>
      </c>
      <c r="AP192" s="24" t="s">
        <v>747</v>
      </c>
      <c r="AQ192" s="90" t="s">
        <v>746</v>
      </c>
      <c r="AR192" s="24" t="s">
        <v>747</v>
      </c>
      <c r="AS192" s="90" t="s">
        <v>119</v>
      </c>
      <c r="AT192" s="24" t="s">
        <v>94</v>
      </c>
      <c r="AU192" s="90" t="s">
        <v>119</v>
      </c>
      <c r="AV192" s="90" t="str">
        <f>IF(ISNUMBER(SEARCH("disagree",AE192)),"N","Y")</f>
        <v>Y</v>
      </c>
      <c r="AW192" s="90" t="s">
        <v>119</v>
      </c>
      <c r="AX192" s="24" t="s">
        <v>119</v>
      </c>
      <c r="AY192" s="90" t="str">
        <f>CONCATENATE(AZ192,BA192,BB192,BC192)</f>
        <v/>
      </c>
      <c r="AZ192" s="90" t="str">
        <f>IF(ISNUMBER(SEARCH("Y",AC192)),"R","")</f>
        <v/>
      </c>
      <c r="BA192" s="90" t="str">
        <f>IF(ISNUMBER(SEARCH("Y",Y192)),"M","")</f>
        <v/>
      </c>
      <c r="BB192" s="90" t="str">
        <f>IF(ISNUMBER(SEARCH("Y",AB192)),"QC","")</f>
        <v/>
      </c>
      <c r="BC192" s="90" t="str">
        <f>IF(ISNUMBER(SEARCH("Y",Z192)),"S","")</f>
        <v/>
      </c>
      <c r="BD192" s="90"/>
      <c r="BE192" s="24" t="s">
        <v>119</v>
      </c>
      <c r="BF192" s="125" t="str">
        <f>IF(AND(AW192&gt;=56543,AW192&lt;=76543,LEN(AW192)&gt;0),"3 Feb 2020",IF(AND(AW192&gt;=66544,AW192&lt;=99999,LEN(AW192)&gt;0),"12 Sep 2020",""))</f>
        <v/>
      </c>
      <c r="BG192" s="125" t="str">
        <f>IF((AND(BF192="3 Feb 2020",LEN(BF192)&gt;0)),"Completed",IF((AND(BF192="12 Sep 2020",LEN(BF192)&gt;0)),"Pending",""))</f>
        <v/>
      </c>
      <c r="BH192" s="90" t="str">
        <f>IF((AND(BF192="3 Feb 2020",LEN(BF192)&gt;0)),"3 Feb 2020","")</f>
        <v/>
      </c>
      <c r="BI192" s="90">
        <v>185196</v>
      </c>
      <c r="BJ192" s="90" t="str">
        <f>L192</f>
        <v>1C79IS86705-29</v>
      </c>
      <c r="BK192" s="127">
        <v>43508</v>
      </c>
      <c r="BL192" s="127">
        <v>44239</v>
      </c>
      <c r="BM192" s="128">
        <f>P192*1.1</f>
        <v>1274377.5</v>
      </c>
      <c r="BN192" s="129">
        <f>P192*0.9</f>
        <v>1042672.5</v>
      </c>
      <c r="BO192" s="130">
        <f>P192*0.8</f>
        <v>926820</v>
      </c>
      <c r="BP192" s="90">
        <f>IF(Z192="Y",BM192*0.4,BM192*1.05)</f>
        <v>1338096.375</v>
      </c>
      <c r="BQ192" s="90">
        <f>BP192*0.8</f>
        <v>1070477.1000000001</v>
      </c>
      <c r="BR192" s="90" t="str">
        <f>IF(ISNUMBER(SEARCH("subrecipient",AI188)),P192*0.6,"")</f>
        <v/>
      </c>
      <c r="BS192" s="90">
        <v>185196</v>
      </c>
      <c r="BT192" s="90" t="str">
        <f>BJ192</f>
        <v>1C79IS86705-29</v>
      </c>
      <c r="BU192" s="127">
        <f>BK192</f>
        <v>43508</v>
      </c>
      <c r="BV192" s="127">
        <f>BL192</f>
        <v>44239</v>
      </c>
      <c r="BW192" s="90" t="str">
        <f>H192</f>
        <v>CDC</v>
      </c>
      <c r="BX192" s="90" t="str">
        <f>IF(H192="NATIONAL HEMOPHILIA FOUNDATION","Non Federal","Federal")</f>
        <v>Federal</v>
      </c>
      <c r="BY192" s="128">
        <f>BM192</f>
        <v>1274377.5</v>
      </c>
      <c r="BZ192" s="90" t="str">
        <f>IF(LEN(BR192)&gt;0,1,"")</f>
        <v/>
      </c>
      <c r="CA192" s="90" t="str">
        <f>IF(LEN(BR192)&gt;0,"VIRAL HEPATITIS PROJECT","")</f>
        <v/>
      </c>
      <c r="CB192" s="129" t="str">
        <f>IF(LEN(BR192)&gt;0,BM192*0.7,"")</f>
        <v/>
      </c>
      <c r="CC192" s="90">
        <f>BP192</f>
        <v>1338096.375</v>
      </c>
      <c r="CD192" s="90" t="str">
        <f>IF(LEN(BR192)&gt;0,"70%","")</f>
        <v/>
      </c>
      <c r="CE192" s="90">
        <f>BS192</f>
        <v>185196</v>
      </c>
      <c r="CF192" s="90" t="str">
        <f>CA192</f>
        <v/>
      </c>
      <c r="CG192" s="90"/>
      <c r="CH192" s="90"/>
      <c r="CI192" s="90"/>
      <c r="CJ192" s="90"/>
      <c r="CK192" s="90"/>
      <c r="CL192" s="90"/>
      <c r="CM192" s="90"/>
      <c r="CN192" s="90"/>
      <c r="CO192" s="90"/>
      <c r="CP192" s="90"/>
      <c r="CQ192" s="90"/>
      <c r="CR192" s="90"/>
      <c r="CS192" s="90"/>
      <c r="CT192" s="137"/>
    </row>
    <row r="193" spans="1:98" ht="195">
      <c r="A193" s="89">
        <v>185196</v>
      </c>
      <c r="B193" s="90">
        <v>2020</v>
      </c>
      <c r="C193" s="90" t="s">
        <v>81</v>
      </c>
      <c r="D193" s="90" t="s">
        <v>743</v>
      </c>
      <c r="E193" s="125" t="s">
        <v>748</v>
      </c>
      <c r="F193" s="24" t="s">
        <v>745</v>
      </c>
      <c r="G193" s="90" t="s">
        <v>85</v>
      </c>
      <c r="H193" s="90" t="s">
        <v>86</v>
      </c>
      <c r="I193" s="90">
        <v>93</v>
      </c>
      <c r="J193" s="90">
        <v>157</v>
      </c>
      <c r="K193" s="90" t="s">
        <v>85</v>
      </c>
      <c r="L193" s="90" t="s">
        <v>746</v>
      </c>
      <c r="M193" s="90" t="s">
        <v>119</v>
      </c>
      <c r="N193" s="24" t="s">
        <v>747</v>
      </c>
      <c r="O193" s="24" t="str">
        <f>IF(ISNUMBER(SEARCH("Cancer",N193)),"Cancer",IF(ISNUMBER(SEARCH("health",N193)),"Public health",IF(ISNUMBER(SEARCH("disabilities",N193)),"Disabilities","Other")))</f>
        <v>Cancer</v>
      </c>
      <c r="P193" s="126">
        <v>1158525</v>
      </c>
      <c r="Q193" s="90" t="s">
        <v>85</v>
      </c>
      <c r="R193" s="90" t="str">
        <f>IF(P193&gt;20000000,"B","A")</f>
        <v>A</v>
      </c>
      <c r="S193" s="90" t="s">
        <v>90</v>
      </c>
      <c r="T193" s="90" t="s">
        <v>119</v>
      </c>
      <c r="U193" s="90" t="s">
        <v>119</v>
      </c>
      <c r="V193" s="90" t="s">
        <v>119</v>
      </c>
      <c r="W193" s="90" t="s">
        <v>119</v>
      </c>
      <c r="X193" s="90" t="s">
        <v>119</v>
      </c>
      <c r="Y193" s="90" t="s">
        <v>119</v>
      </c>
      <c r="Z193" s="90" t="s">
        <v>119</v>
      </c>
      <c r="AA193" s="90" t="s">
        <v>119</v>
      </c>
      <c r="AB193" s="90" t="s">
        <v>119</v>
      </c>
      <c r="AC193" s="90" t="s">
        <v>119</v>
      </c>
      <c r="AD193" s="90" t="s">
        <v>119</v>
      </c>
      <c r="AE193" s="24">
        <v>0</v>
      </c>
      <c r="AF193" s="90">
        <v>0</v>
      </c>
      <c r="AG193" s="24">
        <v>0</v>
      </c>
      <c r="AH193" s="90">
        <v>85451</v>
      </c>
      <c r="AI193" s="24" t="s">
        <v>102</v>
      </c>
      <c r="AJ193" s="24" t="s">
        <v>103</v>
      </c>
      <c r="AK193" s="90" t="s">
        <v>85</v>
      </c>
      <c r="AL193" s="90">
        <v>185196</v>
      </c>
      <c r="AM193" s="90" t="s">
        <v>81</v>
      </c>
      <c r="AN193" s="90" t="s">
        <v>743</v>
      </c>
      <c r="AO193" s="125" t="s">
        <v>748</v>
      </c>
      <c r="AP193" s="24" t="s">
        <v>747</v>
      </c>
      <c r="AQ193" s="90" t="s">
        <v>746</v>
      </c>
      <c r="AR193" s="24" t="s">
        <v>747</v>
      </c>
      <c r="AS193" s="90" t="s">
        <v>119</v>
      </c>
      <c r="AT193" s="24" t="s">
        <v>102</v>
      </c>
      <c r="AU193" s="90" t="s">
        <v>119</v>
      </c>
      <c r="AV193" s="90" t="str">
        <f>IF(ISNUMBER(SEARCH("disagree",AE193)),"N","Y")</f>
        <v>Y</v>
      </c>
      <c r="AW193" s="90" t="s">
        <v>119</v>
      </c>
      <c r="AX193" s="24" t="s">
        <v>119</v>
      </c>
      <c r="AY193" s="90" t="str">
        <f>CONCATENATE(AZ193,BA193,BB193,BC193)</f>
        <v/>
      </c>
      <c r="AZ193" s="90" t="str">
        <f>IF(ISNUMBER(SEARCH("Y",AC193)),"R","")</f>
        <v/>
      </c>
      <c r="BA193" s="90" t="str">
        <f>IF(ISNUMBER(SEARCH("Y",Y193)),"M","")</f>
        <v/>
      </c>
      <c r="BB193" s="90" t="str">
        <f>IF(ISNUMBER(SEARCH("Y",AB193)),"QC","")</f>
        <v/>
      </c>
      <c r="BC193" s="90" t="str">
        <f>IF(ISNUMBER(SEARCH("Y",Z193)),"S","")</f>
        <v/>
      </c>
      <c r="BD193" s="90"/>
      <c r="BE193" s="24" t="s">
        <v>119</v>
      </c>
      <c r="BF193" s="125" t="str">
        <f>IF(AND(AW193&gt;=56543,AW193&lt;=76543,LEN(AW193)&gt;0),"3 Feb 2020",IF(AND(AW193&gt;=66544,AW193&lt;=99999,LEN(AW193)&gt;0),"12 Sep 2020",""))</f>
        <v/>
      </c>
      <c r="BG193" s="125" t="str">
        <f>IF((AND(BF193="3 Feb 2020",LEN(BF193)&gt;0)),"Completed",IF((AND(BF193="12 Sep 2020",LEN(BF193)&gt;0)),"Pending",""))</f>
        <v/>
      </c>
      <c r="BH193" s="90" t="str">
        <f>IF((AND(BF193="3 Feb 2020",LEN(BF193)&gt;0)),"3 Feb 2020","")</f>
        <v/>
      </c>
      <c r="BI193" s="90">
        <v>185196</v>
      </c>
      <c r="BJ193" s="90" t="str">
        <f>L193</f>
        <v>1C79IS86705-29</v>
      </c>
      <c r="BK193" s="127">
        <v>43508</v>
      </c>
      <c r="BL193" s="127">
        <v>44239</v>
      </c>
      <c r="BM193" s="128">
        <f>P193*1.1</f>
        <v>1274377.5</v>
      </c>
      <c r="BN193" s="129">
        <f>P193*0.9</f>
        <v>1042672.5</v>
      </c>
      <c r="BO193" s="130">
        <f>P193*0.8</f>
        <v>926820</v>
      </c>
      <c r="BP193" s="90">
        <f>IF(Z193="Y",BM193*0.4,BM193*1.05)</f>
        <v>1338096.375</v>
      </c>
      <c r="BQ193" s="90">
        <f>BP193*0.8</f>
        <v>1070477.1000000001</v>
      </c>
      <c r="BR193" s="90" t="str">
        <f>IF(ISNUMBER(SEARCH("subrecipient",AI189)),P193*0.6,"")</f>
        <v/>
      </c>
      <c r="BS193" s="90">
        <v>185196</v>
      </c>
      <c r="BT193" s="90" t="str">
        <f>BJ193</f>
        <v>1C79IS86705-29</v>
      </c>
      <c r="BU193" s="127">
        <f>BK193</f>
        <v>43508</v>
      </c>
      <c r="BV193" s="127">
        <f>BL193</f>
        <v>44239</v>
      </c>
      <c r="BW193" s="90" t="str">
        <f>H193</f>
        <v>CDC</v>
      </c>
      <c r="BX193" s="90" t="str">
        <f>IF(H193="NATIONAL HEMOPHILIA FOUNDATION","Non Federal","Federal")</f>
        <v>Federal</v>
      </c>
      <c r="BY193" s="128">
        <f>BM193</f>
        <v>1274377.5</v>
      </c>
      <c r="BZ193" s="90" t="str">
        <f>IF(LEN(BR193)&gt;0,1,"")</f>
        <v/>
      </c>
      <c r="CA193" s="90" t="str">
        <f>IF(LEN(BR193)&gt;0,"VIRAL HEPATITIS PROJECT","")</f>
        <v/>
      </c>
      <c r="CB193" s="129" t="str">
        <f>IF(LEN(BR193)&gt;0,BM193*0.7,"")</f>
        <v/>
      </c>
      <c r="CC193" s="90">
        <f>BP193</f>
        <v>1338096.375</v>
      </c>
      <c r="CD193" s="90" t="str">
        <f>IF(LEN(BR193)&gt;0,"70%","")</f>
        <v/>
      </c>
      <c r="CE193" s="90">
        <f>BS193</f>
        <v>185196</v>
      </c>
      <c r="CF193" s="90" t="str">
        <f>CA193</f>
        <v/>
      </c>
      <c r="CG193" s="90"/>
      <c r="CH193" s="90"/>
      <c r="CI193" s="90"/>
      <c r="CJ193" s="90"/>
      <c r="CK193" s="90"/>
      <c r="CL193" s="90"/>
      <c r="CM193" s="90"/>
      <c r="CN193" s="90"/>
      <c r="CO193" s="90"/>
      <c r="CP193" s="90"/>
      <c r="CQ193" s="90"/>
      <c r="CR193" s="90"/>
      <c r="CS193" s="90"/>
      <c r="CT193" s="137"/>
    </row>
    <row r="194" spans="1:98" ht="195">
      <c r="A194" s="89">
        <v>185196</v>
      </c>
      <c r="B194" s="90">
        <v>2020</v>
      </c>
      <c r="C194" s="90" t="s">
        <v>81</v>
      </c>
      <c r="D194" s="90" t="s">
        <v>743</v>
      </c>
      <c r="E194" s="125" t="s">
        <v>749</v>
      </c>
      <c r="F194" s="24" t="s">
        <v>745</v>
      </c>
      <c r="G194" s="90" t="s">
        <v>85</v>
      </c>
      <c r="H194" s="90" t="s">
        <v>86</v>
      </c>
      <c r="I194" s="90">
        <v>93</v>
      </c>
      <c r="J194" s="90">
        <v>157</v>
      </c>
      <c r="K194" s="90" t="s">
        <v>85</v>
      </c>
      <c r="L194" s="90" t="s">
        <v>746</v>
      </c>
      <c r="M194" s="90" t="s">
        <v>119</v>
      </c>
      <c r="N194" s="24" t="s">
        <v>747</v>
      </c>
      <c r="O194" s="24" t="str">
        <f>IF(ISNUMBER(SEARCH("Cancer",N194)),"Cancer",IF(ISNUMBER(SEARCH("health",N194)),"Public health",IF(ISNUMBER(SEARCH("disabilities",N194)),"Disabilities","Other")))</f>
        <v>Cancer</v>
      </c>
      <c r="P194" s="126">
        <v>1158525</v>
      </c>
      <c r="Q194" s="90" t="s">
        <v>85</v>
      </c>
      <c r="R194" s="90" t="str">
        <f>IF(P194&gt;20000000,"B","A")</f>
        <v>A</v>
      </c>
      <c r="S194" s="90" t="s">
        <v>90</v>
      </c>
      <c r="T194" s="90" t="s">
        <v>119</v>
      </c>
      <c r="U194" s="90" t="s">
        <v>119</v>
      </c>
      <c r="V194" s="90" t="s">
        <v>119</v>
      </c>
      <c r="W194" s="90" t="s">
        <v>119</v>
      </c>
      <c r="X194" s="90" t="s">
        <v>119</v>
      </c>
      <c r="Y194" s="90" t="s">
        <v>119</v>
      </c>
      <c r="Z194" s="90" t="s">
        <v>119</v>
      </c>
      <c r="AA194" s="90" t="s">
        <v>119</v>
      </c>
      <c r="AB194" s="90" t="s">
        <v>119</v>
      </c>
      <c r="AC194" s="90" t="s">
        <v>119</v>
      </c>
      <c r="AD194" s="90" t="s">
        <v>119</v>
      </c>
      <c r="AE194" s="24">
        <v>0</v>
      </c>
      <c r="AF194" s="90">
        <v>0</v>
      </c>
      <c r="AG194" s="24">
        <v>0</v>
      </c>
      <c r="AH194" s="90">
        <v>85453</v>
      </c>
      <c r="AI194" s="24" t="s">
        <v>110</v>
      </c>
      <c r="AJ194" s="24" t="s">
        <v>750</v>
      </c>
      <c r="AK194" s="90" t="s">
        <v>85</v>
      </c>
      <c r="AL194" s="90">
        <v>185196</v>
      </c>
      <c r="AM194" s="90" t="s">
        <v>81</v>
      </c>
      <c r="AN194" s="90" t="s">
        <v>743</v>
      </c>
      <c r="AO194" s="125" t="s">
        <v>749</v>
      </c>
      <c r="AP194" s="24" t="s">
        <v>747</v>
      </c>
      <c r="AQ194" s="90" t="s">
        <v>746</v>
      </c>
      <c r="AR194" s="24" t="s">
        <v>747</v>
      </c>
      <c r="AS194" s="90" t="s">
        <v>119</v>
      </c>
      <c r="AT194" s="24" t="s">
        <v>110</v>
      </c>
      <c r="AU194" s="90" t="s">
        <v>119</v>
      </c>
      <c r="AV194" s="90" t="str">
        <f>IF(ISNUMBER(SEARCH("disagree",AE194)),"N","Y")</f>
        <v>Y</v>
      </c>
      <c r="AW194" s="90" t="s">
        <v>119</v>
      </c>
      <c r="AX194" s="24" t="s">
        <v>119</v>
      </c>
      <c r="AY194" s="90" t="str">
        <f>CONCATENATE(AZ194,BA194,BB194,BC194)</f>
        <v/>
      </c>
      <c r="AZ194" s="90" t="str">
        <f>IF(ISNUMBER(SEARCH("Y",AC194)),"R","")</f>
        <v/>
      </c>
      <c r="BA194" s="90" t="str">
        <f>IF(ISNUMBER(SEARCH("Y",Y194)),"M","")</f>
        <v/>
      </c>
      <c r="BB194" s="90" t="str">
        <f>IF(ISNUMBER(SEARCH("Y",AB194)),"QC","")</f>
        <v/>
      </c>
      <c r="BC194" s="90" t="str">
        <f>IF(ISNUMBER(SEARCH("Y",Z194)),"S","")</f>
        <v/>
      </c>
      <c r="BD194" s="90"/>
      <c r="BE194" s="24" t="s">
        <v>119</v>
      </c>
      <c r="BF194" s="125" t="str">
        <f>IF(AND(AW194&gt;=56543,AW194&lt;=76543,LEN(AW194)&gt;0),"3 Feb 2020",IF(AND(AW194&gt;=66544,AW194&lt;=99999,LEN(AW194)&gt;0),"12 Sep 2020",""))</f>
        <v/>
      </c>
      <c r="BG194" s="125" t="str">
        <f>IF((AND(BF194="3 Feb 2020",LEN(BF194)&gt;0)),"Completed",IF((AND(BF194="12 Sep 2020",LEN(BF194)&gt;0)),"Pending",""))</f>
        <v/>
      </c>
      <c r="BH194" s="90" t="str">
        <f>IF((AND(BF194="3 Feb 2020",LEN(BF194)&gt;0)),"3 Feb 2020","")</f>
        <v/>
      </c>
      <c r="BI194" s="90">
        <v>185196</v>
      </c>
      <c r="BJ194" s="90" t="str">
        <f>L194</f>
        <v>1C79IS86705-29</v>
      </c>
      <c r="BK194" s="127">
        <v>43508</v>
      </c>
      <c r="BL194" s="127">
        <v>44239</v>
      </c>
      <c r="BM194" s="128">
        <f>P194*1.1</f>
        <v>1274377.5</v>
      </c>
      <c r="BN194" s="129">
        <f>P194*0.9</f>
        <v>1042672.5</v>
      </c>
      <c r="BO194" s="130">
        <f>P194*0.8</f>
        <v>926820</v>
      </c>
      <c r="BP194" s="90">
        <f>IF(Z194="Y",BM194*0.4,BM194*1.05)</f>
        <v>1338096.375</v>
      </c>
      <c r="BQ194" s="90">
        <f>BP194*0.8</f>
        <v>1070477.1000000001</v>
      </c>
      <c r="BR194" s="90" t="str">
        <f>IF(ISNUMBER(SEARCH("subrecipient",AI190)),P194*0.6,"")</f>
        <v/>
      </c>
      <c r="BS194" s="90">
        <v>185196</v>
      </c>
      <c r="BT194" s="90" t="str">
        <f>BJ194</f>
        <v>1C79IS86705-29</v>
      </c>
      <c r="BU194" s="127">
        <f>BK194</f>
        <v>43508</v>
      </c>
      <c r="BV194" s="127">
        <f>BL194</f>
        <v>44239</v>
      </c>
      <c r="BW194" s="90" t="str">
        <f>H194</f>
        <v>CDC</v>
      </c>
      <c r="BX194" s="90" t="str">
        <f>IF(H194="NATIONAL HEMOPHILIA FOUNDATION","Non Federal","Federal")</f>
        <v>Federal</v>
      </c>
      <c r="BY194" s="128">
        <f>BM194</f>
        <v>1274377.5</v>
      </c>
      <c r="BZ194" s="90" t="str">
        <f>IF(LEN(BR194)&gt;0,1,"")</f>
        <v/>
      </c>
      <c r="CA194" s="90" t="str">
        <f>IF(LEN(BR194)&gt;0,"VIRAL HEPATITIS PROJECT","")</f>
        <v/>
      </c>
      <c r="CB194" s="129" t="str">
        <f>IF(LEN(BR194)&gt;0,BM194*0.7,"")</f>
        <v/>
      </c>
      <c r="CC194" s="90">
        <f>BP194</f>
        <v>1338096.375</v>
      </c>
      <c r="CD194" s="90" t="str">
        <f>IF(LEN(BR194)&gt;0,"70%","")</f>
        <v/>
      </c>
      <c r="CE194" s="90">
        <f>BS194</f>
        <v>185196</v>
      </c>
      <c r="CF194" s="90" t="str">
        <f>CA194</f>
        <v/>
      </c>
      <c r="CG194" s="90"/>
      <c r="CH194" s="90"/>
      <c r="CI194" s="90"/>
      <c r="CJ194" s="90"/>
      <c r="CK194" s="90"/>
      <c r="CL194" s="90"/>
      <c r="CM194" s="90"/>
      <c r="CN194" s="90"/>
      <c r="CO194" s="90"/>
      <c r="CP194" s="90"/>
      <c r="CQ194" s="90"/>
      <c r="CR194" s="90"/>
      <c r="CS194" s="90"/>
      <c r="CT194" s="137"/>
    </row>
    <row r="195" spans="1:98" ht="150">
      <c r="A195" s="89">
        <v>185396</v>
      </c>
      <c r="B195" s="90">
        <v>2020</v>
      </c>
      <c r="C195" s="90" t="s">
        <v>81</v>
      </c>
      <c r="D195" s="90" t="s">
        <v>751</v>
      </c>
      <c r="E195" s="125" t="s">
        <v>752</v>
      </c>
      <c r="F195" s="24" t="s">
        <v>753</v>
      </c>
      <c r="G195" s="90" t="s">
        <v>85</v>
      </c>
      <c r="H195" s="90" t="s">
        <v>117</v>
      </c>
      <c r="I195" s="90">
        <v>93</v>
      </c>
      <c r="J195" s="90">
        <v>157</v>
      </c>
      <c r="K195" s="90" t="s">
        <v>85</v>
      </c>
      <c r="L195" s="90" t="s">
        <v>754</v>
      </c>
      <c r="M195" s="90" t="s">
        <v>119</v>
      </c>
      <c r="N195" s="24" t="s">
        <v>755</v>
      </c>
      <c r="O195" s="24" t="str">
        <f>IF(ISNUMBER(SEARCH("Cancer",N195)),"Cancer",IF(ISNUMBER(SEARCH("health",N195)),"Public health",IF(ISNUMBER(SEARCH("disabilities",N195)),"Disabilities","Other")))</f>
        <v>Cancer</v>
      </c>
      <c r="P195" s="126">
        <v>1841414</v>
      </c>
      <c r="Q195" s="90" t="s">
        <v>85</v>
      </c>
      <c r="R195" s="90" t="str">
        <f>IF(P195&gt;20000000,"B","A")</f>
        <v>A</v>
      </c>
      <c r="S195" s="90" t="s">
        <v>90</v>
      </c>
      <c r="T195" s="90" t="s">
        <v>119</v>
      </c>
      <c r="U195" s="90" t="s">
        <v>119</v>
      </c>
      <c r="V195" s="90" t="s">
        <v>119</v>
      </c>
      <c r="W195" s="90" t="s">
        <v>119</v>
      </c>
      <c r="X195" s="90" t="s">
        <v>119</v>
      </c>
      <c r="Y195" s="90" t="s">
        <v>119</v>
      </c>
      <c r="Z195" s="90" t="s">
        <v>119</v>
      </c>
      <c r="AA195" s="90" t="s">
        <v>119</v>
      </c>
      <c r="AB195" s="90" t="s">
        <v>119</v>
      </c>
      <c r="AC195" s="90" t="s">
        <v>119</v>
      </c>
      <c r="AD195" s="90" t="s">
        <v>119</v>
      </c>
      <c r="AE195" s="24">
        <v>0</v>
      </c>
      <c r="AF195" s="90">
        <v>0</v>
      </c>
      <c r="AG195" s="24">
        <v>0</v>
      </c>
      <c r="AH195" s="90">
        <v>87215</v>
      </c>
      <c r="AI195" s="24" t="s">
        <v>94</v>
      </c>
      <c r="AJ195" s="24" t="s">
        <v>756</v>
      </c>
      <c r="AK195" s="90" t="s">
        <v>85</v>
      </c>
      <c r="AL195" s="90">
        <v>185396</v>
      </c>
      <c r="AM195" s="90" t="s">
        <v>81</v>
      </c>
      <c r="AN195" s="90" t="s">
        <v>751</v>
      </c>
      <c r="AO195" s="125" t="s">
        <v>752</v>
      </c>
      <c r="AP195" s="24" t="s">
        <v>755</v>
      </c>
      <c r="AQ195" s="90" t="s">
        <v>754</v>
      </c>
      <c r="AR195" s="24" t="s">
        <v>755</v>
      </c>
      <c r="AS195" s="90" t="s">
        <v>119</v>
      </c>
      <c r="AT195" s="24" t="s">
        <v>94</v>
      </c>
      <c r="AU195" s="90" t="s">
        <v>119</v>
      </c>
      <c r="AV195" s="90" t="str">
        <f>IF(ISNUMBER(SEARCH("disagree",AE195)),"N","Y")</f>
        <v>Y</v>
      </c>
      <c r="AW195" s="90" t="s">
        <v>119</v>
      </c>
      <c r="AX195" s="24" t="s">
        <v>119</v>
      </c>
      <c r="AY195" s="90" t="str">
        <f>CONCATENATE(AZ195,BA195,BB195,BC195)</f>
        <v/>
      </c>
      <c r="AZ195" s="90" t="str">
        <f>IF(ISNUMBER(SEARCH("Y",AC195)),"R","")</f>
        <v/>
      </c>
      <c r="BA195" s="90" t="str">
        <f>IF(ISNUMBER(SEARCH("Y",Y195)),"M","")</f>
        <v/>
      </c>
      <c r="BB195" s="90" t="str">
        <f>IF(ISNUMBER(SEARCH("Y",AB195)),"QC","")</f>
        <v/>
      </c>
      <c r="BC195" s="90" t="str">
        <f>IF(ISNUMBER(SEARCH("Y",Z195)),"S","")</f>
        <v/>
      </c>
      <c r="BD195" s="90"/>
      <c r="BE195" s="24" t="s">
        <v>119</v>
      </c>
      <c r="BF195" s="125" t="str">
        <f>IF(AND(AW195&gt;=56543,AW195&lt;=76543,LEN(AW195)&gt;0),"3 Feb 2020",IF(AND(AW195&gt;=66544,AW195&lt;=99999,LEN(AW195)&gt;0),"12 Sep 2020",""))</f>
        <v/>
      </c>
      <c r="BG195" s="125" t="str">
        <f>IF((AND(BF195="3 Feb 2020",LEN(BF195)&gt;0)),"Completed",IF((AND(BF195="12 Sep 2020",LEN(BF195)&gt;0)),"Pending",""))</f>
        <v/>
      </c>
      <c r="BH195" s="90" t="str">
        <f>IF((AND(BF195="3 Feb 2020",LEN(BF195)&gt;0)),"3 Feb 2020","")</f>
        <v/>
      </c>
      <c r="BI195" s="90">
        <v>185396</v>
      </c>
      <c r="BJ195" s="90" t="str">
        <f>L195</f>
        <v>3C79HS85446-67</v>
      </c>
      <c r="BK195" s="127">
        <v>43508</v>
      </c>
      <c r="BL195" s="127">
        <v>44239</v>
      </c>
      <c r="BM195" s="128">
        <f>P195*1.1</f>
        <v>2025555.4000000001</v>
      </c>
      <c r="BN195" s="129">
        <f>P195*0.9</f>
        <v>1657272.6</v>
      </c>
      <c r="BO195" s="130">
        <f>P195*0.8</f>
        <v>1473131.2000000002</v>
      </c>
      <c r="BP195" s="90">
        <f>IF(Z195="Y",BM195*0.4,BM195*1.05)</f>
        <v>2126833.1700000004</v>
      </c>
      <c r="BQ195" s="90">
        <f>BP195*0.8</f>
        <v>1701466.5360000003</v>
      </c>
      <c r="BR195" s="90" t="str">
        <f>IF(ISNUMBER(SEARCH("subrecipient",AI191)),P195*0.6,"")</f>
        <v/>
      </c>
      <c r="BS195" s="90">
        <v>185396</v>
      </c>
      <c r="BT195" s="90" t="str">
        <f>BJ195</f>
        <v>3C79HS85446-67</v>
      </c>
      <c r="BU195" s="127">
        <f>BK195</f>
        <v>43508</v>
      </c>
      <c r="BV195" s="127">
        <f>BL195</f>
        <v>44239</v>
      </c>
      <c r="BW195" s="90" t="str">
        <f>H195</f>
        <v>NIH</v>
      </c>
      <c r="BX195" s="90" t="str">
        <f>IF(H195="NATIONAL HEMOPHILIA FOUNDATION","Non Federal","Federal")</f>
        <v>Federal</v>
      </c>
      <c r="BY195" s="128">
        <f>BM195</f>
        <v>2025555.4000000001</v>
      </c>
      <c r="BZ195" s="90" t="str">
        <f>IF(LEN(BR195)&gt;0,1,"")</f>
        <v/>
      </c>
      <c r="CA195" s="90" t="str">
        <f>IF(LEN(BR195)&gt;0,"VIRAL HEPATITIS PROJECT","")</f>
        <v/>
      </c>
      <c r="CB195" s="129" t="str">
        <f>IF(LEN(BR195)&gt;0,BM195*0.7,"")</f>
        <v/>
      </c>
      <c r="CC195" s="90">
        <f>BP195</f>
        <v>2126833.1700000004</v>
      </c>
      <c r="CD195" s="90" t="str">
        <f>IF(LEN(BR195)&gt;0,"70%","")</f>
        <v/>
      </c>
      <c r="CE195" s="90">
        <f>BS195</f>
        <v>185396</v>
      </c>
      <c r="CF195" s="90" t="str">
        <f>CA195</f>
        <v/>
      </c>
      <c r="CG195" s="90"/>
      <c r="CH195" s="90"/>
      <c r="CI195" s="90"/>
      <c r="CJ195" s="90"/>
      <c r="CK195" s="90"/>
      <c r="CL195" s="90"/>
      <c r="CM195" s="90"/>
      <c r="CN195" s="90"/>
      <c r="CO195" s="90"/>
      <c r="CP195" s="90"/>
      <c r="CQ195" s="90"/>
      <c r="CR195" s="90"/>
      <c r="CS195" s="90"/>
      <c r="CT195" s="137"/>
    </row>
    <row r="196" spans="1:98" ht="105">
      <c r="A196" s="89">
        <v>185396</v>
      </c>
      <c r="B196" s="90">
        <v>2020</v>
      </c>
      <c r="C196" s="90" t="s">
        <v>81</v>
      </c>
      <c r="D196" s="90" t="s">
        <v>751</v>
      </c>
      <c r="E196" s="125" t="s">
        <v>757</v>
      </c>
      <c r="F196" s="24" t="s">
        <v>753</v>
      </c>
      <c r="G196" s="90" t="s">
        <v>85</v>
      </c>
      <c r="H196" s="90" t="s">
        <v>117</v>
      </c>
      <c r="I196" s="90">
        <v>93</v>
      </c>
      <c r="J196" s="90">
        <v>157</v>
      </c>
      <c r="K196" s="90" t="s">
        <v>85</v>
      </c>
      <c r="L196" s="90" t="s">
        <v>754</v>
      </c>
      <c r="M196" s="90" t="s">
        <v>119</v>
      </c>
      <c r="N196" s="24" t="s">
        <v>755</v>
      </c>
      <c r="O196" s="24" t="str">
        <f>IF(ISNUMBER(SEARCH("Cancer",N196)),"Cancer",IF(ISNUMBER(SEARCH("health",N196)),"Public health",IF(ISNUMBER(SEARCH("disabilities",N196)),"Disabilities","Other")))</f>
        <v>Cancer</v>
      </c>
      <c r="P196" s="126">
        <v>1841414</v>
      </c>
      <c r="Q196" s="90" t="s">
        <v>85</v>
      </c>
      <c r="R196" s="90" t="str">
        <f>IF(P196&gt;20000000,"B","A")</f>
        <v>A</v>
      </c>
      <c r="S196" s="90" t="s">
        <v>90</v>
      </c>
      <c r="T196" s="90" t="s">
        <v>119</v>
      </c>
      <c r="U196" s="90" t="s">
        <v>119</v>
      </c>
      <c r="V196" s="90" t="s">
        <v>119</v>
      </c>
      <c r="W196" s="90" t="s">
        <v>119</v>
      </c>
      <c r="X196" s="90" t="s">
        <v>119</v>
      </c>
      <c r="Y196" s="90" t="s">
        <v>119</v>
      </c>
      <c r="Z196" s="90" t="s">
        <v>119</v>
      </c>
      <c r="AA196" s="90" t="s">
        <v>119</v>
      </c>
      <c r="AB196" s="90" t="s">
        <v>119</v>
      </c>
      <c r="AC196" s="90" t="s">
        <v>119</v>
      </c>
      <c r="AD196" s="90" t="s">
        <v>119</v>
      </c>
      <c r="AE196" s="24">
        <v>0</v>
      </c>
      <c r="AF196" s="90">
        <v>0</v>
      </c>
      <c r="AG196" s="24">
        <v>0</v>
      </c>
      <c r="AH196" s="90">
        <v>87216</v>
      </c>
      <c r="AI196" s="24" t="s">
        <v>102</v>
      </c>
      <c r="AJ196" s="24" t="s">
        <v>103</v>
      </c>
      <c r="AK196" s="90" t="s">
        <v>85</v>
      </c>
      <c r="AL196" s="90">
        <v>185396</v>
      </c>
      <c r="AM196" s="90" t="s">
        <v>81</v>
      </c>
      <c r="AN196" s="90" t="s">
        <v>751</v>
      </c>
      <c r="AO196" s="125" t="s">
        <v>757</v>
      </c>
      <c r="AP196" s="24" t="s">
        <v>755</v>
      </c>
      <c r="AQ196" s="90" t="s">
        <v>754</v>
      </c>
      <c r="AR196" s="24" t="s">
        <v>755</v>
      </c>
      <c r="AS196" s="90" t="s">
        <v>119</v>
      </c>
      <c r="AT196" s="24" t="s">
        <v>102</v>
      </c>
      <c r="AU196" s="90" t="s">
        <v>119</v>
      </c>
      <c r="AV196" s="90" t="str">
        <f>IF(ISNUMBER(SEARCH("disagree",AE196)),"N","Y")</f>
        <v>Y</v>
      </c>
      <c r="AW196" s="90" t="s">
        <v>119</v>
      </c>
      <c r="AX196" s="24" t="s">
        <v>119</v>
      </c>
      <c r="AY196" s="90" t="str">
        <f>CONCATENATE(AZ196,BA196,BB196,BC196)</f>
        <v/>
      </c>
      <c r="AZ196" s="90" t="str">
        <f>IF(ISNUMBER(SEARCH("Y",AC196)),"R","")</f>
        <v/>
      </c>
      <c r="BA196" s="90" t="str">
        <f>IF(ISNUMBER(SEARCH("Y",Y196)),"M","")</f>
        <v/>
      </c>
      <c r="BB196" s="90" t="str">
        <f>IF(ISNUMBER(SEARCH("Y",AB196)),"QC","")</f>
        <v/>
      </c>
      <c r="BC196" s="90" t="str">
        <f>IF(ISNUMBER(SEARCH("Y",Z196)),"S","")</f>
        <v/>
      </c>
      <c r="BD196" s="90"/>
      <c r="BE196" s="24" t="s">
        <v>119</v>
      </c>
      <c r="BF196" s="125" t="str">
        <f>IF(AND(AW196&gt;=56543,AW196&lt;=76543,LEN(AW196)&gt;0),"3 Feb 2020",IF(AND(AW196&gt;=66544,AW196&lt;=99999,LEN(AW196)&gt;0),"12 Sep 2020",""))</f>
        <v/>
      </c>
      <c r="BG196" s="125" t="str">
        <f>IF((AND(BF196="3 Feb 2020",LEN(BF196)&gt;0)),"Completed",IF((AND(BF196="12 Sep 2020",LEN(BF196)&gt;0)),"Pending",""))</f>
        <v/>
      </c>
      <c r="BH196" s="90" t="str">
        <f>IF((AND(BF196="3 Feb 2020",LEN(BF196)&gt;0)),"3 Feb 2020","")</f>
        <v/>
      </c>
      <c r="BI196" s="90">
        <v>185396</v>
      </c>
      <c r="BJ196" s="90" t="str">
        <f>L196</f>
        <v>3C79HS85446-67</v>
      </c>
      <c r="BK196" s="127">
        <v>43508</v>
      </c>
      <c r="BL196" s="127">
        <v>44239</v>
      </c>
      <c r="BM196" s="128">
        <f>P196*1.1</f>
        <v>2025555.4000000001</v>
      </c>
      <c r="BN196" s="129">
        <f>P196*0.9</f>
        <v>1657272.6</v>
      </c>
      <c r="BO196" s="130">
        <f>P196*0.8</f>
        <v>1473131.2000000002</v>
      </c>
      <c r="BP196" s="90">
        <f>IF(Z196="Y",BM196*0.4,BM196*1.05)</f>
        <v>2126833.1700000004</v>
      </c>
      <c r="BQ196" s="90">
        <f>BP196*0.8</f>
        <v>1701466.5360000003</v>
      </c>
      <c r="BR196" s="90" t="str">
        <f>IF(ISNUMBER(SEARCH("subrecipient",AI192)),P196*0.6,"")</f>
        <v/>
      </c>
      <c r="BS196" s="90">
        <v>185396</v>
      </c>
      <c r="BT196" s="90" t="str">
        <f>BJ196</f>
        <v>3C79HS85446-67</v>
      </c>
      <c r="BU196" s="127">
        <f>BK196</f>
        <v>43508</v>
      </c>
      <c r="BV196" s="127">
        <f>BL196</f>
        <v>44239</v>
      </c>
      <c r="BW196" s="90" t="str">
        <f>H196</f>
        <v>NIH</v>
      </c>
      <c r="BX196" s="90" t="str">
        <f>IF(H196="NATIONAL HEMOPHILIA FOUNDATION","Non Federal","Federal")</f>
        <v>Federal</v>
      </c>
      <c r="BY196" s="128">
        <f>BM196</f>
        <v>2025555.4000000001</v>
      </c>
      <c r="BZ196" s="90" t="str">
        <f>IF(LEN(BR196)&gt;0,1,"")</f>
        <v/>
      </c>
      <c r="CA196" s="90" t="str">
        <f>IF(LEN(BR196)&gt;0,"VIRAL HEPATITIS PROJECT","")</f>
        <v/>
      </c>
      <c r="CB196" s="129" t="str">
        <f>IF(LEN(BR196)&gt;0,BM196*0.7,"")</f>
        <v/>
      </c>
      <c r="CC196" s="90">
        <f>BP196</f>
        <v>2126833.1700000004</v>
      </c>
      <c r="CD196" s="90" t="str">
        <f>IF(LEN(BR196)&gt;0,"70%","")</f>
        <v/>
      </c>
      <c r="CE196" s="90">
        <f>BS196</f>
        <v>185396</v>
      </c>
      <c r="CF196" s="90" t="str">
        <f>CA196</f>
        <v/>
      </c>
      <c r="CG196" s="90"/>
      <c r="CH196" s="90"/>
      <c r="CI196" s="90"/>
      <c r="CJ196" s="90"/>
      <c r="CK196" s="90"/>
      <c r="CL196" s="90"/>
      <c r="CM196" s="90"/>
      <c r="CN196" s="90"/>
      <c r="CO196" s="90"/>
      <c r="CP196" s="90"/>
      <c r="CQ196" s="90"/>
      <c r="CR196" s="90"/>
      <c r="CS196" s="90"/>
      <c r="CT196" s="137"/>
    </row>
    <row r="197" spans="1:98" ht="105">
      <c r="A197" s="89">
        <v>185396</v>
      </c>
      <c r="B197" s="90">
        <v>2020</v>
      </c>
      <c r="C197" s="90" t="s">
        <v>81</v>
      </c>
      <c r="D197" s="90" t="s">
        <v>751</v>
      </c>
      <c r="E197" s="125" t="s">
        <v>758</v>
      </c>
      <c r="F197" s="24" t="s">
        <v>753</v>
      </c>
      <c r="G197" s="90" t="s">
        <v>85</v>
      </c>
      <c r="H197" s="90" t="s">
        <v>117</v>
      </c>
      <c r="I197" s="90">
        <v>93</v>
      </c>
      <c r="J197" s="90">
        <v>157</v>
      </c>
      <c r="K197" s="90" t="s">
        <v>85</v>
      </c>
      <c r="L197" s="90" t="s">
        <v>754</v>
      </c>
      <c r="M197" s="90" t="s">
        <v>119</v>
      </c>
      <c r="N197" s="24" t="s">
        <v>755</v>
      </c>
      <c r="O197" s="24" t="str">
        <f>IF(ISNUMBER(SEARCH("Cancer",N197)),"Cancer",IF(ISNUMBER(SEARCH("health",N197)),"Public health",IF(ISNUMBER(SEARCH("disabilities",N197)),"Disabilities","Other")))</f>
        <v>Cancer</v>
      </c>
      <c r="P197" s="126">
        <v>1841414</v>
      </c>
      <c r="Q197" s="90" t="s">
        <v>85</v>
      </c>
      <c r="R197" s="90" t="str">
        <f>IF(P197&gt;20000000,"B","A")</f>
        <v>A</v>
      </c>
      <c r="S197" s="90" t="s">
        <v>90</v>
      </c>
      <c r="T197" s="90" t="s">
        <v>119</v>
      </c>
      <c r="U197" s="90" t="s">
        <v>119</v>
      </c>
      <c r="V197" s="90" t="s">
        <v>119</v>
      </c>
      <c r="W197" s="90" t="s">
        <v>119</v>
      </c>
      <c r="X197" s="90" t="s">
        <v>119</v>
      </c>
      <c r="Y197" s="90" t="s">
        <v>119</v>
      </c>
      <c r="Z197" s="90" t="s">
        <v>119</v>
      </c>
      <c r="AA197" s="90" t="s">
        <v>119</v>
      </c>
      <c r="AB197" s="90" t="s">
        <v>119</v>
      </c>
      <c r="AC197" s="90" t="s">
        <v>119</v>
      </c>
      <c r="AD197" s="90" t="s">
        <v>119</v>
      </c>
      <c r="AE197" s="24">
        <v>0</v>
      </c>
      <c r="AF197" s="90">
        <v>0</v>
      </c>
      <c r="AG197" s="24">
        <v>0</v>
      </c>
      <c r="AH197" s="90">
        <v>87217</v>
      </c>
      <c r="AI197" s="24" t="s">
        <v>189</v>
      </c>
      <c r="AJ197" s="24" t="s">
        <v>759</v>
      </c>
      <c r="AK197" s="90" t="s">
        <v>85</v>
      </c>
      <c r="AL197" s="90">
        <v>185396</v>
      </c>
      <c r="AM197" s="90" t="s">
        <v>81</v>
      </c>
      <c r="AN197" s="90" t="s">
        <v>751</v>
      </c>
      <c r="AO197" s="125" t="s">
        <v>758</v>
      </c>
      <c r="AP197" s="24" t="s">
        <v>755</v>
      </c>
      <c r="AQ197" s="90" t="s">
        <v>754</v>
      </c>
      <c r="AR197" s="24" t="s">
        <v>755</v>
      </c>
      <c r="AS197" s="90" t="s">
        <v>119</v>
      </c>
      <c r="AT197" s="24" t="s">
        <v>189</v>
      </c>
      <c r="AU197" s="90" t="s">
        <v>119</v>
      </c>
      <c r="AV197" s="90" t="str">
        <f>IF(ISNUMBER(SEARCH("disagree",AE197)),"N","Y")</f>
        <v>Y</v>
      </c>
      <c r="AW197" s="90" t="s">
        <v>119</v>
      </c>
      <c r="AX197" s="24" t="s">
        <v>119</v>
      </c>
      <c r="AY197" s="90" t="str">
        <f>CONCATENATE(AZ197,BA197,BB197,BC197)</f>
        <v/>
      </c>
      <c r="AZ197" s="90" t="str">
        <f>IF(ISNUMBER(SEARCH("Y",AC197)),"R","")</f>
        <v/>
      </c>
      <c r="BA197" s="90" t="str">
        <f>IF(ISNUMBER(SEARCH("Y",Y197)),"M","")</f>
        <v/>
      </c>
      <c r="BB197" s="90" t="str">
        <f>IF(ISNUMBER(SEARCH("Y",AB197)),"QC","")</f>
        <v/>
      </c>
      <c r="BC197" s="90" t="str">
        <f>IF(ISNUMBER(SEARCH("Y",Z197)),"S","")</f>
        <v/>
      </c>
      <c r="BD197" s="90"/>
      <c r="BE197" s="24" t="s">
        <v>119</v>
      </c>
      <c r="BF197" s="125" t="str">
        <f>IF(AND(AW197&gt;=56543,AW197&lt;=76543,LEN(AW197)&gt;0),"3 Feb 2020",IF(AND(AW197&gt;=66544,AW197&lt;=99999,LEN(AW197)&gt;0),"12 Sep 2020",""))</f>
        <v/>
      </c>
      <c r="BG197" s="125" t="str">
        <f>IF((AND(BF197="3 Feb 2020",LEN(BF197)&gt;0)),"Completed",IF((AND(BF197="12 Sep 2020",LEN(BF197)&gt;0)),"Pending",""))</f>
        <v/>
      </c>
      <c r="BH197" s="90" t="str">
        <f>IF((AND(BF197="3 Feb 2020",LEN(BF197)&gt;0)),"3 Feb 2020","")</f>
        <v/>
      </c>
      <c r="BI197" s="90">
        <v>185396</v>
      </c>
      <c r="BJ197" s="90" t="str">
        <f>L197</f>
        <v>3C79HS85446-67</v>
      </c>
      <c r="BK197" s="127">
        <v>43508</v>
      </c>
      <c r="BL197" s="127">
        <v>44239</v>
      </c>
      <c r="BM197" s="128">
        <f>P197*1.1</f>
        <v>2025555.4000000001</v>
      </c>
      <c r="BN197" s="129">
        <f>P197*0.9</f>
        <v>1657272.6</v>
      </c>
      <c r="BO197" s="130">
        <f>P197*0.8</f>
        <v>1473131.2000000002</v>
      </c>
      <c r="BP197" s="90">
        <f>IF(Z197="Y",BM197*0.4,BM197*1.05)</f>
        <v>2126833.1700000004</v>
      </c>
      <c r="BQ197" s="90">
        <f>BP197*0.8</f>
        <v>1701466.5360000003</v>
      </c>
      <c r="BR197" s="90">
        <f>IF(ISNUMBER(SEARCH("subrecipient",AI197)),P197*0.6,"")</f>
        <v>1104848.3999999999</v>
      </c>
      <c r="BS197" s="90">
        <v>185396</v>
      </c>
      <c r="BT197" s="90" t="str">
        <f>BJ197</f>
        <v>3C79HS85446-67</v>
      </c>
      <c r="BU197" s="127">
        <f>BK197</f>
        <v>43508</v>
      </c>
      <c r="BV197" s="127">
        <f>BL197</f>
        <v>44239</v>
      </c>
      <c r="BW197" s="90" t="str">
        <f>H197</f>
        <v>NIH</v>
      </c>
      <c r="BX197" s="90" t="str">
        <f>IF(H197="NATIONAL HEMOPHILIA FOUNDATION","Non Federal","Federal")</f>
        <v>Federal</v>
      </c>
      <c r="BY197" s="128">
        <f>BM197</f>
        <v>2025555.4000000001</v>
      </c>
      <c r="BZ197" s="90">
        <f>IF(LEN(BR197)&gt;0,1,"")</f>
        <v>1</v>
      </c>
      <c r="CA197" s="90" t="str">
        <f>IF(LEN(BR197)&gt;0,"VIRAL HEPATITIS PROJECT","")</f>
        <v>VIRAL HEPATITIS PROJECT</v>
      </c>
      <c r="CB197" s="129">
        <f>IF(LEN(BR197)&gt;0,BM197*0.7,"")</f>
        <v>1417888.78</v>
      </c>
      <c r="CC197" s="90">
        <f>BP197</f>
        <v>2126833.1700000004</v>
      </c>
      <c r="CD197" s="90" t="str">
        <f>IF(LEN(BR197)&gt;0,"70%","")</f>
        <v>70%</v>
      </c>
      <c r="CE197" s="90">
        <f>BS197</f>
        <v>185396</v>
      </c>
      <c r="CF197" s="90" t="str">
        <f>CA197</f>
        <v>VIRAL HEPATITIS PROJECT</v>
      </c>
      <c r="CG197" s="90"/>
      <c r="CH197" s="90"/>
      <c r="CI197" s="90"/>
      <c r="CJ197" s="90"/>
      <c r="CK197" s="90"/>
      <c r="CL197" s="90"/>
      <c r="CM197" s="90"/>
      <c r="CN197" s="90"/>
      <c r="CO197" s="90"/>
      <c r="CP197" s="90"/>
      <c r="CQ197" s="90"/>
      <c r="CR197" s="90"/>
      <c r="CS197" s="90"/>
      <c r="CT197" s="137"/>
    </row>
    <row r="198" spans="1:98" ht="90">
      <c r="A198" s="89">
        <v>185450</v>
      </c>
      <c r="B198" s="90">
        <v>2020</v>
      </c>
      <c r="C198" s="90" t="s">
        <v>81</v>
      </c>
      <c r="D198" s="90" t="s">
        <v>760</v>
      </c>
      <c r="E198" s="125" t="s">
        <v>761</v>
      </c>
      <c r="F198" s="24" t="s">
        <v>762</v>
      </c>
      <c r="G198" s="90" t="s">
        <v>85</v>
      </c>
      <c r="H198" s="90" t="s">
        <v>132</v>
      </c>
      <c r="I198" s="90">
        <v>93</v>
      </c>
      <c r="J198" s="90">
        <v>157</v>
      </c>
      <c r="K198" s="90" t="s">
        <v>85</v>
      </c>
      <c r="L198" s="90" t="s">
        <v>763</v>
      </c>
      <c r="M198" s="90" t="s">
        <v>119</v>
      </c>
      <c r="N198" s="24" t="s">
        <v>764</v>
      </c>
      <c r="O198" s="24" t="str">
        <f>IF(ISNUMBER(SEARCH("Cancer",N198)),"Cancer",IF(ISNUMBER(SEARCH("health",N198)),"Public health",IF(ISNUMBER(SEARCH("disabilities",N198)),"Disabilities","Other")))</f>
        <v>Other</v>
      </c>
      <c r="P198" s="126">
        <v>1001760</v>
      </c>
      <c r="Q198" s="90" t="s">
        <v>85</v>
      </c>
      <c r="R198" s="90" t="str">
        <f>IF(P198&gt;20000000,"B","A")</f>
        <v>A</v>
      </c>
      <c r="S198" s="90" t="s">
        <v>90</v>
      </c>
      <c r="T198" s="90" t="s">
        <v>119</v>
      </c>
      <c r="U198" s="90" t="s">
        <v>119</v>
      </c>
      <c r="V198" s="90" t="s">
        <v>119</v>
      </c>
      <c r="W198" s="90" t="s">
        <v>119</v>
      </c>
      <c r="X198" s="90" t="s">
        <v>119</v>
      </c>
      <c r="Y198" s="90" t="s">
        <v>119</v>
      </c>
      <c r="Z198" s="90" t="s">
        <v>119</v>
      </c>
      <c r="AA198" s="90" t="s">
        <v>119</v>
      </c>
      <c r="AB198" s="90" t="s">
        <v>119</v>
      </c>
      <c r="AC198" s="90" t="s">
        <v>119</v>
      </c>
      <c r="AD198" s="90" t="s">
        <v>119</v>
      </c>
      <c r="AE198" s="24">
        <v>0</v>
      </c>
      <c r="AF198" s="90">
        <v>0</v>
      </c>
      <c r="AG198" s="24">
        <v>0</v>
      </c>
      <c r="AH198" s="90">
        <v>89530</v>
      </c>
      <c r="AI198" s="24" t="s">
        <v>94</v>
      </c>
      <c r="AJ198" s="24" t="s">
        <v>765</v>
      </c>
      <c r="AK198" s="90" t="s">
        <v>85</v>
      </c>
      <c r="AL198" s="90">
        <v>185450</v>
      </c>
      <c r="AM198" s="90" t="s">
        <v>81</v>
      </c>
      <c r="AN198" s="90" t="s">
        <v>760</v>
      </c>
      <c r="AO198" s="125" t="s">
        <v>761</v>
      </c>
      <c r="AP198" s="24" t="s">
        <v>764</v>
      </c>
      <c r="AQ198" s="90" t="s">
        <v>763</v>
      </c>
      <c r="AR198" s="24" t="s">
        <v>764</v>
      </c>
      <c r="AS198" s="90" t="s">
        <v>119</v>
      </c>
      <c r="AT198" s="24" t="s">
        <v>94</v>
      </c>
      <c r="AU198" s="90" t="s">
        <v>119</v>
      </c>
      <c r="AV198" s="90" t="str">
        <f>IF(ISNUMBER(SEARCH("disagree",AE198)),"N","Y")</f>
        <v>Y</v>
      </c>
      <c r="AW198" s="90" t="s">
        <v>119</v>
      </c>
      <c r="AX198" s="24" t="s">
        <v>119</v>
      </c>
      <c r="AY198" s="90" t="str">
        <f>CONCATENATE(AZ198,BA198,BB198,BC198)</f>
        <v/>
      </c>
      <c r="AZ198" s="90" t="str">
        <f>IF(ISNUMBER(SEARCH("Y",AC198)),"R","")</f>
        <v/>
      </c>
      <c r="BA198" s="90" t="str">
        <f>IF(ISNUMBER(SEARCH("Y",Y198)),"M","")</f>
        <v/>
      </c>
      <c r="BB198" s="90" t="str">
        <f>IF(ISNUMBER(SEARCH("Y",AB198)),"QC","")</f>
        <v/>
      </c>
      <c r="BC198" s="90" t="str">
        <f>IF(ISNUMBER(SEARCH("Y",Z198)),"S","")</f>
        <v/>
      </c>
      <c r="BD198" s="90"/>
      <c r="BE198" s="24" t="s">
        <v>119</v>
      </c>
      <c r="BF198" s="125" t="str">
        <f>IF(AND(AW198&gt;=56543,AW198&lt;=76543,LEN(AW198)&gt;0),"3 Feb 2020",IF(AND(AW198&gt;=66544,AW198&lt;=99999,LEN(AW198)&gt;0),"12 Sep 2020",""))</f>
        <v/>
      </c>
      <c r="BG198" s="125" t="str">
        <f>IF((AND(BF198="3 Feb 2020",LEN(BF198)&gt;0)),"Completed",IF((AND(BF198="12 Sep 2020",LEN(BF198)&gt;0)),"Pending",""))</f>
        <v/>
      </c>
      <c r="BH198" s="90" t="str">
        <f>IF((AND(BF198="3 Feb 2020",LEN(BF198)&gt;0)),"3 Feb 2020","")</f>
        <v/>
      </c>
      <c r="BI198" s="90">
        <v>185450</v>
      </c>
      <c r="BJ198" s="90" t="str">
        <f>L198</f>
        <v>9C93ES85453-28</v>
      </c>
      <c r="BK198" s="127">
        <v>43508</v>
      </c>
      <c r="BL198" s="127">
        <v>44239</v>
      </c>
      <c r="BM198" s="128">
        <f>P198*1.1</f>
        <v>1101936</v>
      </c>
      <c r="BN198" s="129">
        <f>P198*0.9</f>
        <v>901584</v>
      </c>
      <c r="BO198" s="130">
        <f>P198*0.8</f>
        <v>801408</v>
      </c>
      <c r="BP198" s="90">
        <f>IF(Z198="Y",BM198*0.4,BM198*1.05)</f>
        <v>1157032.8</v>
      </c>
      <c r="BQ198" s="90">
        <f>BP198*0.8</f>
        <v>925626.24000000011</v>
      </c>
      <c r="BR198" s="90" t="str">
        <f>IF(ISNUMBER(SEARCH("subrecipient",AI194)),P198*0.6,"")</f>
        <v/>
      </c>
      <c r="BS198" s="90">
        <v>185450</v>
      </c>
      <c r="BT198" s="90" t="str">
        <f>BJ198</f>
        <v>9C93ES85453-28</v>
      </c>
      <c r="BU198" s="127">
        <f>BK198</f>
        <v>43508</v>
      </c>
      <c r="BV198" s="127">
        <f>BL198</f>
        <v>44239</v>
      </c>
      <c r="BW198" s="90" t="str">
        <f>H198</f>
        <v>FDA</v>
      </c>
      <c r="BX198" s="90" t="str">
        <f>IF(H198="NATIONAL HEMOPHILIA FOUNDATION","Non Federal","Federal")</f>
        <v>Federal</v>
      </c>
      <c r="BY198" s="128">
        <f>BM198</f>
        <v>1101936</v>
      </c>
      <c r="BZ198" s="90" t="str">
        <f>IF(LEN(BR198)&gt;0,1,"")</f>
        <v/>
      </c>
      <c r="CA198" s="90" t="str">
        <f>IF(LEN(BR198)&gt;0,"VIRAL HEPATITIS PROJECT","")</f>
        <v/>
      </c>
      <c r="CB198" s="129" t="str">
        <f>IF(LEN(BR198)&gt;0,BM198*0.7,"")</f>
        <v/>
      </c>
      <c r="CC198" s="90">
        <f>BP198</f>
        <v>1157032.8</v>
      </c>
      <c r="CD198" s="90" t="str">
        <f>IF(LEN(BR198)&gt;0,"70%","")</f>
        <v/>
      </c>
      <c r="CE198" s="90">
        <f>BS198</f>
        <v>185450</v>
      </c>
      <c r="CF198" s="90" t="str">
        <f>CA198</f>
        <v/>
      </c>
      <c r="CG198" s="90"/>
      <c r="CH198" s="90"/>
      <c r="CI198" s="90"/>
      <c r="CJ198" s="90"/>
      <c r="CK198" s="90"/>
      <c r="CL198" s="90"/>
      <c r="CM198" s="90"/>
      <c r="CN198" s="90"/>
      <c r="CO198" s="90"/>
      <c r="CP198" s="90"/>
      <c r="CQ198" s="90"/>
      <c r="CR198" s="90"/>
      <c r="CS198" s="90"/>
      <c r="CT198" s="137"/>
    </row>
    <row r="199" spans="1:98" ht="45">
      <c r="A199" s="89">
        <v>185450</v>
      </c>
      <c r="B199" s="90">
        <v>2020</v>
      </c>
      <c r="C199" s="90" t="s">
        <v>81</v>
      </c>
      <c r="D199" s="90" t="s">
        <v>760</v>
      </c>
      <c r="E199" s="125" t="s">
        <v>766</v>
      </c>
      <c r="F199" s="24" t="s">
        <v>762</v>
      </c>
      <c r="G199" s="90" t="s">
        <v>85</v>
      </c>
      <c r="H199" s="90" t="s">
        <v>132</v>
      </c>
      <c r="I199" s="90">
        <v>93</v>
      </c>
      <c r="J199" s="90">
        <v>157</v>
      </c>
      <c r="K199" s="90" t="s">
        <v>85</v>
      </c>
      <c r="L199" s="90" t="s">
        <v>763</v>
      </c>
      <c r="M199" s="90" t="s">
        <v>119</v>
      </c>
      <c r="N199" s="24" t="s">
        <v>764</v>
      </c>
      <c r="O199" s="24" t="str">
        <f>IF(ISNUMBER(SEARCH("Cancer",N199)),"Cancer",IF(ISNUMBER(SEARCH("health",N199)),"Public health",IF(ISNUMBER(SEARCH("disabilities",N199)),"Disabilities","Other")))</f>
        <v>Other</v>
      </c>
      <c r="P199" s="126">
        <v>1001760</v>
      </c>
      <c r="Q199" s="90" t="s">
        <v>85</v>
      </c>
      <c r="R199" s="90" t="str">
        <f>IF(P199&gt;20000000,"B","A")</f>
        <v>A</v>
      </c>
      <c r="S199" s="90" t="s">
        <v>90</v>
      </c>
      <c r="T199" s="90" t="s">
        <v>119</v>
      </c>
      <c r="U199" s="90" t="s">
        <v>119</v>
      </c>
      <c r="V199" s="90" t="s">
        <v>119</v>
      </c>
      <c r="W199" s="90" t="s">
        <v>119</v>
      </c>
      <c r="X199" s="90" t="s">
        <v>119</v>
      </c>
      <c r="Y199" s="90" t="s">
        <v>119</v>
      </c>
      <c r="Z199" s="90" t="s">
        <v>119</v>
      </c>
      <c r="AA199" s="90" t="s">
        <v>119</v>
      </c>
      <c r="AB199" s="90" t="s">
        <v>119</v>
      </c>
      <c r="AC199" s="90" t="s">
        <v>119</v>
      </c>
      <c r="AD199" s="90" t="s">
        <v>119</v>
      </c>
      <c r="AE199" s="24">
        <v>0</v>
      </c>
      <c r="AF199" s="90">
        <v>0</v>
      </c>
      <c r="AG199" s="24">
        <v>0</v>
      </c>
      <c r="AH199" s="90">
        <v>89531</v>
      </c>
      <c r="AI199" s="24" t="s">
        <v>102</v>
      </c>
      <c r="AJ199" s="24" t="s">
        <v>103</v>
      </c>
      <c r="AK199" s="90" t="s">
        <v>85</v>
      </c>
      <c r="AL199" s="90">
        <v>185450</v>
      </c>
      <c r="AM199" s="90" t="s">
        <v>81</v>
      </c>
      <c r="AN199" s="90" t="s">
        <v>760</v>
      </c>
      <c r="AO199" s="125" t="s">
        <v>766</v>
      </c>
      <c r="AP199" s="24" t="s">
        <v>764</v>
      </c>
      <c r="AQ199" s="90" t="s">
        <v>763</v>
      </c>
      <c r="AR199" s="24" t="s">
        <v>764</v>
      </c>
      <c r="AS199" s="90" t="s">
        <v>119</v>
      </c>
      <c r="AT199" s="24" t="s">
        <v>102</v>
      </c>
      <c r="AU199" s="90" t="s">
        <v>119</v>
      </c>
      <c r="AV199" s="90" t="str">
        <f>IF(ISNUMBER(SEARCH("disagree",AE199)),"N","Y")</f>
        <v>Y</v>
      </c>
      <c r="AW199" s="90" t="s">
        <v>119</v>
      </c>
      <c r="AX199" s="24" t="s">
        <v>119</v>
      </c>
      <c r="AY199" s="90" t="str">
        <f>CONCATENATE(AZ199,BA199,BB199,BC199)</f>
        <v/>
      </c>
      <c r="AZ199" s="90" t="str">
        <f>IF(ISNUMBER(SEARCH("Y",AC199)),"R","")</f>
        <v/>
      </c>
      <c r="BA199" s="90" t="str">
        <f>IF(ISNUMBER(SEARCH("Y",Y199)),"M","")</f>
        <v/>
      </c>
      <c r="BB199" s="90" t="str">
        <f>IF(ISNUMBER(SEARCH("Y",AB199)),"QC","")</f>
        <v/>
      </c>
      <c r="BC199" s="90" t="str">
        <f>IF(ISNUMBER(SEARCH("Y",Z199)),"S","")</f>
        <v/>
      </c>
      <c r="BD199" s="90"/>
      <c r="BE199" s="24" t="s">
        <v>119</v>
      </c>
      <c r="BF199" s="125" t="str">
        <f>IF(AND(AW199&gt;=56543,AW199&lt;=76543,LEN(AW199)&gt;0),"3 Feb 2020",IF(AND(AW199&gt;=66544,AW199&lt;=99999,LEN(AW199)&gt;0),"12 Sep 2020",""))</f>
        <v/>
      </c>
      <c r="BG199" s="125" t="str">
        <f>IF((AND(BF199="3 Feb 2020",LEN(BF199)&gt;0)),"Completed",IF((AND(BF199="12 Sep 2020",LEN(BF199)&gt;0)),"Pending",""))</f>
        <v/>
      </c>
      <c r="BH199" s="90" t="str">
        <f>IF((AND(BF199="3 Feb 2020",LEN(BF199)&gt;0)),"3 Feb 2020","")</f>
        <v/>
      </c>
      <c r="BI199" s="90">
        <v>185450</v>
      </c>
      <c r="BJ199" s="90" t="str">
        <f>L199</f>
        <v>9C93ES85453-28</v>
      </c>
      <c r="BK199" s="127">
        <v>43508</v>
      </c>
      <c r="BL199" s="127">
        <v>44239</v>
      </c>
      <c r="BM199" s="128">
        <f>P199*1.1</f>
        <v>1101936</v>
      </c>
      <c r="BN199" s="129">
        <f>P199*0.9</f>
        <v>901584</v>
      </c>
      <c r="BO199" s="130">
        <f>P199*0.8</f>
        <v>801408</v>
      </c>
      <c r="BP199" s="90">
        <f>IF(Z199="Y",BM199*0.4,BM199*1.05)</f>
        <v>1157032.8</v>
      </c>
      <c r="BQ199" s="90">
        <f>BP199*0.8</f>
        <v>925626.24000000011</v>
      </c>
      <c r="BR199" s="90" t="str">
        <f>IF(ISNUMBER(SEARCH("subrecipient",AI195)),P199*0.6,"")</f>
        <v/>
      </c>
      <c r="BS199" s="90">
        <v>185450</v>
      </c>
      <c r="BT199" s="90" t="str">
        <f>BJ199</f>
        <v>9C93ES85453-28</v>
      </c>
      <c r="BU199" s="127">
        <f>BK199</f>
        <v>43508</v>
      </c>
      <c r="BV199" s="127">
        <f>BL199</f>
        <v>44239</v>
      </c>
      <c r="BW199" s="90" t="str">
        <f>H199</f>
        <v>FDA</v>
      </c>
      <c r="BX199" s="90" t="str">
        <f>IF(H199="NATIONAL HEMOPHILIA FOUNDATION","Non Federal","Federal")</f>
        <v>Federal</v>
      </c>
      <c r="BY199" s="128">
        <f>BM199</f>
        <v>1101936</v>
      </c>
      <c r="BZ199" s="90" t="str">
        <f>IF(LEN(BR199)&gt;0,1,"")</f>
        <v/>
      </c>
      <c r="CA199" s="90" t="str">
        <f>IF(LEN(BR199)&gt;0,"VIRAL HEPATITIS PROJECT","")</f>
        <v/>
      </c>
      <c r="CB199" s="129" t="str">
        <f>IF(LEN(BR199)&gt;0,BM199*0.7,"")</f>
        <v/>
      </c>
      <c r="CC199" s="90">
        <f>BP199</f>
        <v>1157032.8</v>
      </c>
      <c r="CD199" s="90" t="str">
        <f>IF(LEN(BR199)&gt;0,"70%","")</f>
        <v/>
      </c>
      <c r="CE199" s="90">
        <f>BS199</f>
        <v>185450</v>
      </c>
      <c r="CF199" s="90" t="str">
        <f>CA199</f>
        <v/>
      </c>
      <c r="CG199" s="90"/>
      <c r="CH199" s="90"/>
      <c r="CI199" s="90"/>
      <c r="CJ199" s="90"/>
      <c r="CK199" s="90"/>
      <c r="CL199" s="90"/>
      <c r="CM199" s="90"/>
      <c r="CN199" s="90"/>
      <c r="CO199" s="90"/>
      <c r="CP199" s="90"/>
      <c r="CQ199" s="90"/>
      <c r="CR199" s="90"/>
      <c r="CS199" s="90"/>
      <c r="CT199" s="137"/>
    </row>
    <row r="200" spans="1:98" ht="45">
      <c r="A200" s="89">
        <v>185450</v>
      </c>
      <c r="B200" s="90">
        <v>2020</v>
      </c>
      <c r="C200" s="90" t="s">
        <v>81</v>
      </c>
      <c r="D200" s="90" t="s">
        <v>760</v>
      </c>
      <c r="E200" s="125" t="s">
        <v>767</v>
      </c>
      <c r="F200" s="24" t="s">
        <v>762</v>
      </c>
      <c r="G200" s="90" t="s">
        <v>85</v>
      </c>
      <c r="H200" s="90" t="s">
        <v>132</v>
      </c>
      <c r="I200" s="90">
        <v>93</v>
      </c>
      <c r="J200" s="90">
        <v>157</v>
      </c>
      <c r="K200" s="90" t="s">
        <v>85</v>
      </c>
      <c r="L200" s="90" t="s">
        <v>763</v>
      </c>
      <c r="M200" s="90" t="s">
        <v>119</v>
      </c>
      <c r="N200" s="24" t="s">
        <v>764</v>
      </c>
      <c r="O200" s="24" t="str">
        <f>IF(ISNUMBER(SEARCH("Cancer",N200)),"Cancer",IF(ISNUMBER(SEARCH("health",N200)),"Public health",IF(ISNUMBER(SEARCH("disabilities",N200)),"Disabilities","Other")))</f>
        <v>Other</v>
      </c>
      <c r="P200" s="126">
        <v>1001760</v>
      </c>
      <c r="Q200" s="90" t="s">
        <v>85</v>
      </c>
      <c r="R200" s="90" t="str">
        <f>IF(P200&gt;20000000,"B","A")</f>
        <v>A</v>
      </c>
      <c r="S200" s="90" t="s">
        <v>90</v>
      </c>
      <c r="T200" s="90" t="s">
        <v>119</v>
      </c>
      <c r="U200" s="90" t="s">
        <v>119</v>
      </c>
      <c r="V200" s="90" t="s">
        <v>119</v>
      </c>
      <c r="W200" s="90" t="s">
        <v>119</v>
      </c>
      <c r="X200" s="90" t="s">
        <v>119</v>
      </c>
      <c r="Y200" s="90" t="s">
        <v>119</v>
      </c>
      <c r="Z200" s="90" t="s">
        <v>119</v>
      </c>
      <c r="AA200" s="90" t="s">
        <v>119</v>
      </c>
      <c r="AB200" s="90" t="s">
        <v>119</v>
      </c>
      <c r="AC200" s="90" t="s">
        <v>119</v>
      </c>
      <c r="AD200" s="90" t="s">
        <v>119</v>
      </c>
      <c r="AE200" s="24">
        <v>0</v>
      </c>
      <c r="AF200" s="90">
        <v>0</v>
      </c>
      <c r="AG200" s="24">
        <v>0</v>
      </c>
      <c r="AH200" s="90">
        <v>89533</v>
      </c>
      <c r="AI200" s="24" t="s">
        <v>110</v>
      </c>
      <c r="AJ200" s="24" t="s">
        <v>768</v>
      </c>
      <c r="AK200" s="90" t="s">
        <v>85</v>
      </c>
      <c r="AL200" s="90">
        <v>185450</v>
      </c>
      <c r="AM200" s="90" t="s">
        <v>81</v>
      </c>
      <c r="AN200" s="90" t="s">
        <v>760</v>
      </c>
      <c r="AO200" s="125" t="s">
        <v>767</v>
      </c>
      <c r="AP200" s="24" t="s">
        <v>764</v>
      </c>
      <c r="AQ200" s="90" t="s">
        <v>763</v>
      </c>
      <c r="AR200" s="24" t="s">
        <v>764</v>
      </c>
      <c r="AS200" s="90" t="s">
        <v>119</v>
      </c>
      <c r="AT200" s="24" t="s">
        <v>110</v>
      </c>
      <c r="AU200" s="90" t="s">
        <v>119</v>
      </c>
      <c r="AV200" s="90" t="str">
        <f>IF(ISNUMBER(SEARCH("disagree",AE200)),"N","Y")</f>
        <v>Y</v>
      </c>
      <c r="AW200" s="90" t="s">
        <v>119</v>
      </c>
      <c r="AX200" s="24" t="s">
        <v>119</v>
      </c>
      <c r="AY200" s="90" t="str">
        <f>CONCATENATE(AZ200,BA200,BB200,BC200)</f>
        <v/>
      </c>
      <c r="AZ200" s="90" t="str">
        <f>IF(ISNUMBER(SEARCH("Y",AC200)),"R","")</f>
        <v/>
      </c>
      <c r="BA200" s="90" t="str">
        <f>IF(ISNUMBER(SEARCH("Y",Y200)),"M","")</f>
        <v/>
      </c>
      <c r="BB200" s="90" t="str">
        <f>IF(ISNUMBER(SEARCH("Y",AB200)),"QC","")</f>
        <v/>
      </c>
      <c r="BC200" s="90" t="str">
        <f>IF(ISNUMBER(SEARCH("Y",Z200)),"S","")</f>
        <v/>
      </c>
      <c r="BD200" s="90"/>
      <c r="BE200" s="24" t="s">
        <v>119</v>
      </c>
      <c r="BF200" s="125" t="str">
        <f>IF(AND(AW200&gt;=56543,AW200&lt;=76543,LEN(AW200)&gt;0),"3 Feb 2020",IF(AND(AW200&gt;=66544,AW200&lt;=99999,LEN(AW200)&gt;0),"12 Sep 2020",""))</f>
        <v/>
      </c>
      <c r="BG200" s="125" t="str">
        <f>IF((AND(BF200="3 Feb 2020",LEN(BF200)&gt;0)),"Completed",IF((AND(BF200="12 Sep 2020",LEN(BF200)&gt;0)),"Pending",""))</f>
        <v/>
      </c>
      <c r="BH200" s="90" t="str">
        <f>IF((AND(BF200="3 Feb 2020",LEN(BF200)&gt;0)),"3 Feb 2020","")</f>
        <v/>
      </c>
      <c r="BI200" s="90">
        <v>185450</v>
      </c>
      <c r="BJ200" s="90" t="str">
        <f>L200</f>
        <v>9C93ES85453-28</v>
      </c>
      <c r="BK200" s="127">
        <v>43508</v>
      </c>
      <c r="BL200" s="127">
        <v>44239</v>
      </c>
      <c r="BM200" s="128">
        <f>P200*1.1</f>
        <v>1101936</v>
      </c>
      <c r="BN200" s="129">
        <f>P200*0.9</f>
        <v>901584</v>
      </c>
      <c r="BO200" s="130">
        <f>P200*0.8</f>
        <v>801408</v>
      </c>
      <c r="BP200" s="90">
        <f>IF(Z200="Y",BM200*0.4,BM200*1.05)</f>
        <v>1157032.8</v>
      </c>
      <c r="BQ200" s="90">
        <f>BP200*0.8</f>
        <v>925626.24000000011</v>
      </c>
      <c r="BR200" s="90" t="str">
        <f>IF(ISNUMBER(SEARCH("subrecipient",AI196)),P200*0.6,"")</f>
        <v/>
      </c>
      <c r="BS200" s="90">
        <v>185450</v>
      </c>
      <c r="BT200" s="90" t="str">
        <f>BJ200</f>
        <v>9C93ES85453-28</v>
      </c>
      <c r="BU200" s="127">
        <f>BK200</f>
        <v>43508</v>
      </c>
      <c r="BV200" s="127">
        <f>BL200</f>
        <v>44239</v>
      </c>
      <c r="BW200" s="90" t="str">
        <f>H200</f>
        <v>FDA</v>
      </c>
      <c r="BX200" s="90" t="str">
        <f>IF(H200="NATIONAL HEMOPHILIA FOUNDATION","Non Federal","Federal")</f>
        <v>Federal</v>
      </c>
      <c r="BY200" s="128">
        <f>BM200</f>
        <v>1101936</v>
      </c>
      <c r="BZ200" s="90" t="str">
        <f>IF(LEN(BR200)&gt;0,1,"")</f>
        <v/>
      </c>
      <c r="CA200" s="90" t="str">
        <f>IF(LEN(BR200)&gt;0,"VIRAL HEPATITIS PROJECT","")</f>
        <v/>
      </c>
      <c r="CB200" s="129" t="str">
        <f>IF(LEN(BR200)&gt;0,BM200*0.7,"")</f>
        <v/>
      </c>
      <c r="CC200" s="90">
        <f>BP200</f>
        <v>1157032.8</v>
      </c>
      <c r="CD200" s="90" t="str">
        <f>IF(LEN(BR200)&gt;0,"70%","")</f>
        <v/>
      </c>
      <c r="CE200" s="90">
        <f>BS200</f>
        <v>185450</v>
      </c>
      <c r="CF200" s="90" t="str">
        <f>CA200</f>
        <v/>
      </c>
      <c r="CG200" s="90"/>
      <c r="CH200" s="90"/>
      <c r="CI200" s="90"/>
      <c r="CJ200" s="90"/>
      <c r="CK200" s="90"/>
      <c r="CL200" s="90"/>
      <c r="CM200" s="90"/>
      <c r="CN200" s="90"/>
      <c r="CO200" s="90"/>
      <c r="CP200" s="90"/>
      <c r="CQ200" s="90"/>
      <c r="CR200" s="90"/>
      <c r="CS200" s="90"/>
      <c r="CT200" s="137"/>
    </row>
    <row r="201" spans="1:98" ht="105">
      <c r="A201" s="89">
        <v>185450</v>
      </c>
      <c r="B201" s="90">
        <v>2020</v>
      </c>
      <c r="C201" s="90" t="s">
        <v>81</v>
      </c>
      <c r="D201" s="90" t="s">
        <v>760</v>
      </c>
      <c r="E201" s="125" t="s">
        <v>769</v>
      </c>
      <c r="F201" s="24" t="s">
        <v>762</v>
      </c>
      <c r="G201" s="90" t="s">
        <v>85</v>
      </c>
      <c r="H201" s="90" t="s">
        <v>132</v>
      </c>
      <c r="I201" s="90">
        <v>93</v>
      </c>
      <c r="J201" s="90">
        <v>157</v>
      </c>
      <c r="K201" s="90" t="s">
        <v>85</v>
      </c>
      <c r="L201" s="90" t="s">
        <v>763</v>
      </c>
      <c r="M201" s="90" t="s">
        <v>119</v>
      </c>
      <c r="N201" s="24" t="s">
        <v>764</v>
      </c>
      <c r="O201" s="24" t="str">
        <f>IF(ISNUMBER(SEARCH("Cancer",N201)),"Cancer",IF(ISNUMBER(SEARCH("health",N201)),"Public health",IF(ISNUMBER(SEARCH("disabilities",N201)),"Disabilities","Other")))</f>
        <v>Other</v>
      </c>
      <c r="P201" s="126">
        <v>1001760</v>
      </c>
      <c r="Q201" s="90" t="s">
        <v>85</v>
      </c>
      <c r="R201" s="90" t="str">
        <f>IF(P201&gt;20000000,"B","A")</f>
        <v>A</v>
      </c>
      <c r="S201" s="90" t="s">
        <v>90</v>
      </c>
      <c r="T201" s="90" t="s">
        <v>119</v>
      </c>
      <c r="U201" s="90" t="s">
        <v>119</v>
      </c>
      <c r="V201" s="90" t="s">
        <v>119</v>
      </c>
      <c r="W201" s="90" t="s">
        <v>119</v>
      </c>
      <c r="X201" s="90" t="s">
        <v>119</v>
      </c>
      <c r="Y201" s="90" t="s">
        <v>119</v>
      </c>
      <c r="Z201" s="90" t="s">
        <v>119</v>
      </c>
      <c r="AA201" s="90" t="s">
        <v>119</v>
      </c>
      <c r="AB201" s="90" t="s">
        <v>119</v>
      </c>
      <c r="AC201" s="90" t="s">
        <v>119</v>
      </c>
      <c r="AD201" s="90" t="s">
        <v>119</v>
      </c>
      <c r="AE201" s="24">
        <v>0</v>
      </c>
      <c r="AF201" s="90">
        <v>0</v>
      </c>
      <c r="AG201" s="24">
        <v>0</v>
      </c>
      <c r="AH201" s="90">
        <v>89532</v>
      </c>
      <c r="AI201" s="24" t="s">
        <v>770</v>
      </c>
      <c r="AJ201" s="24" t="s">
        <v>771</v>
      </c>
      <c r="AK201" s="90" t="s">
        <v>85</v>
      </c>
      <c r="AL201" s="90">
        <v>185450</v>
      </c>
      <c r="AM201" s="90" t="s">
        <v>81</v>
      </c>
      <c r="AN201" s="90" t="s">
        <v>760</v>
      </c>
      <c r="AO201" s="125" t="s">
        <v>769</v>
      </c>
      <c r="AP201" s="24" t="s">
        <v>764</v>
      </c>
      <c r="AQ201" s="90" t="s">
        <v>763</v>
      </c>
      <c r="AR201" s="24" t="s">
        <v>764</v>
      </c>
      <c r="AS201" s="90" t="s">
        <v>119</v>
      </c>
      <c r="AT201" s="24" t="s">
        <v>770</v>
      </c>
      <c r="AU201" s="90" t="s">
        <v>119</v>
      </c>
      <c r="AV201" s="90" t="str">
        <f>IF(ISNUMBER(SEARCH("disagree",AE201)),"N","Y")</f>
        <v>Y</v>
      </c>
      <c r="AW201" s="90" t="s">
        <v>119</v>
      </c>
      <c r="AX201" s="24" t="s">
        <v>119</v>
      </c>
      <c r="AY201" s="90" t="str">
        <f>CONCATENATE(AZ201,BA201,BB201,BC201)</f>
        <v/>
      </c>
      <c r="AZ201" s="90" t="str">
        <f>IF(ISNUMBER(SEARCH("Y",AC201)),"R","")</f>
        <v/>
      </c>
      <c r="BA201" s="90" t="str">
        <f>IF(ISNUMBER(SEARCH("Y",Y201)),"M","")</f>
        <v/>
      </c>
      <c r="BB201" s="90" t="str">
        <f>IF(ISNUMBER(SEARCH("Y",AB201)),"QC","")</f>
        <v/>
      </c>
      <c r="BC201" s="90" t="str">
        <f>IF(ISNUMBER(SEARCH("Y",Z201)),"S","")</f>
        <v/>
      </c>
      <c r="BD201" s="90"/>
      <c r="BE201" s="24" t="s">
        <v>119</v>
      </c>
      <c r="BF201" s="125" t="str">
        <f>IF(AND(AW201&gt;=56543,AW201&lt;=76543,LEN(AW201)&gt;0),"3 Feb 2020",IF(AND(AW201&gt;=66544,AW201&lt;=99999,LEN(AW201)&gt;0),"12 Sep 2020",""))</f>
        <v/>
      </c>
      <c r="BG201" s="125" t="str">
        <f>IF((AND(BF201="3 Feb 2020",LEN(BF201)&gt;0)),"Completed",IF((AND(BF201="12 Sep 2020",LEN(BF201)&gt;0)),"Pending",""))</f>
        <v/>
      </c>
      <c r="BH201" s="90" t="str">
        <f>IF((AND(BF201="3 Feb 2020",LEN(BF201)&gt;0)),"3 Feb 2020","")</f>
        <v/>
      </c>
      <c r="BI201" s="90">
        <v>185450</v>
      </c>
      <c r="BJ201" s="90" t="str">
        <f>L201</f>
        <v>9C93ES85453-28</v>
      </c>
      <c r="BK201" s="127">
        <v>43508</v>
      </c>
      <c r="BL201" s="127">
        <v>44239</v>
      </c>
      <c r="BM201" s="128">
        <f>P201*1.1</f>
        <v>1101936</v>
      </c>
      <c r="BN201" s="129">
        <f>P201*0.9</f>
        <v>901584</v>
      </c>
      <c r="BO201" s="130">
        <f>P201*0.8</f>
        <v>801408</v>
      </c>
      <c r="BP201" s="90">
        <f>IF(Z201="Y",BM201*0.4,BM201*1.05)</f>
        <v>1157032.8</v>
      </c>
      <c r="BQ201" s="90">
        <f>BP201*0.8</f>
        <v>925626.24000000011</v>
      </c>
      <c r="BR201" s="90">
        <f>IF(ISNUMBER(SEARCH("subrecipient",AI201)),P201*0.6,"")</f>
        <v>601056</v>
      </c>
      <c r="BS201" s="90">
        <v>185450</v>
      </c>
      <c r="BT201" s="90" t="str">
        <f>BJ201</f>
        <v>9C93ES85453-28</v>
      </c>
      <c r="BU201" s="127">
        <f>BK201</f>
        <v>43508</v>
      </c>
      <c r="BV201" s="127">
        <f>BL201</f>
        <v>44239</v>
      </c>
      <c r="BW201" s="90" t="str">
        <f>H201</f>
        <v>FDA</v>
      </c>
      <c r="BX201" s="90" t="str">
        <f>IF(H201="NATIONAL HEMOPHILIA FOUNDATION","Non Federal","Federal")</f>
        <v>Federal</v>
      </c>
      <c r="BY201" s="128">
        <f>BM201</f>
        <v>1101936</v>
      </c>
      <c r="BZ201" s="90">
        <f>IF(LEN(BR201)&gt;0,1,"")</f>
        <v>1</v>
      </c>
      <c r="CA201" s="90" t="str">
        <f>IF(LEN(BR201)&gt;0,"VIRAL HEPATITIS PROJECT","")</f>
        <v>VIRAL HEPATITIS PROJECT</v>
      </c>
      <c r="CB201" s="129">
        <f>IF(LEN(BR201)&gt;0,BM201*0.7,"")</f>
        <v>771355.2</v>
      </c>
      <c r="CC201" s="90">
        <f>BP201</f>
        <v>1157032.8</v>
      </c>
      <c r="CD201" s="90" t="str">
        <f>IF(LEN(BR201)&gt;0,"70%","")</f>
        <v>70%</v>
      </c>
      <c r="CE201" s="90">
        <f>BS201</f>
        <v>185450</v>
      </c>
      <c r="CF201" s="90" t="str">
        <f>CA201</f>
        <v>VIRAL HEPATITIS PROJECT</v>
      </c>
      <c r="CG201" s="90" t="s">
        <v>772</v>
      </c>
      <c r="CH201" s="24" t="s">
        <v>773</v>
      </c>
      <c r="CI201" s="129">
        <f>CB201</f>
        <v>771355.2</v>
      </c>
      <c r="CJ201" s="125" t="s">
        <v>157</v>
      </c>
      <c r="CK201" s="90" t="s">
        <v>158</v>
      </c>
      <c r="CL201" s="90" t="s">
        <v>159</v>
      </c>
      <c r="CM201" s="90" t="s">
        <v>160</v>
      </c>
      <c r="CN201" s="90" t="s">
        <v>160</v>
      </c>
      <c r="CO201" s="24" t="s">
        <v>161</v>
      </c>
      <c r="CP201" s="24" t="s">
        <v>774</v>
      </c>
      <c r="CQ201" s="132">
        <v>0.3</v>
      </c>
      <c r="CR201" s="127">
        <f>BU201+50</f>
        <v>43558</v>
      </c>
      <c r="CS201" s="127">
        <f>BV201-50</f>
        <v>44189</v>
      </c>
      <c r="CT201" s="138">
        <f>CI201*0.4</f>
        <v>308542.08000000002</v>
      </c>
    </row>
    <row r="202" spans="1:98" ht="90">
      <c r="A202" s="89">
        <v>185507</v>
      </c>
      <c r="B202" s="90">
        <v>2020</v>
      </c>
      <c r="C202" s="90" t="s">
        <v>81</v>
      </c>
      <c r="D202" s="90" t="s">
        <v>775</v>
      </c>
      <c r="E202" s="125" t="s">
        <v>776</v>
      </c>
      <c r="F202" s="24" t="s">
        <v>777</v>
      </c>
      <c r="G202" s="90" t="s">
        <v>85</v>
      </c>
      <c r="H202" s="90" t="s">
        <v>150</v>
      </c>
      <c r="I202" s="90">
        <v>93</v>
      </c>
      <c r="J202" s="90">
        <v>157</v>
      </c>
      <c r="K202" s="90" t="s">
        <v>85</v>
      </c>
      <c r="L202" s="90" t="s">
        <v>778</v>
      </c>
      <c r="M202" s="90" t="s">
        <v>119</v>
      </c>
      <c r="N202" s="24" t="s">
        <v>779</v>
      </c>
      <c r="O202" s="24" t="str">
        <f>IF(ISNUMBER(SEARCH("Cancer",N202)),"Cancer",IF(ISNUMBER(SEARCH("health",N202)),"Public health",IF(ISNUMBER(SEARCH("disabilities",N202)),"Disabilities","Other")))</f>
        <v>Other</v>
      </c>
      <c r="P202" s="126">
        <v>1932326</v>
      </c>
      <c r="Q202" s="90" t="s">
        <v>85</v>
      </c>
      <c r="R202" s="90" t="str">
        <f>IF(P202&gt;20000000,"B","A")</f>
        <v>A</v>
      </c>
      <c r="S202" s="90" t="s">
        <v>90</v>
      </c>
      <c r="T202" s="90" t="s">
        <v>119</v>
      </c>
      <c r="U202" s="90" t="s">
        <v>119</v>
      </c>
      <c r="V202" s="90" t="s">
        <v>119</v>
      </c>
      <c r="W202" s="90" t="s">
        <v>119</v>
      </c>
      <c r="X202" s="90" t="s">
        <v>119</v>
      </c>
      <c r="Y202" s="90" t="s">
        <v>119</v>
      </c>
      <c r="Z202" s="90" t="s">
        <v>119</v>
      </c>
      <c r="AA202" s="90" t="s">
        <v>119</v>
      </c>
      <c r="AB202" s="90" t="s">
        <v>119</v>
      </c>
      <c r="AC202" s="90" t="s">
        <v>119</v>
      </c>
      <c r="AD202" s="90" t="s">
        <v>119</v>
      </c>
      <c r="AE202" s="24">
        <v>0</v>
      </c>
      <c r="AF202" s="90">
        <v>0</v>
      </c>
      <c r="AG202" s="24">
        <v>0</v>
      </c>
      <c r="AH202" s="90">
        <v>76999</v>
      </c>
      <c r="AI202" s="24" t="s">
        <v>94</v>
      </c>
      <c r="AJ202" s="24" t="s">
        <v>95</v>
      </c>
      <c r="AK202" s="90" t="s">
        <v>85</v>
      </c>
      <c r="AL202" s="90">
        <v>185507</v>
      </c>
      <c r="AM202" s="90" t="s">
        <v>81</v>
      </c>
      <c r="AN202" s="90" t="s">
        <v>775</v>
      </c>
      <c r="AO202" s="125" t="s">
        <v>776</v>
      </c>
      <c r="AP202" s="24" t="s">
        <v>779</v>
      </c>
      <c r="AQ202" s="90" t="s">
        <v>778</v>
      </c>
      <c r="AR202" s="24" t="s">
        <v>779</v>
      </c>
      <c r="AS202" s="90" t="s">
        <v>119</v>
      </c>
      <c r="AT202" s="24" t="s">
        <v>94</v>
      </c>
      <c r="AU202" s="90" t="s">
        <v>119</v>
      </c>
      <c r="AV202" s="90" t="str">
        <f>IF(ISNUMBER(SEARCH("disagree",AE202)),"N","Y")</f>
        <v>Y</v>
      </c>
      <c r="AW202" s="90" t="s">
        <v>119</v>
      </c>
      <c r="AX202" s="24" t="s">
        <v>119</v>
      </c>
      <c r="AY202" s="90" t="str">
        <f>CONCATENATE(AZ202,BA202,BB202,BC202)</f>
        <v/>
      </c>
      <c r="AZ202" s="90" t="str">
        <f>IF(ISNUMBER(SEARCH("Y",AC202)),"R","")</f>
        <v/>
      </c>
      <c r="BA202" s="90" t="str">
        <f>IF(ISNUMBER(SEARCH("Y",Y202)),"M","")</f>
        <v/>
      </c>
      <c r="BB202" s="90" t="str">
        <f>IF(ISNUMBER(SEARCH("Y",AB202)),"QC","")</f>
        <v/>
      </c>
      <c r="BC202" s="90" t="str">
        <f>IF(ISNUMBER(SEARCH("Y",Z202)),"S","")</f>
        <v/>
      </c>
      <c r="BD202" s="90"/>
      <c r="BE202" s="24" t="s">
        <v>119</v>
      </c>
      <c r="BF202" s="125" t="str">
        <f>IF(AND(AW202&gt;=56543,AW202&lt;=76543,LEN(AW202)&gt;0),"3 Feb 2020",IF(AND(AW202&gt;=66544,AW202&lt;=99999,LEN(AW202)&gt;0),"12 Sep 2020",""))</f>
        <v/>
      </c>
      <c r="BG202" s="125" t="str">
        <f>IF((AND(BF202="3 Feb 2020",LEN(BF202)&gt;0)),"Completed",IF((AND(BF202="12 Sep 2020",LEN(BF202)&gt;0)),"Pending",""))</f>
        <v/>
      </c>
      <c r="BH202" s="90" t="str">
        <f>IF((AND(BF202="3 Feb 2020",LEN(BF202)&gt;0)),"3 Feb 2020","")</f>
        <v/>
      </c>
      <c r="BI202" s="90">
        <v>185507</v>
      </c>
      <c r="BJ202" s="90" t="str">
        <f>L202</f>
        <v>3C93AS87217-80</v>
      </c>
      <c r="BK202" s="127">
        <v>43508</v>
      </c>
      <c r="BL202" s="127">
        <v>44239</v>
      </c>
      <c r="BM202" s="128">
        <f>P202*1.1</f>
        <v>2125558.6</v>
      </c>
      <c r="BN202" s="129">
        <f>P202*0.9</f>
        <v>1739093.4000000001</v>
      </c>
      <c r="BO202" s="130">
        <f>P202*0.8</f>
        <v>1545860.8</v>
      </c>
      <c r="BP202" s="90">
        <f>IF(Z202="Y",BM202*0.4,BM202*1.05)</f>
        <v>2231836.5300000003</v>
      </c>
      <c r="BQ202" s="90">
        <f>BP202*0.8</f>
        <v>1785469.2240000004</v>
      </c>
      <c r="BR202" s="90" t="str">
        <f>IF(ISNUMBER(SEARCH("subrecipient",AI198)),P202*0.6,"")</f>
        <v/>
      </c>
      <c r="BS202" s="90">
        <v>185507</v>
      </c>
      <c r="BT202" s="90" t="str">
        <f>BJ202</f>
        <v>3C93AS87217-80</v>
      </c>
      <c r="BU202" s="127">
        <f>BK202</f>
        <v>43508</v>
      </c>
      <c r="BV202" s="127">
        <f>BL202</f>
        <v>44239</v>
      </c>
      <c r="BW202" s="90" t="str">
        <f>H202</f>
        <v>ACF</v>
      </c>
      <c r="BX202" s="90" t="str">
        <f>IF(H202="NATIONAL HEMOPHILIA FOUNDATION","Non Federal","Federal")</f>
        <v>Federal</v>
      </c>
      <c r="BY202" s="128">
        <f>BM202</f>
        <v>2125558.6</v>
      </c>
      <c r="BZ202" s="90" t="str">
        <f>IF(LEN(BR202)&gt;0,1,"")</f>
        <v/>
      </c>
      <c r="CA202" s="90" t="str">
        <f>IF(LEN(BR202)&gt;0,"VIRAL HEPATITIS PROJECT","")</f>
        <v/>
      </c>
      <c r="CB202" s="129" t="str">
        <f>IF(LEN(BR202)&gt;0,BM202*0.7,"")</f>
        <v/>
      </c>
      <c r="CC202" s="90">
        <f>BP202</f>
        <v>2231836.5300000003</v>
      </c>
      <c r="CD202" s="90" t="str">
        <f>IF(LEN(BR202)&gt;0,"70%","")</f>
        <v/>
      </c>
      <c r="CE202" s="90">
        <f>BS202</f>
        <v>185507</v>
      </c>
      <c r="CF202" s="90" t="str">
        <f>CA202</f>
        <v/>
      </c>
      <c r="CG202" s="90"/>
      <c r="CH202" s="90"/>
      <c r="CI202" s="90"/>
      <c r="CJ202" s="90"/>
      <c r="CK202" s="90"/>
      <c r="CL202" s="90"/>
      <c r="CM202" s="90"/>
      <c r="CN202" s="90"/>
      <c r="CO202" s="90"/>
      <c r="CP202" s="90"/>
      <c r="CQ202" s="90"/>
      <c r="CR202" s="90"/>
      <c r="CS202" s="90"/>
      <c r="CT202" s="137"/>
    </row>
    <row r="203" spans="1:98" ht="90">
      <c r="A203" s="89">
        <v>185507</v>
      </c>
      <c r="B203" s="90">
        <v>2020</v>
      </c>
      <c r="C203" s="90" t="s">
        <v>81</v>
      </c>
      <c r="D203" s="90" t="s">
        <v>775</v>
      </c>
      <c r="E203" s="125" t="s">
        <v>780</v>
      </c>
      <c r="F203" s="24" t="s">
        <v>777</v>
      </c>
      <c r="G203" s="90" t="s">
        <v>85</v>
      </c>
      <c r="H203" s="90" t="s">
        <v>150</v>
      </c>
      <c r="I203" s="90">
        <v>93</v>
      </c>
      <c r="J203" s="90">
        <v>157</v>
      </c>
      <c r="K203" s="90" t="s">
        <v>85</v>
      </c>
      <c r="L203" s="90" t="s">
        <v>778</v>
      </c>
      <c r="M203" s="90" t="s">
        <v>119</v>
      </c>
      <c r="N203" s="24" t="s">
        <v>779</v>
      </c>
      <c r="O203" s="24" t="str">
        <f>IF(ISNUMBER(SEARCH("Cancer",N203)),"Cancer",IF(ISNUMBER(SEARCH("health",N203)),"Public health",IF(ISNUMBER(SEARCH("disabilities",N203)),"Disabilities","Other")))</f>
        <v>Other</v>
      </c>
      <c r="P203" s="126">
        <v>1932326</v>
      </c>
      <c r="Q203" s="90" t="s">
        <v>85</v>
      </c>
      <c r="R203" s="90" t="str">
        <f>IF(P203&gt;20000000,"B","A")</f>
        <v>A</v>
      </c>
      <c r="S203" s="90" t="s">
        <v>90</v>
      </c>
      <c r="T203" s="90" t="s">
        <v>119</v>
      </c>
      <c r="U203" s="90" t="s">
        <v>119</v>
      </c>
      <c r="V203" s="90" t="s">
        <v>119</v>
      </c>
      <c r="W203" s="90" t="s">
        <v>119</v>
      </c>
      <c r="X203" s="90" t="s">
        <v>119</v>
      </c>
      <c r="Y203" s="90" t="s">
        <v>119</v>
      </c>
      <c r="Z203" s="90" t="s">
        <v>119</v>
      </c>
      <c r="AA203" s="90" t="s">
        <v>119</v>
      </c>
      <c r="AB203" s="90" t="s">
        <v>119</v>
      </c>
      <c r="AC203" s="90" t="s">
        <v>119</v>
      </c>
      <c r="AD203" s="90" t="s">
        <v>119</v>
      </c>
      <c r="AE203" s="24">
        <v>0</v>
      </c>
      <c r="AF203" s="90">
        <v>0</v>
      </c>
      <c r="AG203" s="24">
        <v>0</v>
      </c>
      <c r="AH203" s="90">
        <v>76997</v>
      </c>
      <c r="AI203" s="24" t="s">
        <v>102</v>
      </c>
      <c r="AJ203" s="24" t="s">
        <v>103</v>
      </c>
      <c r="AK203" s="90" t="s">
        <v>85</v>
      </c>
      <c r="AL203" s="90">
        <v>185507</v>
      </c>
      <c r="AM203" s="90" t="s">
        <v>81</v>
      </c>
      <c r="AN203" s="90" t="s">
        <v>775</v>
      </c>
      <c r="AO203" s="125" t="s">
        <v>780</v>
      </c>
      <c r="AP203" s="24" t="s">
        <v>779</v>
      </c>
      <c r="AQ203" s="90" t="s">
        <v>778</v>
      </c>
      <c r="AR203" s="24" t="s">
        <v>779</v>
      </c>
      <c r="AS203" s="90" t="s">
        <v>119</v>
      </c>
      <c r="AT203" s="24" t="s">
        <v>102</v>
      </c>
      <c r="AU203" s="90" t="s">
        <v>119</v>
      </c>
      <c r="AV203" s="90" t="str">
        <f>IF(ISNUMBER(SEARCH("disagree",AE203)),"N","Y")</f>
        <v>Y</v>
      </c>
      <c r="AW203" s="90" t="s">
        <v>119</v>
      </c>
      <c r="AX203" s="24" t="s">
        <v>119</v>
      </c>
      <c r="AY203" s="90" t="str">
        <f>CONCATENATE(AZ203,BA203,BB203,BC203)</f>
        <v/>
      </c>
      <c r="AZ203" s="90" t="str">
        <f>IF(ISNUMBER(SEARCH("Y",AC203)),"R","")</f>
        <v/>
      </c>
      <c r="BA203" s="90" t="str">
        <f>IF(ISNUMBER(SEARCH("Y",Y203)),"M","")</f>
        <v/>
      </c>
      <c r="BB203" s="90" t="str">
        <f>IF(ISNUMBER(SEARCH("Y",AB203)),"QC","")</f>
        <v/>
      </c>
      <c r="BC203" s="90" t="str">
        <f>IF(ISNUMBER(SEARCH("Y",Z203)),"S","")</f>
        <v/>
      </c>
      <c r="BD203" s="90"/>
      <c r="BE203" s="24" t="s">
        <v>119</v>
      </c>
      <c r="BF203" s="125" t="str">
        <f>IF(AND(AW203&gt;=56543,AW203&lt;=76543,LEN(AW203)&gt;0),"3 Feb 2020",IF(AND(AW203&gt;=66544,AW203&lt;=99999,LEN(AW203)&gt;0),"12 Sep 2020",""))</f>
        <v/>
      </c>
      <c r="BG203" s="125" t="str">
        <f>IF((AND(BF203="3 Feb 2020",LEN(BF203)&gt;0)),"Completed",IF((AND(BF203="12 Sep 2020",LEN(BF203)&gt;0)),"Pending",""))</f>
        <v/>
      </c>
      <c r="BH203" s="90" t="str">
        <f>IF((AND(BF203="3 Feb 2020",LEN(BF203)&gt;0)),"3 Feb 2020","")</f>
        <v/>
      </c>
      <c r="BI203" s="90">
        <v>185507</v>
      </c>
      <c r="BJ203" s="90" t="str">
        <f>L203</f>
        <v>3C93AS87217-80</v>
      </c>
      <c r="BK203" s="127">
        <v>43508</v>
      </c>
      <c r="BL203" s="127">
        <v>44239</v>
      </c>
      <c r="BM203" s="128">
        <f>P203*1.1</f>
        <v>2125558.6</v>
      </c>
      <c r="BN203" s="129">
        <f>P203*0.9</f>
        <v>1739093.4000000001</v>
      </c>
      <c r="BO203" s="130">
        <f>P203*0.8</f>
        <v>1545860.8</v>
      </c>
      <c r="BP203" s="90">
        <f>IF(Z203="Y",BM203*0.4,BM203*1.05)</f>
        <v>2231836.5300000003</v>
      </c>
      <c r="BQ203" s="90">
        <f>BP203*0.8</f>
        <v>1785469.2240000004</v>
      </c>
      <c r="BR203" s="90" t="str">
        <f>IF(ISNUMBER(SEARCH("subrecipient",AI199)),P203*0.6,"")</f>
        <v/>
      </c>
      <c r="BS203" s="90">
        <v>185507</v>
      </c>
      <c r="BT203" s="90" t="str">
        <f>BJ203</f>
        <v>3C93AS87217-80</v>
      </c>
      <c r="BU203" s="127">
        <f>BK203</f>
        <v>43508</v>
      </c>
      <c r="BV203" s="127">
        <f>BL203</f>
        <v>44239</v>
      </c>
      <c r="BW203" s="90" t="str">
        <f>H203</f>
        <v>ACF</v>
      </c>
      <c r="BX203" s="90" t="str">
        <f>IF(H203="NATIONAL HEMOPHILIA FOUNDATION","Non Federal","Federal")</f>
        <v>Federal</v>
      </c>
      <c r="BY203" s="128">
        <f>BM203</f>
        <v>2125558.6</v>
      </c>
      <c r="BZ203" s="90" t="str">
        <f>IF(LEN(BR203)&gt;0,1,"")</f>
        <v/>
      </c>
      <c r="CA203" s="90" t="str">
        <f>IF(LEN(BR203)&gt;0,"VIRAL HEPATITIS PROJECT","")</f>
        <v/>
      </c>
      <c r="CB203" s="129" t="str">
        <f>IF(LEN(BR203)&gt;0,BM203*0.7,"")</f>
        <v/>
      </c>
      <c r="CC203" s="90">
        <f>BP203</f>
        <v>2231836.5300000003</v>
      </c>
      <c r="CD203" s="90" t="str">
        <f>IF(LEN(BR203)&gt;0,"70%","")</f>
        <v/>
      </c>
      <c r="CE203" s="90">
        <f>BS203</f>
        <v>185507</v>
      </c>
      <c r="CF203" s="90" t="str">
        <f>CA203</f>
        <v/>
      </c>
      <c r="CG203" s="90"/>
      <c r="CH203" s="90"/>
      <c r="CI203" s="90"/>
      <c r="CJ203" s="90"/>
      <c r="CK203" s="90"/>
      <c r="CL203" s="90"/>
      <c r="CM203" s="90"/>
      <c r="CN203" s="90"/>
      <c r="CO203" s="90"/>
      <c r="CP203" s="90"/>
      <c r="CQ203" s="90"/>
      <c r="CR203" s="90"/>
      <c r="CS203" s="90"/>
      <c r="CT203" s="137"/>
    </row>
    <row r="204" spans="1:98" ht="90">
      <c r="A204" s="89">
        <v>185507</v>
      </c>
      <c r="B204" s="90">
        <v>2020</v>
      </c>
      <c r="C204" s="90" t="s">
        <v>81</v>
      </c>
      <c r="D204" s="90" t="s">
        <v>775</v>
      </c>
      <c r="E204" s="125" t="s">
        <v>781</v>
      </c>
      <c r="F204" s="24" t="s">
        <v>777</v>
      </c>
      <c r="G204" s="90" t="s">
        <v>85</v>
      </c>
      <c r="H204" s="90" t="s">
        <v>150</v>
      </c>
      <c r="I204" s="90">
        <v>93</v>
      </c>
      <c r="J204" s="90">
        <v>157</v>
      </c>
      <c r="K204" s="90" t="s">
        <v>85</v>
      </c>
      <c r="L204" s="90" t="s">
        <v>778</v>
      </c>
      <c r="M204" s="90" t="s">
        <v>119</v>
      </c>
      <c r="N204" s="24" t="s">
        <v>779</v>
      </c>
      <c r="O204" s="24" t="str">
        <f>IF(ISNUMBER(SEARCH("Cancer",N204)),"Cancer",IF(ISNUMBER(SEARCH("health",N204)),"Public health",IF(ISNUMBER(SEARCH("disabilities",N204)),"Disabilities","Other")))</f>
        <v>Other</v>
      </c>
      <c r="P204" s="126">
        <v>1932326</v>
      </c>
      <c r="Q204" s="90" t="s">
        <v>85</v>
      </c>
      <c r="R204" s="90" t="str">
        <f>IF(P204&gt;20000000,"B","A")</f>
        <v>A</v>
      </c>
      <c r="S204" s="90" t="s">
        <v>90</v>
      </c>
      <c r="T204" s="90" t="s">
        <v>119</v>
      </c>
      <c r="U204" s="90" t="s">
        <v>119</v>
      </c>
      <c r="V204" s="90" t="s">
        <v>119</v>
      </c>
      <c r="W204" s="90" t="s">
        <v>119</v>
      </c>
      <c r="X204" s="90" t="s">
        <v>119</v>
      </c>
      <c r="Y204" s="90" t="s">
        <v>119</v>
      </c>
      <c r="Z204" s="90" t="s">
        <v>119</v>
      </c>
      <c r="AA204" s="90" t="s">
        <v>119</v>
      </c>
      <c r="AB204" s="90" t="s">
        <v>119</v>
      </c>
      <c r="AC204" s="90" t="s">
        <v>119</v>
      </c>
      <c r="AD204" s="90" t="s">
        <v>119</v>
      </c>
      <c r="AE204" s="24">
        <v>0</v>
      </c>
      <c r="AF204" s="90">
        <v>0</v>
      </c>
      <c r="AG204" s="24">
        <v>0</v>
      </c>
      <c r="AH204" s="90">
        <v>76998</v>
      </c>
      <c r="AI204" s="24" t="s">
        <v>110</v>
      </c>
      <c r="AJ204" s="24" t="s">
        <v>782</v>
      </c>
      <c r="AK204" s="90" t="s">
        <v>85</v>
      </c>
      <c r="AL204" s="90">
        <v>185507</v>
      </c>
      <c r="AM204" s="90" t="s">
        <v>81</v>
      </c>
      <c r="AN204" s="90" t="s">
        <v>775</v>
      </c>
      <c r="AO204" s="125" t="s">
        <v>781</v>
      </c>
      <c r="AP204" s="24" t="s">
        <v>779</v>
      </c>
      <c r="AQ204" s="90" t="s">
        <v>778</v>
      </c>
      <c r="AR204" s="24" t="s">
        <v>779</v>
      </c>
      <c r="AS204" s="90" t="s">
        <v>119</v>
      </c>
      <c r="AT204" s="24" t="s">
        <v>110</v>
      </c>
      <c r="AU204" s="90" t="s">
        <v>119</v>
      </c>
      <c r="AV204" s="90" t="str">
        <f>IF(ISNUMBER(SEARCH("disagree",AE204)),"N","Y")</f>
        <v>Y</v>
      </c>
      <c r="AW204" s="90" t="s">
        <v>119</v>
      </c>
      <c r="AX204" s="24" t="s">
        <v>119</v>
      </c>
      <c r="AY204" s="90" t="str">
        <f>CONCATENATE(AZ204,BA204,BB204,BC204)</f>
        <v/>
      </c>
      <c r="AZ204" s="90" t="str">
        <f>IF(ISNUMBER(SEARCH("Y",AC204)),"R","")</f>
        <v/>
      </c>
      <c r="BA204" s="90" t="str">
        <f>IF(ISNUMBER(SEARCH("Y",Y204)),"M","")</f>
        <v/>
      </c>
      <c r="BB204" s="90" t="str">
        <f>IF(ISNUMBER(SEARCH("Y",AB204)),"QC","")</f>
        <v/>
      </c>
      <c r="BC204" s="90" t="str">
        <f>IF(ISNUMBER(SEARCH("Y",Z204)),"S","")</f>
        <v/>
      </c>
      <c r="BD204" s="90"/>
      <c r="BE204" s="24" t="s">
        <v>119</v>
      </c>
      <c r="BF204" s="125" t="str">
        <f>IF(AND(AW204&gt;=56543,AW204&lt;=76543,LEN(AW204)&gt;0),"3 Feb 2020",IF(AND(AW204&gt;=66544,AW204&lt;=99999,LEN(AW204)&gt;0),"12 Sep 2020",""))</f>
        <v/>
      </c>
      <c r="BG204" s="125" t="str">
        <f>IF((AND(BF204="3 Feb 2020",LEN(BF204)&gt;0)),"Completed",IF((AND(BF204="12 Sep 2020",LEN(BF204)&gt;0)),"Pending",""))</f>
        <v/>
      </c>
      <c r="BH204" s="90" t="str">
        <f>IF((AND(BF204="3 Feb 2020",LEN(BF204)&gt;0)),"3 Feb 2020","")</f>
        <v/>
      </c>
      <c r="BI204" s="90">
        <v>185507</v>
      </c>
      <c r="BJ204" s="90" t="str">
        <f>L204</f>
        <v>3C93AS87217-80</v>
      </c>
      <c r="BK204" s="127">
        <v>43508</v>
      </c>
      <c r="BL204" s="127">
        <v>44239</v>
      </c>
      <c r="BM204" s="128">
        <f>P204*1.1</f>
        <v>2125558.6</v>
      </c>
      <c r="BN204" s="129">
        <f>P204*0.9</f>
        <v>1739093.4000000001</v>
      </c>
      <c r="BO204" s="130">
        <f>P204*0.8</f>
        <v>1545860.8</v>
      </c>
      <c r="BP204" s="90">
        <f>IF(Z204="Y",BM204*0.4,BM204*1.05)</f>
        <v>2231836.5300000003</v>
      </c>
      <c r="BQ204" s="90">
        <f>BP204*0.8</f>
        <v>1785469.2240000004</v>
      </c>
      <c r="BR204" s="90" t="str">
        <f>IF(ISNUMBER(SEARCH("subrecipient",AI200)),P204*0.6,"")</f>
        <v/>
      </c>
      <c r="BS204" s="90">
        <v>185507</v>
      </c>
      <c r="BT204" s="90" t="str">
        <f>BJ204</f>
        <v>3C93AS87217-80</v>
      </c>
      <c r="BU204" s="127">
        <f>BK204</f>
        <v>43508</v>
      </c>
      <c r="BV204" s="127">
        <f>BL204</f>
        <v>44239</v>
      </c>
      <c r="BW204" s="90" t="str">
        <f>H204</f>
        <v>ACF</v>
      </c>
      <c r="BX204" s="90" t="str">
        <f>IF(H204="NATIONAL HEMOPHILIA FOUNDATION","Non Federal","Federal")</f>
        <v>Federal</v>
      </c>
      <c r="BY204" s="128">
        <f>BM204</f>
        <v>2125558.6</v>
      </c>
      <c r="BZ204" s="90" t="str">
        <f>IF(LEN(BR204)&gt;0,1,"")</f>
        <v/>
      </c>
      <c r="CA204" s="90" t="str">
        <f>IF(LEN(BR204)&gt;0,"VIRAL HEPATITIS PROJECT","")</f>
        <v/>
      </c>
      <c r="CB204" s="129" t="str">
        <f>IF(LEN(BR204)&gt;0,BM204*0.7,"")</f>
        <v/>
      </c>
      <c r="CC204" s="90">
        <f>BP204</f>
        <v>2231836.5300000003</v>
      </c>
      <c r="CD204" s="90" t="str">
        <f>IF(LEN(BR204)&gt;0,"70%","")</f>
        <v/>
      </c>
      <c r="CE204" s="90">
        <f>BS204</f>
        <v>185507</v>
      </c>
      <c r="CF204" s="90" t="str">
        <f>CA204</f>
        <v/>
      </c>
      <c r="CG204" s="90"/>
      <c r="CH204" s="90"/>
      <c r="CI204" s="90"/>
      <c r="CJ204" s="90"/>
      <c r="CK204" s="90"/>
      <c r="CL204" s="90"/>
      <c r="CM204" s="90"/>
      <c r="CN204" s="90"/>
      <c r="CO204" s="90"/>
      <c r="CP204" s="90"/>
      <c r="CQ204" s="90"/>
      <c r="CR204" s="90"/>
      <c r="CS204" s="90"/>
      <c r="CT204" s="137"/>
    </row>
    <row r="205" spans="1:98" ht="165">
      <c r="A205" s="89">
        <v>185511</v>
      </c>
      <c r="B205" s="90">
        <v>2020</v>
      </c>
      <c r="C205" s="90" t="s">
        <v>81</v>
      </c>
      <c r="D205" s="90" t="s">
        <v>783</v>
      </c>
      <c r="E205" s="125" t="s">
        <v>784</v>
      </c>
      <c r="F205" s="24" t="s">
        <v>785</v>
      </c>
      <c r="G205" s="90" t="s">
        <v>85</v>
      </c>
      <c r="H205" s="90" t="s">
        <v>86</v>
      </c>
      <c r="I205" s="90">
        <v>93</v>
      </c>
      <c r="J205" s="90">
        <v>157</v>
      </c>
      <c r="K205" s="90" t="s">
        <v>85</v>
      </c>
      <c r="L205" s="90" t="s">
        <v>786</v>
      </c>
      <c r="M205" s="90" t="s">
        <v>119</v>
      </c>
      <c r="N205" s="24" t="s">
        <v>202</v>
      </c>
      <c r="O205" s="24" t="str">
        <f>IF(ISNUMBER(SEARCH("Cancer",N205)),"Cancer",IF(ISNUMBER(SEARCH("health",N205)),"Public health",IF(ISNUMBER(SEARCH("disabilities",N205)),"Disabilities","Other")))</f>
        <v>Public health</v>
      </c>
      <c r="P205" s="126">
        <v>1799653</v>
      </c>
      <c r="Q205" s="90" t="s">
        <v>85</v>
      </c>
      <c r="R205" s="90" t="str">
        <f>IF(P205&gt;20000000,"B","A")</f>
        <v>A</v>
      </c>
      <c r="S205" s="90" t="s">
        <v>90</v>
      </c>
      <c r="T205" s="90" t="s">
        <v>119</v>
      </c>
      <c r="U205" s="90" t="s">
        <v>119</v>
      </c>
      <c r="V205" s="90" t="s">
        <v>119</v>
      </c>
      <c r="W205" s="90" t="s">
        <v>119</v>
      </c>
      <c r="X205" s="90" t="s">
        <v>119</v>
      </c>
      <c r="Y205" s="90" t="s">
        <v>119</v>
      </c>
      <c r="Z205" s="90" t="s">
        <v>119</v>
      </c>
      <c r="AA205" s="90" t="s">
        <v>119</v>
      </c>
      <c r="AB205" s="90" t="s">
        <v>119</v>
      </c>
      <c r="AC205" s="90" t="s">
        <v>119</v>
      </c>
      <c r="AD205" s="90" t="s">
        <v>119</v>
      </c>
      <c r="AE205" s="24">
        <v>0</v>
      </c>
      <c r="AF205" s="90">
        <v>0</v>
      </c>
      <c r="AG205" s="24">
        <v>0</v>
      </c>
      <c r="AH205" s="90">
        <v>80091</v>
      </c>
      <c r="AI205" s="24" t="s">
        <v>94</v>
      </c>
      <c r="AJ205" s="24" t="s">
        <v>787</v>
      </c>
      <c r="AK205" s="90" t="s">
        <v>85</v>
      </c>
      <c r="AL205" s="90">
        <v>185511</v>
      </c>
      <c r="AM205" s="90" t="s">
        <v>81</v>
      </c>
      <c r="AN205" s="90" t="s">
        <v>783</v>
      </c>
      <c r="AO205" s="125" t="s">
        <v>784</v>
      </c>
      <c r="AP205" s="24" t="s">
        <v>202</v>
      </c>
      <c r="AQ205" s="90" t="s">
        <v>786</v>
      </c>
      <c r="AR205" s="24" t="s">
        <v>202</v>
      </c>
      <c r="AS205" s="90" t="s">
        <v>119</v>
      </c>
      <c r="AT205" s="24" t="s">
        <v>94</v>
      </c>
      <c r="AU205" s="90" t="s">
        <v>119</v>
      </c>
      <c r="AV205" s="90" t="str">
        <f>IF(ISNUMBER(SEARCH("disagree",AE205)),"N","Y")</f>
        <v>Y</v>
      </c>
      <c r="AW205" s="90" t="s">
        <v>119</v>
      </c>
      <c r="AX205" s="24" t="s">
        <v>119</v>
      </c>
      <c r="AY205" s="90" t="str">
        <f>CONCATENATE(AZ205,BA205,BB205,BC205)</f>
        <v/>
      </c>
      <c r="AZ205" s="90" t="str">
        <f>IF(ISNUMBER(SEARCH("Y",AC205)),"R","")</f>
        <v/>
      </c>
      <c r="BA205" s="90" t="str">
        <f>IF(ISNUMBER(SEARCH("Y",Y205)),"M","")</f>
        <v/>
      </c>
      <c r="BB205" s="90" t="str">
        <f>IF(ISNUMBER(SEARCH("Y",AB205)),"QC","")</f>
        <v/>
      </c>
      <c r="BC205" s="90" t="str">
        <f>IF(ISNUMBER(SEARCH("Y",Z205)),"S","")</f>
        <v/>
      </c>
      <c r="BD205" s="90"/>
      <c r="BE205" s="24" t="s">
        <v>119</v>
      </c>
      <c r="BF205" s="125" t="str">
        <f>IF(AND(AW205&gt;=56543,AW205&lt;=76543,LEN(AW205)&gt;0),"3 Feb 2020",IF(AND(AW205&gt;=66544,AW205&lt;=99999,LEN(AW205)&gt;0),"12 Sep 2020",""))</f>
        <v/>
      </c>
      <c r="BG205" s="125" t="str">
        <f>IF((AND(BF205="3 Feb 2020",LEN(BF205)&gt;0)),"Completed",IF((AND(BF205="12 Sep 2020",LEN(BF205)&gt;0)),"Pending",""))</f>
        <v/>
      </c>
      <c r="BH205" s="90" t="str">
        <f>IF((AND(BF205="3 Feb 2020",LEN(BF205)&gt;0)),"3 Feb 2020","")</f>
        <v/>
      </c>
      <c r="BI205" s="90">
        <v>185511</v>
      </c>
      <c r="BJ205" s="90" t="str">
        <f>L205</f>
        <v>3D14DT89532-49</v>
      </c>
      <c r="BK205" s="127">
        <v>43508</v>
      </c>
      <c r="BL205" s="127">
        <v>44239</v>
      </c>
      <c r="BM205" s="128">
        <f>P205*1.1</f>
        <v>1979618.3</v>
      </c>
      <c r="BN205" s="129">
        <f>P205*0.9</f>
        <v>1619687.7</v>
      </c>
      <c r="BO205" s="130">
        <f>P205*0.8</f>
        <v>1439722.4000000001</v>
      </c>
      <c r="BP205" s="90">
        <f>IF(Z205="Y",BM205*0.4,BM205*1.05)</f>
        <v>2078599.2150000001</v>
      </c>
      <c r="BQ205" s="90">
        <f>BP205*0.8</f>
        <v>1662879.3720000002</v>
      </c>
      <c r="BR205" s="90">
        <f>IF(ISNUMBER(SEARCH("subrecipient",AI201)),P205*0.6,"")</f>
        <v>1079791.8</v>
      </c>
      <c r="BS205" s="90">
        <v>185511</v>
      </c>
      <c r="BT205" s="90" t="str">
        <f>BJ205</f>
        <v>3D14DT89532-49</v>
      </c>
      <c r="BU205" s="127">
        <f>BK205</f>
        <v>43508</v>
      </c>
      <c r="BV205" s="127">
        <f>BL205</f>
        <v>44239</v>
      </c>
      <c r="BW205" s="90" t="str">
        <f>H205</f>
        <v>CDC</v>
      </c>
      <c r="BX205" s="90" t="str">
        <f>IF(H205="NATIONAL HEMOPHILIA FOUNDATION","Non Federal","Federal")</f>
        <v>Federal</v>
      </c>
      <c r="BY205" s="128">
        <f>BM205</f>
        <v>1979618.3</v>
      </c>
      <c r="BZ205" s="90">
        <f>IF(LEN(BR205)&gt;0,1,"")</f>
        <v>1</v>
      </c>
      <c r="CA205" s="90" t="str">
        <f>IF(LEN(BR205)&gt;0,"VIRAL HEPATITIS PROJECT","")</f>
        <v>VIRAL HEPATITIS PROJECT</v>
      </c>
      <c r="CB205" s="129">
        <f>IF(LEN(BR205)&gt;0,BM205*0.7,"")</f>
        <v>1385732.81</v>
      </c>
      <c r="CC205" s="90">
        <f>BP205</f>
        <v>2078599.2150000001</v>
      </c>
      <c r="CD205" s="90" t="str">
        <f>IF(LEN(BR205)&gt;0,"70%","")</f>
        <v>70%</v>
      </c>
      <c r="CE205" s="90">
        <f>BS205</f>
        <v>185511</v>
      </c>
      <c r="CF205" s="90" t="str">
        <f>CA205</f>
        <v>VIRAL HEPATITIS PROJECT</v>
      </c>
      <c r="CG205" s="90" t="s">
        <v>788</v>
      </c>
      <c r="CH205" s="24" t="s">
        <v>208</v>
      </c>
      <c r="CI205" s="129">
        <f>CB205</f>
        <v>1385732.81</v>
      </c>
      <c r="CJ205" s="125" t="s">
        <v>157</v>
      </c>
      <c r="CK205" s="90" t="s">
        <v>158</v>
      </c>
      <c r="CL205" s="90" t="s">
        <v>159</v>
      </c>
      <c r="CM205" s="90" t="s">
        <v>160</v>
      </c>
      <c r="CN205" s="90" t="s">
        <v>160</v>
      </c>
      <c r="CO205" s="24" t="s">
        <v>193</v>
      </c>
      <c r="CP205" s="24" t="s">
        <v>789</v>
      </c>
      <c r="CQ205" s="132">
        <v>0.3</v>
      </c>
      <c r="CR205" s="127">
        <f>BU205+50</f>
        <v>43558</v>
      </c>
      <c r="CS205" s="127">
        <f>BV205-50</f>
        <v>44189</v>
      </c>
      <c r="CT205" s="138">
        <f>CI205*0.4</f>
        <v>554293.12400000007</v>
      </c>
    </row>
    <row r="206" spans="1:98" ht="45">
      <c r="A206" s="89">
        <v>185511</v>
      </c>
      <c r="B206" s="90">
        <v>2020</v>
      </c>
      <c r="C206" s="90" t="s">
        <v>81</v>
      </c>
      <c r="D206" s="90" t="s">
        <v>783</v>
      </c>
      <c r="E206" s="125" t="s">
        <v>790</v>
      </c>
      <c r="F206" s="24" t="s">
        <v>785</v>
      </c>
      <c r="G206" s="90" t="s">
        <v>85</v>
      </c>
      <c r="H206" s="90" t="s">
        <v>86</v>
      </c>
      <c r="I206" s="90">
        <v>93</v>
      </c>
      <c r="J206" s="90">
        <v>157</v>
      </c>
      <c r="K206" s="90" t="s">
        <v>85</v>
      </c>
      <c r="L206" s="90" t="s">
        <v>786</v>
      </c>
      <c r="M206" s="90" t="s">
        <v>119</v>
      </c>
      <c r="N206" s="24" t="s">
        <v>202</v>
      </c>
      <c r="O206" s="24" t="str">
        <f>IF(ISNUMBER(SEARCH("Cancer",N206)),"Cancer",IF(ISNUMBER(SEARCH("health",N206)),"Public health",IF(ISNUMBER(SEARCH("disabilities",N206)),"Disabilities","Other")))</f>
        <v>Public health</v>
      </c>
      <c r="P206" s="126">
        <v>1799653</v>
      </c>
      <c r="Q206" s="90" t="s">
        <v>85</v>
      </c>
      <c r="R206" s="90" t="str">
        <f>IF(P206&gt;20000000,"B","A")</f>
        <v>A</v>
      </c>
      <c r="S206" s="90" t="s">
        <v>90</v>
      </c>
      <c r="T206" s="90" t="s">
        <v>119</v>
      </c>
      <c r="U206" s="90" t="s">
        <v>119</v>
      </c>
      <c r="V206" s="90" t="s">
        <v>119</v>
      </c>
      <c r="W206" s="90" t="s">
        <v>119</v>
      </c>
      <c r="X206" s="90" t="s">
        <v>119</v>
      </c>
      <c r="Y206" s="90" t="s">
        <v>119</v>
      </c>
      <c r="Z206" s="90" t="s">
        <v>119</v>
      </c>
      <c r="AA206" s="90" t="s">
        <v>119</v>
      </c>
      <c r="AB206" s="90" t="s">
        <v>119</v>
      </c>
      <c r="AC206" s="90" t="s">
        <v>119</v>
      </c>
      <c r="AD206" s="90" t="s">
        <v>119</v>
      </c>
      <c r="AE206" s="24">
        <v>0</v>
      </c>
      <c r="AF206" s="90">
        <v>0</v>
      </c>
      <c r="AG206" s="24">
        <v>0</v>
      </c>
      <c r="AH206" s="90">
        <v>80092</v>
      </c>
      <c r="AI206" s="24" t="s">
        <v>102</v>
      </c>
      <c r="AJ206" s="24" t="s">
        <v>103</v>
      </c>
      <c r="AK206" s="90" t="s">
        <v>85</v>
      </c>
      <c r="AL206" s="90">
        <v>185511</v>
      </c>
      <c r="AM206" s="90" t="s">
        <v>81</v>
      </c>
      <c r="AN206" s="90" t="s">
        <v>783</v>
      </c>
      <c r="AO206" s="125" t="s">
        <v>790</v>
      </c>
      <c r="AP206" s="24" t="s">
        <v>202</v>
      </c>
      <c r="AQ206" s="90" t="s">
        <v>786</v>
      </c>
      <c r="AR206" s="24" t="s">
        <v>202</v>
      </c>
      <c r="AS206" s="90" t="s">
        <v>119</v>
      </c>
      <c r="AT206" s="24" t="s">
        <v>102</v>
      </c>
      <c r="AU206" s="90" t="s">
        <v>119</v>
      </c>
      <c r="AV206" s="90" t="str">
        <f>IF(ISNUMBER(SEARCH("disagree",AE206)),"N","Y")</f>
        <v>Y</v>
      </c>
      <c r="AW206" s="90" t="s">
        <v>119</v>
      </c>
      <c r="AX206" s="24" t="s">
        <v>119</v>
      </c>
      <c r="AY206" s="90" t="str">
        <f>CONCATENATE(AZ206,BA206,BB206,BC206)</f>
        <v/>
      </c>
      <c r="AZ206" s="90" t="str">
        <f>IF(ISNUMBER(SEARCH("Y",AC206)),"R","")</f>
        <v/>
      </c>
      <c r="BA206" s="90" t="str">
        <f>IF(ISNUMBER(SEARCH("Y",Y206)),"M","")</f>
        <v/>
      </c>
      <c r="BB206" s="90" t="str">
        <f>IF(ISNUMBER(SEARCH("Y",AB206)),"QC","")</f>
        <v/>
      </c>
      <c r="BC206" s="90" t="str">
        <f>IF(ISNUMBER(SEARCH("Y",Z206)),"S","")</f>
        <v/>
      </c>
      <c r="BD206" s="90"/>
      <c r="BE206" s="24" t="s">
        <v>119</v>
      </c>
      <c r="BF206" s="125" t="str">
        <f>IF(AND(AW206&gt;=56543,AW206&lt;=76543,LEN(AW206)&gt;0),"3 Feb 2020",IF(AND(AW206&gt;=66544,AW206&lt;=99999,LEN(AW206)&gt;0),"12 Sep 2020",""))</f>
        <v/>
      </c>
      <c r="BG206" s="125" t="str">
        <f>IF((AND(BF206="3 Feb 2020",LEN(BF206)&gt;0)),"Completed",IF((AND(BF206="12 Sep 2020",LEN(BF206)&gt;0)),"Pending",""))</f>
        <v/>
      </c>
      <c r="BH206" s="90" t="str">
        <f>IF((AND(BF206="3 Feb 2020",LEN(BF206)&gt;0)),"3 Feb 2020","")</f>
        <v/>
      </c>
      <c r="BI206" s="90">
        <v>185511</v>
      </c>
      <c r="BJ206" s="90" t="str">
        <f>L206</f>
        <v>3D14DT89532-49</v>
      </c>
      <c r="BK206" s="127">
        <v>43508</v>
      </c>
      <c r="BL206" s="127">
        <v>44239</v>
      </c>
      <c r="BM206" s="128">
        <f>P206*1.1</f>
        <v>1979618.3</v>
      </c>
      <c r="BN206" s="129">
        <f>P206*0.9</f>
        <v>1619687.7</v>
      </c>
      <c r="BO206" s="130">
        <f>P206*0.8</f>
        <v>1439722.4000000001</v>
      </c>
      <c r="BP206" s="90">
        <f>IF(Z206="Y",BM206*0.4,BM206*1.05)</f>
        <v>2078599.2150000001</v>
      </c>
      <c r="BQ206" s="90">
        <f>BP206*0.8</f>
        <v>1662879.3720000002</v>
      </c>
      <c r="BR206" s="90" t="str">
        <f>IF(ISNUMBER(SEARCH("subrecipient",AI202)),P206*0.6,"")</f>
        <v/>
      </c>
      <c r="BS206" s="90">
        <v>185511</v>
      </c>
      <c r="BT206" s="90" t="str">
        <f>BJ206</f>
        <v>3D14DT89532-49</v>
      </c>
      <c r="BU206" s="127">
        <f>BK206</f>
        <v>43508</v>
      </c>
      <c r="BV206" s="127">
        <f>BL206</f>
        <v>44239</v>
      </c>
      <c r="BW206" s="90" t="str">
        <f>H206</f>
        <v>CDC</v>
      </c>
      <c r="BX206" s="90" t="str">
        <f>IF(H206="NATIONAL HEMOPHILIA FOUNDATION","Non Federal","Federal")</f>
        <v>Federal</v>
      </c>
      <c r="BY206" s="128">
        <f>BM206</f>
        <v>1979618.3</v>
      </c>
      <c r="BZ206" s="90" t="str">
        <f>IF(LEN(BR206)&gt;0,1,"")</f>
        <v/>
      </c>
      <c r="CA206" s="90" t="str">
        <f>IF(LEN(BR206)&gt;0,"VIRAL HEPATITIS PROJECT","")</f>
        <v/>
      </c>
      <c r="CB206" s="129" t="str">
        <f>IF(LEN(BR206)&gt;0,BM206*0.7,"")</f>
        <v/>
      </c>
      <c r="CC206" s="90">
        <f>BP206</f>
        <v>2078599.2150000001</v>
      </c>
      <c r="CD206" s="90" t="str">
        <f>IF(LEN(BR206)&gt;0,"70%","")</f>
        <v/>
      </c>
      <c r="CE206" s="90">
        <f>BS206</f>
        <v>185511</v>
      </c>
      <c r="CF206" s="90" t="str">
        <f>CA206</f>
        <v/>
      </c>
      <c r="CG206" s="90"/>
      <c r="CH206" s="90"/>
      <c r="CI206" s="90"/>
      <c r="CJ206" s="90"/>
      <c r="CK206" s="90"/>
      <c r="CL206" s="90"/>
      <c r="CM206" s="90"/>
      <c r="CN206" s="90"/>
      <c r="CO206" s="90"/>
      <c r="CP206" s="90"/>
      <c r="CQ206" s="90"/>
      <c r="CR206" s="90"/>
      <c r="CS206" s="90"/>
      <c r="CT206" s="137"/>
    </row>
    <row r="207" spans="1:98" ht="45">
      <c r="A207" s="89">
        <v>185511</v>
      </c>
      <c r="B207" s="90">
        <v>2020</v>
      </c>
      <c r="C207" s="90" t="s">
        <v>81</v>
      </c>
      <c r="D207" s="90" t="s">
        <v>783</v>
      </c>
      <c r="E207" s="125" t="s">
        <v>791</v>
      </c>
      <c r="F207" s="24" t="s">
        <v>785</v>
      </c>
      <c r="G207" s="90" t="s">
        <v>85</v>
      </c>
      <c r="H207" s="90" t="s">
        <v>86</v>
      </c>
      <c r="I207" s="90">
        <v>93</v>
      </c>
      <c r="J207" s="90">
        <v>157</v>
      </c>
      <c r="K207" s="90" t="s">
        <v>85</v>
      </c>
      <c r="L207" s="90" t="s">
        <v>786</v>
      </c>
      <c r="M207" s="90" t="s">
        <v>119</v>
      </c>
      <c r="N207" s="24" t="s">
        <v>202</v>
      </c>
      <c r="O207" s="24" t="str">
        <f>IF(ISNUMBER(SEARCH("Cancer",N207)),"Cancer",IF(ISNUMBER(SEARCH("health",N207)),"Public health",IF(ISNUMBER(SEARCH("disabilities",N207)),"Disabilities","Other")))</f>
        <v>Public health</v>
      </c>
      <c r="P207" s="126">
        <v>1799653</v>
      </c>
      <c r="Q207" s="90" t="s">
        <v>85</v>
      </c>
      <c r="R207" s="90" t="str">
        <f>IF(P207&gt;20000000,"B","A")</f>
        <v>A</v>
      </c>
      <c r="S207" s="90" t="s">
        <v>90</v>
      </c>
      <c r="T207" s="90" t="s">
        <v>119</v>
      </c>
      <c r="U207" s="90" t="s">
        <v>119</v>
      </c>
      <c r="V207" s="90" t="s">
        <v>119</v>
      </c>
      <c r="W207" s="90" t="s">
        <v>119</v>
      </c>
      <c r="X207" s="90" t="s">
        <v>119</v>
      </c>
      <c r="Y207" s="90" t="s">
        <v>119</v>
      </c>
      <c r="Z207" s="90" t="s">
        <v>119</v>
      </c>
      <c r="AA207" s="90" t="s">
        <v>119</v>
      </c>
      <c r="AB207" s="90" t="s">
        <v>119</v>
      </c>
      <c r="AC207" s="90" t="s">
        <v>119</v>
      </c>
      <c r="AD207" s="90" t="s">
        <v>119</v>
      </c>
      <c r="AE207" s="24">
        <v>0</v>
      </c>
      <c r="AF207" s="90">
        <v>0</v>
      </c>
      <c r="AG207" s="24">
        <v>0</v>
      </c>
      <c r="AH207" s="90">
        <v>80090</v>
      </c>
      <c r="AI207" s="24" t="s">
        <v>110</v>
      </c>
      <c r="AJ207" s="24" t="s">
        <v>792</v>
      </c>
      <c r="AK207" s="90" t="s">
        <v>85</v>
      </c>
      <c r="AL207" s="90">
        <v>185511</v>
      </c>
      <c r="AM207" s="90" t="s">
        <v>81</v>
      </c>
      <c r="AN207" s="90" t="s">
        <v>783</v>
      </c>
      <c r="AO207" s="125" t="s">
        <v>791</v>
      </c>
      <c r="AP207" s="24" t="s">
        <v>202</v>
      </c>
      <c r="AQ207" s="90" t="s">
        <v>786</v>
      </c>
      <c r="AR207" s="24" t="s">
        <v>202</v>
      </c>
      <c r="AS207" s="90" t="s">
        <v>119</v>
      </c>
      <c r="AT207" s="24" t="s">
        <v>110</v>
      </c>
      <c r="AU207" s="90" t="s">
        <v>119</v>
      </c>
      <c r="AV207" s="90" t="str">
        <f>IF(ISNUMBER(SEARCH("disagree",AE207)),"N","Y")</f>
        <v>Y</v>
      </c>
      <c r="AW207" s="90" t="s">
        <v>119</v>
      </c>
      <c r="AX207" s="24" t="s">
        <v>119</v>
      </c>
      <c r="AY207" s="90" t="str">
        <f>CONCATENATE(AZ207,BA207,BB207,BC207)</f>
        <v/>
      </c>
      <c r="AZ207" s="90" t="str">
        <f>IF(ISNUMBER(SEARCH("Y",AC207)),"R","")</f>
        <v/>
      </c>
      <c r="BA207" s="90" t="str">
        <f>IF(ISNUMBER(SEARCH("Y",Y207)),"M","")</f>
        <v/>
      </c>
      <c r="BB207" s="90" t="str">
        <f>IF(ISNUMBER(SEARCH("Y",AB207)),"QC","")</f>
        <v/>
      </c>
      <c r="BC207" s="90" t="str">
        <f>IF(ISNUMBER(SEARCH("Y",Z207)),"S","")</f>
        <v/>
      </c>
      <c r="BD207" s="90"/>
      <c r="BE207" s="24" t="s">
        <v>119</v>
      </c>
      <c r="BF207" s="125" t="str">
        <f>IF(AND(AW207&gt;=56543,AW207&lt;=76543,LEN(AW207)&gt;0),"3 Feb 2020",IF(AND(AW207&gt;=66544,AW207&lt;=99999,LEN(AW207)&gt;0),"12 Sep 2020",""))</f>
        <v/>
      </c>
      <c r="BG207" s="125" t="str">
        <f>IF((AND(BF207="3 Feb 2020",LEN(BF207)&gt;0)),"Completed",IF((AND(BF207="12 Sep 2020",LEN(BF207)&gt;0)),"Pending",""))</f>
        <v/>
      </c>
      <c r="BH207" s="90" t="str">
        <f>IF((AND(BF207="3 Feb 2020",LEN(BF207)&gt;0)),"3 Feb 2020","")</f>
        <v/>
      </c>
      <c r="BI207" s="90">
        <v>185511</v>
      </c>
      <c r="BJ207" s="90" t="str">
        <f>L207</f>
        <v>3D14DT89532-49</v>
      </c>
      <c r="BK207" s="127">
        <v>43508</v>
      </c>
      <c r="BL207" s="127">
        <v>44239</v>
      </c>
      <c r="BM207" s="128">
        <f>P207*1.1</f>
        <v>1979618.3</v>
      </c>
      <c r="BN207" s="129">
        <f>P207*0.9</f>
        <v>1619687.7</v>
      </c>
      <c r="BO207" s="130">
        <f>P207*0.8</f>
        <v>1439722.4000000001</v>
      </c>
      <c r="BP207" s="90">
        <f>IF(Z207="Y",BM207*0.4,BM207*1.05)</f>
        <v>2078599.2150000001</v>
      </c>
      <c r="BQ207" s="90">
        <f>BP207*0.8</f>
        <v>1662879.3720000002</v>
      </c>
      <c r="BR207" s="90" t="str">
        <f>IF(ISNUMBER(SEARCH("subrecipient",AI203)),P207*0.6,"")</f>
        <v/>
      </c>
      <c r="BS207" s="90">
        <v>185511</v>
      </c>
      <c r="BT207" s="90" t="str">
        <f>BJ207</f>
        <v>3D14DT89532-49</v>
      </c>
      <c r="BU207" s="127">
        <f>BK207</f>
        <v>43508</v>
      </c>
      <c r="BV207" s="127">
        <f>BL207</f>
        <v>44239</v>
      </c>
      <c r="BW207" s="90" t="str">
        <f>H207</f>
        <v>CDC</v>
      </c>
      <c r="BX207" s="90" t="str">
        <f>IF(H207="NATIONAL HEMOPHILIA FOUNDATION","Non Federal","Federal")</f>
        <v>Federal</v>
      </c>
      <c r="BY207" s="128">
        <f>BM207</f>
        <v>1979618.3</v>
      </c>
      <c r="BZ207" s="90" t="str">
        <f>IF(LEN(BR207)&gt;0,1,"")</f>
        <v/>
      </c>
      <c r="CA207" s="90" t="str">
        <f>IF(LEN(BR207)&gt;0,"VIRAL HEPATITIS PROJECT","")</f>
        <v/>
      </c>
      <c r="CB207" s="129" t="str">
        <f>IF(LEN(BR207)&gt;0,BM207*0.7,"")</f>
        <v/>
      </c>
      <c r="CC207" s="90">
        <f>BP207</f>
        <v>2078599.2150000001</v>
      </c>
      <c r="CD207" s="90" t="str">
        <f>IF(LEN(BR207)&gt;0,"70%","")</f>
        <v/>
      </c>
      <c r="CE207" s="90">
        <f>BS207</f>
        <v>185511</v>
      </c>
      <c r="CF207" s="90" t="str">
        <f>CA207</f>
        <v/>
      </c>
      <c r="CG207" s="90"/>
      <c r="CH207" s="90"/>
      <c r="CI207" s="90"/>
      <c r="CJ207" s="90"/>
      <c r="CK207" s="90"/>
      <c r="CL207" s="90"/>
      <c r="CM207" s="90"/>
      <c r="CN207" s="90"/>
      <c r="CO207" s="90"/>
      <c r="CP207" s="90"/>
      <c r="CQ207" s="90"/>
      <c r="CR207" s="90"/>
      <c r="CS207" s="90"/>
      <c r="CT207" s="137"/>
    </row>
    <row r="208" spans="1:98" ht="75">
      <c r="A208" s="89">
        <v>185511</v>
      </c>
      <c r="B208" s="90">
        <v>2020</v>
      </c>
      <c r="C208" s="90" t="s">
        <v>81</v>
      </c>
      <c r="D208" s="90" t="s">
        <v>783</v>
      </c>
      <c r="E208" s="125" t="s">
        <v>793</v>
      </c>
      <c r="F208" s="24" t="s">
        <v>785</v>
      </c>
      <c r="G208" s="90" t="s">
        <v>85</v>
      </c>
      <c r="H208" s="90" t="s">
        <v>86</v>
      </c>
      <c r="I208" s="90">
        <v>93</v>
      </c>
      <c r="J208" s="90">
        <v>157</v>
      </c>
      <c r="K208" s="90" t="s">
        <v>85</v>
      </c>
      <c r="L208" s="90" t="s">
        <v>786</v>
      </c>
      <c r="M208" s="90" t="s">
        <v>119</v>
      </c>
      <c r="N208" s="24" t="s">
        <v>202</v>
      </c>
      <c r="O208" s="24" t="str">
        <f>IF(ISNUMBER(SEARCH("Cancer",N208)),"Cancer",IF(ISNUMBER(SEARCH("health",N208)),"Public health",IF(ISNUMBER(SEARCH("disabilities",N208)),"Disabilities","Other")))</f>
        <v>Public health</v>
      </c>
      <c r="P208" s="126">
        <v>1799653</v>
      </c>
      <c r="Q208" s="90" t="s">
        <v>85</v>
      </c>
      <c r="R208" s="90" t="str">
        <f>IF(P208&gt;20000000,"B","A")</f>
        <v>A</v>
      </c>
      <c r="S208" s="90" t="s">
        <v>90</v>
      </c>
      <c r="T208" s="90" t="s">
        <v>119</v>
      </c>
      <c r="U208" s="90" t="s">
        <v>119</v>
      </c>
      <c r="V208" s="90" t="s">
        <v>119</v>
      </c>
      <c r="W208" s="90" t="s">
        <v>119</v>
      </c>
      <c r="X208" s="90" t="s">
        <v>119</v>
      </c>
      <c r="Y208" s="90" t="s">
        <v>119</v>
      </c>
      <c r="Z208" s="90" t="s">
        <v>119</v>
      </c>
      <c r="AA208" s="90" t="s">
        <v>119</v>
      </c>
      <c r="AB208" s="90" t="s">
        <v>119</v>
      </c>
      <c r="AC208" s="90" t="s">
        <v>119</v>
      </c>
      <c r="AD208" s="90" t="s">
        <v>119</v>
      </c>
      <c r="AE208" s="24">
        <v>0</v>
      </c>
      <c r="AF208" s="90">
        <v>0</v>
      </c>
      <c r="AG208" s="24">
        <v>0</v>
      </c>
      <c r="AH208" s="90">
        <v>80093</v>
      </c>
      <c r="AI208" s="24" t="s">
        <v>794</v>
      </c>
      <c r="AJ208" s="24" t="s">
        <v>795</v>
      </c>
      <c r="AK208" s="90" t="s">
        <v>85</v>
      </c>
      <c r="AL208" s="90">
        <v>185511</v>
      </c>
      <c r="AM208" s="90" t="s">
        <v>81</v>
      </c>
      <c r="AN208" s="90" t="s">
        <v>783</v>
      </c>
      <c r="AO208" s="125" t="s">
        <v>793</v>
      </c>
      <c r="AP208" s="24" t="s">
        <v>202</v>
      </c>
      <c r="AQ208" s="90" t="s">
        <v>786</v>
      </c>
      <c r="AR208" s="24" t="s">
        <v>202</v>
      </c>
      <c r="AS208" s="90" t="s">
        <v>119</v>
      </c>
      <c r="AT208" s="24" t="s">
        <v>794</v>
      </c>
      <c r="AU208" s="90" t="s">
        <v>119</v>
      </c>
      <c r="AV208" s="90" t="str">
        <f>IF(ISNUMBER(SEARCH("disagree",AE208)),"N","Y")</f>
        <v>Y</v>
      </c>
      <c r="AW208" s="90" t="s">
        <v>119</v>
      </c>
      <c r="AX208" s="24" t="s">
        <v>119</v>
      </c>
      <c r="AY208" s="90" t="str">
        <f>CONCATENATE(AZ208,BA208,BB208,BC208)</f>
        <v/>
      </c>
      <c r="AZ208" s="90" t="str">
        <f>IF(ISNUMBER(SEARCH("Y",AC208)),"R","")</f>
        <v/>
      </c>
      <c r="BA208" s="90" t="str">
        <f>IF(ISNUMBER(SEARCH("Y",Y208)),"M","")</f>
        <v/>
      </c>
      <c r="BB208" s="90" t="str">
        <f>IF(ISNUMBER(SEARCH("Y",AB208)),"QC","")</f>
        <v/>
      </c>
      <c r="BC208" s="90" t="str">
        <f>IF(ISNUMBER(SEARCH("Y",Z208)),"S","")</f>
        <v/>
      </c>
      <c r="BD208" s="90"/>
      <c r="BE208" s="24" t="s">
        <v>119</v>
      </c>
      <c r="BF208" s="125" t="str">
        <f>IF(AND(AW208&gt;=56543,AW208&lt;=76543,LEN(AW208)&gt;0),"3 Feb 2020",IF(AND(AW208&gt;=66544,AW208&lt;=99999,LEN(AW208)&gt;0),"12 Sep 2020",""))</f>
        <v/>
      </c>
      <c r="BG208" s="125" t="str">
        <f>IF((AND(BF208="3 Feb 2020",LEN(BF208)&gt;0)),"Completed",IF((AND(BF208="12 Sep 2020",LEN(BF208)&gt;0)),"Pending",""))</f>
        <v/>
      </c>
      <c r="BH208" s="90" t="str">
        <f>IF((AND(BF208="3 Feb 2020",LEN(BF208)&gt;0)),"3 Feb 2020","")</f>
        <v/>
      </c>
      <c r="BI208" s="90">
        <v>185511</v>
      </c>
      <c r="BJ208" s="90" t="str">
        <f>L208</f>
        <v>3D14DT89532-49</v>
      </c>
      <c r="BK208" s="127">
        <v>43508</v>
      </c>
      <c r="BL208" s="127">
        <v>44239</v>
      </c>
      <c r="BM208" s="128">
        <f>P208*1.1</f>
        <v>1979618.3</v>
      </c>
      <c r="BN208" s="129">
        <f>P208*0.9</f>
        <v>1619687.7</v>
      </c>
      <c r="BO208" s="130">
        <f>P208*0.8</f>
        <v>1439722.4000000001</v>
      </c>
      <c r="BP208" s="90">
        <f>IF(Z208="Y",BM208*0.4,BM208*1.05)</f>
        <v>2078599.2150000001</v>
      </c>
      <c r="BQ208" s="90">
        <f>BP208*0.8</f>
        <v>1662879.3720000002</v>
      </c>
      <c r="BR208" s="90" t="str">
        <f>IF(ISNUMBER(SEARCH("subrecipient",AI204)),P208*0.6,"")</f>
        <v/>
      </c>
      <c r="BS208" s="90">
        <v>185511</v>
      </c>
      <c r="BT208" s="90" t="str">
        <f>BJ208</f>
        <v>3D14DT89532-49</v>
      </c>
      <c r="BU208" s="127">
        <f>BK208</f>
        <v>43508</v>
      </c>
      <c r="BV208" s="127">
        <f>BL208</f>
        <v>44239</v>
      </c>
      <c r="BW208" s="90" t="str">
        <f>H208</f>
        <v>CDC</v>
      </c>
      <c r="BX208" s="90" t="str">
        <f>IF(H208="NATIONAL HEMOPHILIA FOUNDATION","Non Federal","Federal")</f>
        <v>Federal</v>
      </c>
      <c r="BY208" s="128">
        <f>BM208</f>
        <v>1979618.3</v>
      </c>
      <c r="BZ208" s="90" t="str">
        <f>IF(LEN(BR208)&gt;0,1,"")</f>
        <v/>
      </c>
      <c r="CA208" s="90" t="str">
        <f>IF(LEN(BR208)&gt;0,"VIRAL HEPATITIS PROJECT","")</f>
        <v/>
      </c>
      <c r="CB208" s="129" t="str">
        <f>IF(LEN(BR208)&gt;0,BM208*0.7,"")</f>
        <v/>
      </c>
      <c r="CC208" s="90">
        <f>BP208</f>
        <v>2078599.2150000001</v>
      </c>
      <c r="CD208" s="90" t="str">
        <f>IF(LEN(BR208)&gt;0,"70%","")</f>
        <v/>
      </c>
      <c r="CE208" s="90">
        <f>BS208</f>
        <v>185511</v>
      </c>
      <c r="CF208" s="90" t="str">
        <f>CA208</f>
        <v/>
      </c>
      <c r="CG208" s="90"/>
      <c r="CH208" s="90"/>
      <c r="CI208" s="90"/>
      <c r="CJ208" s="90"/>
      <c r="CK208" s="90"/>
      <c r="CL208" s="90"/>
      <c r="CM208" s="90"/>
      <c r="CN208" s="90"/>
      <c r="CO208" s="90"/>
      <c r="CP208" s="90"/>
      <c r="CQ208" s="90"/>
      <c r="CR208" s="90"/>
      <c r="CS208" s="90"/>
      <c r="CT208" s="137"/>
    </row>
    <row r="209" spans="1:98" ht="105">
      <c r="A209" s="89">
        <v>185513</v>
      </c>
      <c r="B209" s="90">
        <v>2020</v>
      </c>
      <c r="C209" s="90" t="s">
        <v>81</v>
      </c>
      <c r="D209" s="90" t="s">
        <v>796</v>
      </c>
      <c r="E209" s="125" t="s">
        <v>780</v>
      </c>
      <c r="F209" s="24" t="s">
        <v>797</v>
      </c>
      <c r="G209" s="90" t="s">
        <v>85</v>
      </c>
      <c r="H209" s="90" t="s">
        <v>117</v>
      </c>
      <c r="I209" s="90">
        <v>93</v>
      </c>
      <c r="J209" s="90">
        <v>157</v>
      </c>
      <c r="K209" s="90" t="s">
        <v>85</v>
      </c>
      <c r="L209" s="90" t="s">
        <v>798</v>
      </c>
      <c r="M209" s="90" t="s">
        <v>119</v>
      </c>
      <c r="N209" s="24" t="s">
        <v>380</v>
      </c>
      <c r="O209" s="24" t="str">
        <f>IF(ISNUMBER(SEARCH("Cancer",N209)),"Cancer",IF(ISNUMBER(SEARCH("health",N209)),"Public health",IF(ISNUMBER(SEARCH("disabilities",N209)),"Disabilities","Other")))</f>
        <v>Other</v>
      </c>
      <c r="P209" s="126">
        <v>1727769</v>
      </c>
      <c r="Q209" s="90" t="s">
        <v>85</v>
      </c>
      <c r="R209" s="90" t="str">
        <f>IF(P209&gt;20000000,"B","A")</f>
        <v>A</v>
      </c>
      <c r="S209" s="90" t="s">
        <v>90</v>
      </c>
      <c r="T209" s="90" t="s">
        <v>119</v>
      </c>
      <c r="U209" s="90" t="s">
        <v>119</v>
      </c>
      <c r="V209" s="90" t="s">
        <v>119</v>
      </c>
      <c r="W209" s="90" t="s">
        <v>119</v>
      </c>
      <c r="X209" s="90" t="s">
        <v>119</v>
      </c>
      <c r="Y209" s="90" t="s">
        <v>119</v>
      </c>
      <c r="Z209" s="90" t="s">
        <v>119</v>
      </c>
      <c r="AA209" s="90" t="s">
        <v>119</v>
      </c>
      <c r="AB209" s="90" t="s">
        <v>119</v>
      </c>
      <c r="AC209" s="90" t="s">
        <v>119</v>
      </c>
      <c r="AD209" s="90" t="s">
        <v>119</v>
      </c>
      <c r="AE209" s="24">
        <v>0</v>
      </c>
      <c r="AF209" s="90">
        <v>0</v>
      </c>
      <c r="AG209" s="24">
        <v>0</v>
      </c>
      <c r="AH209" s="90">
        <v>84475</v>
      </c>
      <c r="AI209" s="24" t="s">
        <v>94</v>
      </c>
      <c r="AJ209" s="24" t="s">
        <v>95</v>
      </c>
      <c r="AK209" s="90" t="s">
        <v>85</v>
      </c>
      <c r="AL209" s="90">
        <v>185513</v>
      </c>
      <c r="AM209" s="90" t="s">
        <v>81</v>
      </c>
      <c r="AN209" s="90" t="s">
        <v>796</v>
      </c>
      <c r="AO209" s="125" t="s">
        <v>780</v>
      </c>
      <c r="AP209" s="24" t="s">
        <v>380</v>
      </c>
      <c r="AQ209" s="90" t="s">
        <v>798</v>
      </c>
      <c r="AR209" s="24" t="s">
        <v>380</v>
      </c>
      <c r="AS209" s="90" t="s">
        <v>119</v>
      </c>
      <c r="AT209" s="24" t="s">
        <v>94</v>
      </c>
      <c r="AU209" s="90" t="s">
        <v>119</v>
      </c>
      <c r="AV209" s="90" t="str">
        <f>IF(ISNUMBER(SEARCH("disagree",AE209)),"N","Y")</f>
        <v>Y</v>
      </c>
      <c r="AW209" s="90" t="s">
        <v>119</v>
      </c>
      <c r="AX209" s="24" t="s">
        <v>119</v>
      </c>
      <c r="AY209" s="90" t="str">
        <f>CONCATENATE(AZ209,BA209,BB209,BC209)</f>
        <v/>
      </c>
      <c r="AZ209" s="90" t="str">
        <f>IF(ISNUMBER(SEARCH("Y",AC209)),"R","")</f>
        <v/>
      </c>
      <c r="BA209" s="90" t="str">
        <f>IF(ISNUMBER(SEARCH("Y",Y209)),"M","")</f>
        <v/>
      </c>
      <c r="BB209" s="90" t="str">
        <f>IF(ISNUMBER(SEARCH("Y",AB209)),"QC","")</f>
        <v/>
      </c>
      <c r="BC209" s="90" t="str">
        <f>IF(ISNUMBER(SEARCH("Y",Z209)),"S","")</f>
        <v/>
      </c>
      <c r="BD209" s="90"/>
      <c r="BE209" s="24" t="s">
        <v>119</v>
      </c>
      <c r="BF209" s="125" t="str">
        <f>IF(AND(AW209&gt;=56543,AW209&lt;=76543,LEN(AW209)&gt;0),"3 Feb 2020",IF(AND(AW209&gt;=66544,AW209&lt;=99999,LEN(AW209)&gt;0),"12 Sep 2020",""))</f>
        <v/>
      </c>
      <c r="BG209" s="125" t="str">
        <f>IF((AND(BF209="3 Feb 2020",LEN(BF209)&gt;0)),"Completed",IF((AND(BF209="12 Sep 2020",LEN(BF209)&gt;0)),"Pending",""))</f>
        <v/>
      </c>
      <c r="BH209" s="90" t="str">
        <f>IF((AND(BF209="3 Feb 2020",LEN(BF209)&gt;0)),"3 Feb 2020","")</f>
        <v/>
      </c>
      <c r="BI209" s="90">
        <v>185513</v>
      </c>
      <c r="BJ209" s="90" t="str">
        <f>L209</f>
        <v>6B76CR76999-40</v>
      </c>
      <c r="BK209" s="127">
        <v>43508</v>
      </c>
      <c r="BL209" s="127">
        <v>44239</v>
      </c>
      <c r="BM209" s="128">
        <f>P209*1.1</f>
        <v>1900545.9000000001</v>
      </c>
      <c r="BN209" s="129">
        <f>P209*0.9</f>
        <v>1554992.1</v>
      </c>
      <c r="BO209" s="130">
        <f>P209*0.8</f>
        <v>1382215.2000000002</v>
      </c>
      <c r="BP209" s="90">
        <f>IF(Z209="Y",BM209*0.4,BM209*1.05)</f>
        <v>1995573.1950000003</v>
      </c>
      <c r="BQ209" s="90">
        <f>BP209*0.8</f>
        <v>1596458.5560000003</v>
      </c>
      <c r="BR209" s="90" t="str">
        <f>IF(ISNUMBER(SEARCH("subrecipient",AI205)),P209*0.6,"")</f>
        <v/>
      </c>
      <c r="BS209" s="90">
        <v>185513</v>
      </c>
      <c r="BT209" s="90" t="str">
        <f>BJ209</f>
        <v>6B76CR76999-40</v>
      </c>
      <c r="BU209" s="127">
        <f>BK209</f>
        <v>43508</v>
      </c>
      <c r="BV209" s="127">
        <f>BL209</f>
        <v>44239</v>
      </c>
      <c r="BW209" s="90" t="str">
        <f>H209</f>
        <v>NIH</v>
      </c>
      <c r="BX209" s="90" t="str">
        <f>IF(H209="NATIONAL HEMOPHILIA FOUNDATION","Non Federal","Federal")</f>
        <v>Federal</v>
      </c>
      <c r="BY209" s="128">
        <f>BM209</f>
        <v>1900545.9000000001</v>
      </c>
      <c r="BZ209" s="90" t="str">
        <f>IF(LEN(BR209)&gt;0,1,"")</f>
        <v/>
      </c>
      <c r="CA209" s="90" t="str">
        <f>IF(LEN(BR209)&gt;0,"VIRAL HEPATITIS PROJECT","")</f>
        <v/>
      </c>
      <c r="CB209" s="129" t="str">
        <f>IF(LEN(BR209)&gt;0,BM209*0.7,"")</f>
        <v/>
      </c>
      <c r="CC209" s="90">
        <f>BP209</f>
        <v>1995573.1950000003</v>
      </c>
      <c r="CD209" s="90" t="str">
        <f>IF(LEN(BR209)&gt;0,"70%","")</f>
        <v/>
      </c>
      <c r="CE209" s="90">
        <f>BS209</f>
        <v>185513</v>
      </c>
      <c r="CF209" s="90" t="str">
        <f>CA209</f>
        <v/>
      </c>
      <c r="CG209" s="90"/>
      <c r="CH209" s="90"/>
      <c r="CI209" s="90"/>
      <c r="CJ209" s="90"/>
      <c r="CK209" s="90"/>
      <c r="CL209" s="90"/>
      <c r="CM209" s="90"/>
      <c r="CN209" s="90"/>
      <c r="CO209" s="90"/>
      <c r="CP209" s="90"/>
      <c r="CQ209" s="90"/>
      <c r="CR209" s="90"/>
      <c r="CS209" s="90"/>
      <c r="CT209" s="137"/>
    </row>
    <row r="210" spans="1:98" ht="105">
      <c r="A210" s="89">
        <v>185513</v>
      </c>
      <c r="B210" s="90">
        <v>2020</v>
      </c>
      <c r="C210" s="90" t="s">
        <v>81</v>
      </c>
      <c r="D210" s="90" t="s">
        <v>796</v>
      </c>
      <c r="E210" s="125" t="s">
        <v>781</v>
      </c>
      <c r="F210" s="24" t="s">
        <v>797</v>
      </c>
      <c r="G210" s="90" t="s">
        <v>85</v>
      </c>
      <c r="H210" s="90" t="s">
        <v>117</v>
      </c>
      <c r="I210" s="90">
        <v>93</v>
      </c>
      <c r="J210" s="90">
        <v>157</v>
      </c>
      <c r="K210" s="90" t="s">
        <v>85</v>
      </c>
      <c r="L210" s="90" t="s">
        <v>798</v>
      </c>
      <c r="M210" s="90" t="s">
        <v>119</v>
      </c>
      <c r="N210" s="24" t="s">
        <v>380</v>
      </c>
      <c r="O210" s="24" t="str">
        <f>IF(ISNUMBER(SEARCH("Cancer",N210)),"Cancer",IF(ISNUMBER(SEARCH("health",N210)),"Public health",IF(ISNUMBER(SEARCH("disabilities",N210)),"Disabilities","Other")))</f>
        <v>Other</v>
      </c>
      <c r="P210" s="126">
        <v>1727769</v>
      </c>
      <c r="Q210" s="90" t="s">
        <v>85</v>
      </c>
      <c r="R210" s="90" t="str">
        <f>IF(P210&gt;20000000,"B","A")</f>
        <v>A</v>
      </c>
      <c r="S210" s="90" t="s">
        <v>90</v>
      </c>
      <c r="T210" s="90" t="s">
        <v>119</v>
      </c>
      <c r="U210" s="90" t="s">
        <v>119</v>
      </c>
      <c r="V210" s="90" t="s">
        <v>119</v>
      </c>
      <c r="W210" s="90" t="s">
        <v>119</v>
      </c>
      <c r="X210" s="90" t="s">
        <v>119</v>
      </c>
      <c r="Y210" s="90" t="s">
        <v>119</v>
      </c>
      <c r="Z210" s="90" t="s">
        <v>119</v>
      </c>
      <c r="AA210" s="90" t="s">
        <v>119</v>
      </c>
      <c r="AB210" s="90" t="s">
        <v>119</v>
      </c>
      <c r="AC210" s="90" t="s">
        <v>119</v>
      </c>
      <c r="AD210" s="90" t="s">
        <v>119</v>
      </c>
      <c r="AE210" s="24">
        <v>0</v>
      </c>
      <c r="AF210" s="90">
        <v>0</v>
      </c>
      <c r="AG210" s="24">
        <v>0</v>
      </c>
      <c r="AH210" s="90">
        <v>84474</v>
      </c>
      <c r="AI210" s="24" t="s">
        <v>102</v>
      </c>
      <c r="AJ210" s="24" t="s">
        <v>103</v>
      </c>
      <c r="AK210" s="90" t="s">
        <v>85</v>
      </c>
      <c r="AL210" s="90">
        <v>185513</v>
      </c>
      <c r="AM210" s="90" t="s">
        <v>81</v>
      </c>
      <c r="AN210" s="90" t="s">
        <v>796</v>
      </c>
      <c r="AO210" s="125" t="s">
        <v>781</v>
      </c>
      <c r="AP210" s="24" t="s">
        <v>380</v>
      </c>
      <c r="AQ210" s="90" t="s">
        <v>798</v>
      </c>
      <c r="AR210" s="24" t="s">
        <v>380</v>
      </c>
      <c r="AS210" s="90" t="s">
        <v>119</v>
      </c>
      <c r="AT210" s="24" t="s">
        <v>102</v>
      </c>
      <c r="AU210" s="90" t="s">
        <v>119</v>
      </c>
      <c r="AV210" s="90" t="str">
        <f>IF(ISNUMBER(SEARCH("disagree",AE210)),"N","Y")</f>
        <v>Y</v>
      </c>
      <c r="AW210" s="90" t="s">
        <v>119</v>
      </c>
      <c r="AX210" s="24" t="s">
        <v>119</v>
      </c>
      <c r="AY210" s="90" t="str">
        <f>CONCATENATE(AZ210,BA210,BB210,BC210)</f>
        <v/>
      </c>
      <c r="AZ210" s="90" t="str">
        <f>IF(ISNUMBER(SEARCH("Y",AC210)),"R","")</f>
        <v/>
      </c>
      <c r="BA210" s="90" t="str">
        <f>IF(ISNUMBER(SEARCH("Y",Y210)),"M","")</f>
        <v/>
      </c>
      <c r="BB210" s="90" t="str">
        <f>IF(ISNUMBER(SEARCH("Y",AB210)),"QC","")</f>
        <v/>
      </c>
      <c r="BC210" s="90" t="str">
        <f>IF(ISNUMBER(SEARCH("Y",Z210)),"S","")</f>
        <v/>
      </c>
      <c r="BD210" s="90"/>
      <c r="BE210" s="24" t="s">
        <v>119</v>
      </c>
      <c r="BF210" s="125" t="str">
        <f>IF(AND(AW210&gt;=56543,AW210&lt;=76543,LEN(AW210)&gt;0),"3 Feb 2020",IF(AND(AW210&gt;=66544,AW210&lt;=99999,LEN(AW210)&gt;0),"12 Sep 2020",""))</f>
        <v/>
      </c>
      <c r="BG210" s="125" t="str">
        <f>IF((AND(BF210="3 Feb 2020",LEN(BF210)&gt;0)),"Completed",IF((AND(BF210="12 Sep 2020",LEN(BF210)&gt;0)),"Pending",""))</f>
        <v/>
      </c>
      <c r="BH210" s="90" t="str">
        <f>IF((AND(BF210="3 Feb 2020",LEN(BF210)&gt;0)),"3 Feb 2020","")</f>
        <v/>
      </c>
      <c r="BI210" s="90">
        <v>185513</v>
      </c>
      <c r="BJ210" s="90" t="str">
        <f>L210</f>
        <v>6B76CR76999-40</v>
      </c>
      <c r="BK210" s="127">
        <v>43508</v>
      </c>
      <c r="BL210" s="127">
        <v>44239</v>
      </c>
      <c r="BM210" s="128">
        <f>P210*1.1</f>
        <v>1900545.9000000001</v>
      </c>
      <c r="BN210" s="129">
        <f>P210*0.9</f>
        <v>1554992.1</v>
      </c>
      <c r="BO210" s="130">
        <f>P210*0.8</f>
        <v>1382215.2000000002</v>
      </c>
      <c r="BP210" s="90">
        <f>IF(Z210="Y",BM210*0.4,BM210*1.05)</f>
        <v>1995573.1950000003</v>
      </c>
      <c r="BQ210" s="90">
        <f>BP210*0.8</f>
        <v>1596458.5560000003</v>
      </c>
      <c r="BR210" s="90" t="str">
        <f>IF(ISNUMBER(SEARCH("subrecipient",AI206)),P210*0.6,"")</f>
        <v/>
      </c>
      <c r="BS210" s="90">
        <v>185513</v>
      </c>
      <c r="BT210" s="90" t="str">
        <f>BJ210</f>
        <v>6B76CR76999-40</v>
      </c>
      <c r="BU210" s="127">
        <f>BK210</f>
        <v>43508</v>
      </c>
      <c r="BV210" s="127">
        <f>BL210</f>
        <v>44239</v>
      </c>
      <c r="BW210" s="90" t="str">
        <f>H210</f>
        <v>NIH</v>
      </c>
      <c r="BX210" s="90" t="str">
        <f>IF(H210="NATIONAL HEMOPHILIA FOUNDATION","Non Federal","Federal")</f>
        <v>Federal</v>
      </c>
      <c r="BY210" s="128">
        <f>BM210</f>
        <v>1900545.9000000001</v>
      </c>
      <c r="BZ210" s="90" t="str">
        <f>IF(LEN(BR210)&gt;0,1,"")</f>
        <v/>
      </c>
      <c r="CA210" s="90" t="str">
        <f>IF(LEN(BR210)&gt;0,"VIRAL HEPATITIS PROJECT","")</f>
        <v/>
      </c>
      <c r="CB210" s="129" t="str">
        <f>IF(LEN(BR210)&gt;0,BM210*0.7,"")</f>
        <v/>
      </c>
      <c r="CC210" s="90">
        <f>BP210</f>
        <v>1995573.1950000003</v>
      </c>
      <c r="CD210" s="90" t="str">
        <f>IF(LEN(BR210)&gt;0,"70%","")</f>
        <v/>
      </c>
      <c r="CE210" s="90">
        <f>BS210</f>
        <v>185513</v>
      </c>
      <c r="CF210" s="90" t="str">
        <f>CA210</f>
        <v/>
      </c>
      <c r="CG210" s="90"/>
      <c r="CH210" s="90"/>
      <c r="CI210" s="90"/>
      <c r="CJ210" s="90"/>
      <c r="CK210" s="90"/>
      <c r="CL210" s="90"/>
      <c r="CM210" s="90"/>
      <c r="CN210" s="90"/>
      <c r="CO210" s="90"/>
      <c r="CP210" s="90"/>
      <c r="CQ210" s="90"/>
      <c r="CR210" s="90"/>
      <c r="CS210" s="90"/>
      <c r="CT210" s="137"/>
    </row>
    <row r="211" spans="1:98" ht="105">
      <c r="A211" s="89">
        <v>185513</v>
      </c>
      <c r="B211" s="90">
        <v>2020</v>
      </c>
      <c r="C211" s="90" t="s">
        <v>81</v>
      </c>
      <c r="D211" s="90" t="s">
        <v>796</v>
      </c>
      <c r="E211" s="125" t="s">
        <v>784</v>
      </c>
      <c r="F211" s="24" t="s">
        <v>797</v>
      </c>
      <c r="G211" s="90" t="s">
        <v>85</v>
      </c>
      <c r="H211" s="90" t="s">
        <v>117</v>
      </c>
      <c r="I211" s="90">
        <v>93</v>
      </c>
      <c r="J211" s="90">
        <v>157</v>
      </c>
      <c r="K211" s="90" t="s">
        <v>85</v>
      </c>
      <c r="L211" s="90" t="s">
        <v>798</v>
      </c>
      <c r="M211" s="90" t="s">
        <v>119</v>
      </c>
      <c r="N211" s="24" t="s">
        <v>380</v>
      </c>
      <c r="O211" s="24" t="str">
        <f>IF(ISNUMBER(SEARCH("Cancer",N211)),"Cancer",IF(ISNUMBER(SEARCH("health",N211)),"Public health",IF(ISNUMBER(SEARCH("disabilities",N211)),"Disabilities","Other")))</f>
        <v>Other</v>
      </c>
      <c r="P211" s="126">
        <v>1727769</v>
      </c>
      <c r="Q211" s="90" t="s">
        <v>85</v>
      </c>
      <c r="R211" s="90" t="str">
        <f>IF(P211&gt;20000000,"B","A")</f>
        <v>A</v>
      </c>
      <c r="S211" s="90" t="s">
        <v>90</v>
      </c>
      <c r="T211" s="90" t="s">
        <v>119</v>
      </c>
      <c r="U211" s="90" t="s">
        <v>119</v>
      </c>
      <c r="V211" s="90" t="s">
        <v>119</v>
      </c>
      <c r="W211" s="90" t="s">
        <v>119</v>
      </c>
      <c r="X211" s="90" t="s">
        <v>119</v>
      </c>
      <c r="Y211" s="90" t="s">
        <v>119</v>
      </c>
      <c r="Z211" s="90" t="s">
        <v>119</v>
      </c>
      <c r="AA211" s="90" t="s">
        <v>119</v>
      </c>
      <c r="AB211" s="90" t="s">
        <v>119</v>
      </c>
      <c r="AC211" s="90" t="s">
        <v>119</v>
      </c>
      <c r="AD211" s="90" t="s">
        <v>119</v>
      </c>
      <c r="AE211" s="24">
        <v>0</v>
      </c>
      <c r="AF211" s="90">
        <v>0</v>
      </c>
      <c r="AG211" s="24">
        <v>0</v>
      </c>
      <c r="AH211" s="90">
        <v>84473</v>
      </c>
      <c r="AI211" s="24" t="s">
        <v>110</v>
      </c>
      <c r="AJ211" s="24" t="s">
        <v>799</v>
      </c>
      <c r="AK211" s="90" t="s">
        <v>85</v>
      </c>
      <c r="AL211" s="90">
        <v>185513</v>
      </c>
      <c r="AM211" s="90" t="s">
        <v>81</v>
      </c>
      <c r="AN211" s="90" t="s">
        <v>796</v>
      </c>
      <c r="AO211" s="125" t="s">
        <v>784</v>
      </c>
      <c r="AP211" s="24" t="s">
        <v>380</v>
      </c>
      <c r="AQ211" s="90" t="s">
        <v>798</v>
      </c>
      <c r="AR211" s="24" t="s">
        <v>380</v>
      </c>
      <c r="AS211" s="90" t="s">
        <v>119</v>
      </c>
      <c r="AT211" s="24" t="s">
        <v>110</v>
      </c>
      <c r="AU211" s="90" t="s">
        <v>119</v>
      </c>
      <c r="AV211" s="90" t="str">
        <f>IF(ISNUMBER(SEARCH("disagree",AE211)),"N","Y")</f>
        <v>Y</v>
      </c>
      <c r="AW211" s="90" t="s">
        <v>119</v>
      </c>
      <c r="AX211" s="24" t="s">
        <v>119</v>
      </c>
      <c r="AY211" s="90" t="str">
        <f>CONCATENATE(AZ211,BA211,BB211,BC211)</f>
        <v/>
      </c>
      <c r="AZ211" s="90" t="str">
        <f>IF(ISNUMBER(SEARCH("Y",AC211)),"R","")</f>
        <v/>
      </c>
      <c r="BA211" s="90" t="str">
        <f>IF(ISNUMBER(SEARCH("Y",Y211)),"M","")</f>
        <v/>
      </c>
      <c r="BB211" s="90" t="str">
        <f>IF(ISNUMBER(SEARCH("Y",AB211)),"QC","")</f>
        <v/>
      </c>
      <c r="BC211" s="90" t="str">
        <f>IF(ISNUMBER(SEARCH("Y",Z211)),"S","")</f>
        <v/>
      </c>
      <c r="BD211" s="90"/>
      <c r="BE211" s="24" t="s">
        <v>119</v>
      </c>
      <c r="BF211" s="125" t="str">
        <f>IF(AND(AW211&gt;=56543,AW211&lt;=76543,LEN(AW211)&gt;0),"3 Feb 2020",IF(AND(AW211&gt;=66544,AW211&lt;=99999,LEN(AW211)&gt;0),"12 Sep 2020",""))</f>
        <v/>
      </c>
      <c r="BG211" s="125" t="str">
        <f>IF((AND(BF211="3 Feb 2020",LEN(BF211)&gt;0)),"Completed",IF((AND(BF211="12 Sep 2020",LEN(BF211)&gt;0)),"Pending",""))</f>
        <v/>
      </c>
      <c r="BH211" s="90" t="str">
        <f>IF((AND(BF211="3 Feb 2020",LEN(BF211)&gt;0)),"3 Feb 2020","")</f>
        <v/>
      </c>
      <c r="BI211" s="90">
        <v>185513</v>
      </c>
      <c r="BJ211" s="90" t="str">
        <f>L211</f>
        <v>6B76CR76999-40</v>
      </c>
      <c r="BK211" s="127">
        <v>43508</v>
      </c>
      <c r="BL211" s="127">
        <v>44239</v>
      </c>
      <c r="BM211" s="128">
        <f>P211*1.1</f>
        <v>1900545.9000000001</v>
      </c>
      <c r="BN211" s="129">
        <f>P211*0.9</f>
        <v>1554992.1</v>
      </c>
      <c r="BO211" s="130">
        <f>P211*0.8</f>
        <v>1382215.2000000002</v>
      </c>
      <c r="BP211" s="90">
        <f>IF(Z211="Y",BM211*0.4,BM211*1.05)</f>
        <v>1995573.1950000003</v>
      </c>
      <c r="BQ211" s="90">
        <f>BP211*0.8</f>
        <v>1596458.5560000003</v>
      </c>
      <c r="BR211" s="90" t="str">
        <f>IF(ISNUMBER(SEARCH("subrecipient",AI207)),P211*0.6,"")</f>
        <v/>
      </c>
      <c r="BS211" s="90">
        <v>185513</v>
      </c>
      <c r="BT211" s="90" t="str">
        <f>BJ211</f>
        <v>6B76CR76999-40</v>
      </c>
      <c r="BU211" s="127">
        <f>BK211</f>
        <v>43508</v>
      </c>
      <c r="BV211" s="127">
        <f>BL211</f>
        <v>44239</v>
      </c>
      <c r="BW211" s="90" t="str">
        <f>H211</f>
        <v>NIH</v>
      </c>
      <c r="BX211" s="90" t="str">
        <f>IF(H211="NATIONAL HEMOPHILIA FOUNDATION","Non Federal","Federal")</f>
        <v>Federal</v>
      </c>
      <c r="BY211" s="128">
        <f>BM211</f>
        <v>1900545.9000000001</v>
      </c>
      <c r="BZ211" s="90" t="str">
        <f>IF(LEN(BR211)&gt;0,1,"")</f>
        <v/>
      </c>
      <c r="CA211" s="90" t="str">
        <f>IF(LEN(BR211)&gt;0,"VIRAL HEPATITIS PROJECT","")</f>
        <v/>
      </c>
      <c r="CB211" s="129" t="str">
        <f>IF(LEN(BR211)&gt;0,BM211*0.7,"")</f>
        <v/>
      </c>
      <c r="CC211" s="90">
        <f>BP211</f>
        <v>1995573.1950000003</v>
      </c>
      <c r="CD211" s="90" t="str">
        <f>IF(LEN(BR211)&gt;0,"70%","")</f>
        <v/>
      </c>
      <c r="CE211" s="90">
        <f>BS211</f>
        <v>185513</v>
      </c>
      <c r="CF211" s="90" t="str">
        <f>CA211</f>
        <v/>
      </c>
      <c r="CG211" s="90"/>
      <c r="CH211" s="90"/>
      <c r="CI211" s="90"/>
      <c r="CJ211" s="90"/>
      <c r="CK211" s="90"/>
      <c r="CL211" s="90"/>
      <c r="CM211" s="90"/>
      <c r="CN211" s="90"/>
      <c r="CO211" s="90"/>
      <c r="CP211" s="90"/>
      <c r="CQ211" s="90"/>
      <c r="CR211" s="90"/>
      <c r="CS211" s="90"/>
      <c r="CT211" s="137"/>
    </row>
    <row r="212" spans="1:98" ht="180">
      <c r="A212" s="89">
        <v>185514</v>
      </c>
      <c r="B212" s="90">
        <v>2020</v>
      </c>
      <c r="C212" s="90" t="s">
        <v>81</v>
      </c>
      <c r="D212" s="90" t="s">
        <v>800</v>
      </c>
      <c r="E212" s="125" t="s">
        <v>790</v>
      </c>
      <c r="F212" s="24" t="s">
        <v>801</v>
      </c>
      <c r="G212" s="90" t="s">
        <v>85</v>
      </c>
      <c r="H212" s="90" t="s">
        <v>132</v>
      </c>
      <c r="I212" s="90">
        <v>93</v>
      </c>
      <c r="J212" s="90">
        <v>157</v>
      </c>
      <c r="K212" s="90" t="s">
        <v>85</v>
      </c>
      <c r="L212" s="90" t="s">
        <v>802</v>
      </c>
      <c r="M212" s="90" t="s">
        <v>85</v>
      </c>
      <c r="N212" s="24" t="s">
        <v>803</v>
      </c>
      <c r="O212" s="24" t="str">
        <f>IF(ISNUMBER(SEARCH("Cancer",N212)),"Cancer",IF(ISNUMBER(SEARCH("health",N212)),"Public health",IF(ISNUMBER(SEARCH("disabilities",N212)),"Disabilities","Other")))</f>
        <v>Other</v>
      </c>
      <c r="P212" s="126">
        <v>1508997</v>
      </c>
      <c r="Q212" s="90" t="s">
        <v>85</v>
      </c>
      <c r="R212" s="90" t="str">
        <f>IF(P212&gt;20000000,"B","A")</f>
        <v>A</v>
      </c>
      <c r="S212" s="90" t="s">
        <v>90</v>
      </c>
      <c r="T212" s="90">
        <v>2585687</v>
      </c>
      <c r="U212" s="90" t="s">
        <v>91</v>
      </c>
      <c r="V212" s="90" t="s">
        <v>804</v>
      </c>
      <c r="W212" s="90" t="s">
        <v>85</v>
      </c>
      <c r="X212" s="90" t="s">
        <v>87</v>
      </c>
      <c r="Y212" s="90" t="s">
        <v>85</v>
      </c>
      <c r="Z212" s="90" t="s">
        <v>85</v>
      </c>
      <c r="AA212" s="90" t="s">
        <v>85</v>
      </c>
      <c r="AB212" s="90" t="s">
        <v>85</v>
      </c>
      <c r="AC212" s="90" t="s">
        <v>87</v>
      </c>
      <c r="AD212" s="90" t="s">
        <v>805</v>
      </c>
      <c r="AE212" s="24" t="s">
        <v>806</v>
      </c>
      <c r="AF212" s="90" t="s">
        <v>91</v>
      </c>
      <c r="AG212" s="24" t="s">
        <v>807</v>
      </c>
      <c r="AH212" s="90">
        <v>89514</v>
      </c>
      <c r="AI212" s="24" t="s">
        <v>94</v>
      </c>
      <c r="AJ212" s="24" t="s">
        <v>808</v>
      </c>
      <c r="AK212" s="90" t="s">
        <v>85</v>
      </c>
      <c r="AL212" s="90">
        <v>185514</v>
      </c>
      <c r="AM212" s="90" t="s">
        <v>81</v>
      </c>
      <c r="AN212" s="90" t="s">
        <v>800</v>
      </c>
      <c r="AO212" s="125" t="s">
        <v>790</v>
      </c>
      <c r="AP212" s="24" t="s">
        <v>803</v>
      </c>
      <c r="AQ212" s="90" t="s">
        <v>802</v>
      </c>
      <c r="AR212" s="24" t="s">
        <v>803</v>
      </c>
      <c r="AS212" s="90">
        <v>2585687</v>
      </c>
      <c r="AT212" s="24" t="s">
        <v>94</v>
      </c>
      <c r="AU212" s="90" t="s">
        <v>804</v>
      </c>
      <c r="AV212" s="90" t="str">
        <f>IF(ISNUMBER(SEARCH("disagree",AE212)),"N","Y")</f>
        <v>Y</v>
      </c>
      <c r="AW212" s="90">
        <v>84626</v>
      </c>
      <c r="AX212" s="24" t="s">
        <v>96</v>
      </c>
      <c r="AY212" s="90" t="str">
        <f>CONCATENATE(AZ212,BA212,BB212,BC212)</f>
        <v>R</v>
      </c>
      <c r="AZ212" s="90" t="str">
        <f>IF(ISNUMBER(SEARCH("Y",AC212)),"R","")</f>
        <v>R</v>
      </c>
      <c r="BA212" s="90" t="str">
        <f>IF(ISNUMBER(SEARCH("Y",Y212)),"M","")</f>
        <v/>
      </c>
      <c r="BB212" s="90" t="str">
        <f>IF(ISNUMBER(SEARCH("Y",AB212)),"QC","")</f>
        <v/>
      </c>
      <c r="BC212" s="90" t="str">
        <f>IF(ISNUMBER(SEARCH("Y",Z212)),"S","")</f>
        <v/>
      </c>
      <c r="BD212" s="90"/>
      <c r="BE212" s="24" t="s">
        <v>97</v>
      </c>
      <c r="BF212" s="125" t="str">
        <f>IF(AND(AW212&gt;=56543,AW212&lt;=76543,LEN(AW212)&gt;0),"3 Feb 2020",IF(AND(AW212&gt;=66544,AW212&lt;=99999,LEN(AW212)&gt;0),"12 Sep 2020",""))</f>
        <v>12 Sep 2020</v>
      </c>
      <c r="BG212" s="125" t="str">
        <f>IF((AND(BF212="3 Feb 2020",LEN(BF212)&gt;0)),"Completed",IF((AND(BF212="12 Sep 2020",LEN(BF212)&gt;0)),"Pending",""))</f>
        <v>Pending</v>
      </c>
      <c r="BH212" s="90" t="str">
        <f>IF((AND(BF212="3 Feb 2020",LEN(BF212)&gt;0)),"3 Feb 2020","")</f>
        <v/>
      </c>
      <c r="BI212" s="90">
        <v>185514</v>
      </c>
      <c r="BJ212" s="90" t="str">
        <f>L212</f>
        <v>4D87AT76998-10</v>
      </c>
      <c r="BK212" s="127">
        <v>43508</v>
      </c>
      <c r="BL212" s="127">
        <v>44239</v>
      </c>
      <c r="BM212" s="128">
        <f>P212*1.1</f>
        <v>1659896.7000000002</v>
      </c>
      <c r="BN212" s="129">
        <f>P212*0.9</f>
        <v>1358097.3</v>
      </c>
      <c r="BO212" s="130">
        <f>P212*0.8</f>
        <v>1207197.6000000001</v>
      </c>
      <c r="BP212" s="90">
        <f>IF(Z212="Y",BM212*0.4,BM212*1.05)</f>
        <v>1742891.5350000004</v>
      </c>
      <c r="BQ212" s="90">
        <f>BP212*0.8</f>
        <v>1394313.2280000004</v>
      </c>
      <c r="BR212" s="90" t="str">
        <f>IF(ISNUMBER(SEARCH("subrecipient",AI208)),P212*0.6,"")</f>
        <v/>
      </c>
      <c r="BS212" s="90">
        <v>185514</v>
      </c>
      <c r="BT212" s="90" t="str">
        <f>BJ212</f>
        <v>4D87AT76998-10</v>
      </c>
      <c r="BU212" s="127">
        <f>BK212</f>
        <v>43508</v>
      </c>
      <c r="BV212" s="127">
        <f>BL212</f>
        <v>44239</v>
      </c>
      <c r="BW212" s="90" t="str">
        <f>H212</f>
        <v>FDA</v>
      </c>
      <c r="BX212" s="90" t="str">
        <f>IF(H212="NATIONAL HEMOPHILIA FOUNDATION","Non Federal","Federal")</f>
        <v>Federal</v>
      </c>
      <c r="BY212" s="128">
        <f>BM212</f>
        <v>1659896.7000000002</v>
      </c>
      <c r="BZ212" s="90" t="str">
        <f>IF(LEN(BR212)&gt;0,1,"")</f>
        <v/>
      </c>
      <c r="CA212" s="90" t="str">
        <f>IF(LEN(BR212)&gt;0,"VIRAL HEPATITIS PROJECT","")</f>
        <v/>
      </c>
      <c r="CB212" s="129" t="str">
        <f>IF(LEN(BR212)&gt;0,BM212*0.7,"")</f>
        <v/>
      </c>
      <c r="CC212" s="90">
        <f>BP212</f>
        <v>1742891.5350000004</v>
      </c>
      <c r="CD212" s="90" t="str">
        <f>IF(LEN(BR212)&gt;0,"70%","")</f>
        <v/>
      </c>
      <c r="CE212" s="90">
        <f>BS212</f>
        <v>185514</v>
      </c>
      <c r="CF212" s="90" t="str">
        <f>CA212</f>
        <v/>
      </c>
      <c r="CG212" s="90"/>
      <c r="CH212" s="90"/>
      <c r="CI212" s="90"/>
      <c r="CJ212" s="90"/>
      <c r="CK212" s="90"/>
      <c r="CL212" s="90"/>
      <c r="CM212" s="90"/>
      <c r="CN212" s="90"/>
      <c r="CO212" s="90"/>
      <c r="CP212" s="90"/>
      <c r="CQ212" s="90"/>
      <c r="CR212" s="90"/>
      <c r="CS212" s="90"/>
      <c r="CT212" s="137"/>
    </row>
    <row r="213" spans="1:98" ht="60">
      <c r="A213" s="89">
        <v>185514</v>
      </c>
      <c r="B213" s="90">
        <v>2020</v>
      </c>
      <c r="C213" s="90" t="s">
        <v>81</v>
      </c>
      <c r="D213" s="90" t="s">
        <v>800</v>
      </c>
      <c r="E213" s="125" t="s">
        <v>791</v>
      </c>
      <c r="F213" s="24" t="s">
        <v>801</v>
      </c>
      <c r="G213" s="90" t="s">
        <v>85</v>
      </c>
      <c r="H213" s="90" t="s">
        <v>132</v>
      </c>
      <c r="I213" s="90">
        <v>93</v>
      </c>
      <c r="J213" s="90">
        <v>157</v>
      </c>
      <c r="K213" s="90" t="s">
        <v>85</v>
      </c>
      <c r="L213" s="90" t="s">
        <v>802</v>
      </c>
      <c r="M213" s="90" t="s">
        <v>85</v>
      </c>
      <c r="N213" s="24" t="s">
        <v>803</v>
      </c>
      <c r="O213" s="24" t="str">
        <f>IF(ISNUMBER(SEARCH("Cancer",N213)),"Cancer",IF(ISNUMBER(SEARCH("health",N213)),"Public health",IF(ISNUMBER(SEARCH("disabilities",N213)),"Disabilities","Other")))</f>
        <v>Other</v>
      </c>
      <c r="P213" s="126">
        <v>1508997</v>
      </c>
      <c r="Q213" s="90" t="s">
        <v>85</v>
      </c>
      <c r="R213" s="90" t="str">
        <f>IF(P213&gt;20000000,"B","A")</f>
        <v>A</v>
      </c>
      <c r="S213" s="90" t="s">
        <v>90</v>
      </c>
      <c r="T213" s="90">
        <v>2585687</v>
      </c>
      <c r="U213" s="90" t="s">
        <v>91</v>
      </c>
      <c r="V213" s="90" t="s">
        <v>804</v>
      </c>
      <c r="W213" s="90" t="s">
        <v>85</v>
      </c>
      <c r="X213" s="90" t="s">
        <v>87</v>
      </c>
      <c r="Y213" s="90" t="s">
        <v>85</v>
      </c>
      <c r="Z213" s="90" t="s">
        <v>85</v>
      </c>
      <c r="AA213" s="90" t="s">
        <v>85</v>
      </c>
      <c r="AB213" s="90" t="s">
        <v>85</v>
      </c>
      <c r="AC213" s="90" t="s">
        <v>87</v>
      </c>
      <c r="AD213" s="90" t="s">
        <v>805</v>
      </c>
      <c r="AE213" s="24">
        <v>0</v>
      </c>
      <c r="AF213" s="90">
        <v>0</v>
      </c>
      <c r="AG213" s="24">
        <v>0</v>
      </c>
      <c r="AH213" s="90">
        <v>89515</v>
      </c>
      <c r="AI213" s="24" t="s">
        <v>102</v>
      </c>
      <c r="AJ213" s="24" t="s">
        <v>103</v>
      </c>
      <c r="AK213" s="90" t="s">
        <v>85</v>
      </c>
      <c r="AL213" s="90">
        <v>185514</v>
      </c>
      <c r="AM213" s="90" t="s">
        <v>81</v>
      </c>
      <c r="AN213" s="90" t="s">
        <v>800</v>
      </c>
      <c r="AO213" s="125" t="s">
        <v>791</v>
      </c>
      <c r="AP213" s="24" t="s">
        <v>803</v>
      </c>
      <c r="AQ213" s="90" t="s">
        <v>802</v>
      </c>
      <c r="AR213" s="24" t="s">
        <v>803</v>
      </c>
      <c r="AS213" s="90">
        <v>2585687</v>
      </c>
      <c r="AT213" s="24" t="s">
        <v>102</v>
      </c>
      <c r="AU213" s="90" t="s">
        <v>804</v>
      </c>
      <c r="AV213" s="90" t="str">
        <f>IF(ISNUMBER(SEARCH("disagree",AE213)),"N","Y")</f>
        <v>Y</v>
      </c>
      <c r="AW213" s="90">
        <v>94955</v>
      </c>
      <c r="AX213" s="24" t="s">
        <v>104</v>
      </c>
      <c r="AY213" s="90" t="str">
        <f>CONCATENATE(AZ213,BA213,BB213,BC213)</f>
        <v>R</v>
      </c>
      <c r="AZ213" s="90" t="str">
        <f>IF(ISNUMBER(SEARCH("Y",AC213)),"R","")</f>
        <v>R</v>
      </c>
      <c r="BA213" s="90" t="str">
        <f>IF(ISNUMBER(SEARCH("Y",Y213)),"M","")</f>
        <v/>
      </c>
      <c r="BB213" s="90" t="str">
        <f>IF(ISNUMBER(SEARCH("Y",AB213)),"QC","")</f>
        <v/>
      </c>
      <c r="BC213" s="90" t="str">
        <f>IF(ISNUMBER(SEARCH("Y",Z213)),"S","")</f>
        <v/>
      </c>
      <c r="BD213" s="90"/>
      <c r="BE213" s="24" t="s">
        <v>327</v>
      </c>
      <c r="BF213" s="125" t="str">
        <f>IF(AND(AW213&gt;=56543,AW213&lt;=76543,LEN(AW213)&gt;0),"3 Feb 2020",IF(AND(AW213&gt;=66544,AW213&lt;=99999,LEN(AW213)&gt;0),"12 Sep 2020",""))</f>
        <v>12 Sep 2020</v>
      </c>
      <c r="BG213" s="125" t="str">
        <f>IF((AND(BF213="3 Feb 2020",LEN(BF213)&gt;0)),"Completed",IF((AND(BF213="12 Sep 2020",LEN(BF213)&gt;0)),"Pending",""))</f>
        <v>Pending</v>
      </c>
      <c r="BH213" s="90" t="str">
        <f>IF((AND(BF213="3 Feb 2020",LEN(BF213)&gt;0)),"3 Feb 2020","")</f>
        <v/>
      </c>
      <c r="BI213" s="90">
        <v>185514</v>
      </c>
      <c r="BJ213" s="90" t="str">
        <f>L213</f>
        <v>4D87AT76998-10</v>
      </c>
      <c r="BK213" s="127">
        <v>43508</v>
      </c>
      <c r="BL213" s="127">
        <v>44239</v>
      </c>
      <c r="BM213" s="128">
        <f>P213*1.1</f>
        <v>1659896.7000000002</v>
      </c>
      <c r="BN213" s="129">
        <f>P213*0.9</f>
        <v>1358097.3</v>
      </c>
      <c r="BO213" s="130">
        <f>P213*0.8</f>
        <v>1207197.6000000001</v>
      </c>
      <c r="BP213" s="90">
        <f>IF(Z213="Y",BM213*0.4,BM213*1.05)</f>
        <v>1742891.5350000004</v>
      </c>
      <c r="BQ213" s="90">
        <f>BP213*0.8</f>
        <v>1394313.2280000004</v>
      </c>
      <c r="BR213" s="90" t="str">
        <f>IF(ISNUMBER(SEARCH("subrecipient",AI209)),P213*0.6,"")</f>
        <v/>
      </c>
      <c r="BS213" s="90">
        <v>185514</v>
      </c>
      <c r="BT213" s="90" t="str">
        <f>BJ213</f>
        <v>4D87AT76998-10</v>
      </c>
      <c r="BU213" s="127">
        <f>BK213</f>
        <v>43508</v>
      </c>
      <c r="BV213" s="127">
        <f>BL213</f>
        <v>44239</v>
      </c>
      <c r="BW213" s="90" t="str">
        <f>H213</f>
        <v>FDA</v>
      </c>
      <c r="BX213" s="90" t="str">
        <f>IF(H213="NATIONAL HEMOPHILIA FOUNDATION","Non Federal","Federal")</f>
        <v>Federal</v>
      </c>
      <c r="BY213" s="128">
        <f>BM213</f>
        <v>1659896.7000000002</v>
      </c>
      <c r="BZ213" s="90" t="str">
        <f>IF(LEN(BR213)&gt;0,1,"")</f>
        <v/>
      </c>
      <c r="CA213" s="90" t="str">
        <f>IF(LEN(BR213)&gt;0,"VIRAL HEPATITIS PROJECT","")</f>
        <v/>
      </c>
      <c r="CB213" s="129" t="str">
        <f>IF(LEN(BR213)&gt;0,BM213*0.7,"")</f>
        <v/>
      </c>
      <c r="CC213" s="90">
        <f>BP213</f>
        <v>1742891.5350000004</v>
      </c>
      <c r="CD213" s="90" t="str">
        <f>IF(LEN(BR213)&gt;0,"70%","")</f>
        <v/>
      </c>
      <c r="CE213" s="90">
        <f>BS213</f>
        <v>185514</v>
      </c>
      <c r="CF213" s="90" t="str">
        <f>CA213</f>
        <v/>
      </c>
      <c r="CG213" s="90"/>
      <c r="CH213" s="90"/>
      <c r="CI213" s="90"/>
      <c r="CJ213" s="90"/>
      <c r="CK213" s="90"/>
      <c r="CL213" s="90"/>
      <c r="CM213" s="90"/>
      <c r="CN213" s="90"/>
      <c r="CO213" s="90"/>
      <c r="CP213" s="90"/>
      <c r="CQ213" s="90"/>
      <c r="CR213" s="90"/>
      <c r="CS213" s="90"/>
      <c r="CT213" s="137"/>
    </row>
    <row r="214" spans="1:98" ht="60">
      <c r="A214" s="89">
        <v>185514</v>
      </c>
      <c r="B214" s="90">
        <v>2020</v>
      </c>
      <c r="C214" s="90" t="s">
        <v>81</v>
      </c>
      <c r="D214" s="90" t="s">
        <v>800</v>
      </c>
      <c r="E214" s="125" t="s">
        <v>793</v>
      </c>
      <c r="F214" s="24" t="s">
        <v>801</v>
      </c>
      <c r="G214" s="90" t="s">
        <v>85</v>
      </c>
      <c r="H214" s="90" t="s">
        <v>132</v>
      </c>
      <c r="I214" s="90">
        <v>93</v>
      </c>
      <c r="J214" s="90">
        <v>157</v>
      </c>
      <c r="K214" s="90" t="s">
        <v>85</v>
      </c>
      <c r="L214" s="90" t="s">
        <v>802</v>
      </c>
      <c r="M214" s="90" t="s">
        <v>85</v>
      </c>
      <c r="N214" s="24" t="s">
        <v>803</v>
      </c>
      <c r="O214" s="24" t="str">
        <f>IF(ISNUMBER(SEARCH("Cancer",N214)),"Cancer",IF(ISNUMBER(SEARCH("health",N214)),"Public health",IF(ISNUMBER(SEARCH("disabilities",N214)),"Disabilities","Other")))</f>
        <v>Other</v>
      </c>
      <c r="P214" s="126">
        <v>1508997</v>
      </c>
      <c r="Q214" s="90" t="s">
        <v>85</v>
      </c>
      <c r="R214" s="90" t="str">
        <f>IF(P214&gt;20000000,"B","A")</f>
        <v>A</v>
      </c>
      <c r="S214" s="90" t="s">
        <v>90</v>
      </c>
      <c r="T214" s="90">
        <v>2585687</v>
      </c>
      <c r="U214" s="90" t="s">
        <v>91</v>
      </c>
      <c r="V214" s="90" t="s">
        <v>804</v>
      </c>
      <c r="W214" s="90" t="s">
        <v>85</v>
      </c>
      <c r="X214" s="90" t="s">
        <v>87</v>
      </c>
      <c r="Y214" s="90" t="s">
        <v>85</v>
      </c>
      <c r="Z214" s="90" t="s">
        <v>85</v>
      </c>
      <c r="AA214" s="90" t="s">
        <v>85</v>
      </c>
      <c r="AB214" s="90" t="s">
        <v>85</v>
      </c>
      <c r="AC214" s="90" t="s">
        <v>87</v>
      </c>
      <c r="AD214" s="90" t="s">
        <v>805</v>
      </c>
      <c r="AE214" s="24">
        <v>0</v>
      </c>
      <c r="AF214" s="90">
        <v>0</v>
      </c>
      <c r="AG214" s="24">
        <v>0</v>
      </c>
      <c r="AH214" s="90">
        <v>89516</v>
      </c>
      <c r="AI214" s="24" t="s">
        <v>110</v>
      </c>
      <c r="AJ214" s="24" t="s">
        <v>809</v>
      </c>
      <c r="AK214" s="90" t="s">
        <v>85</v>
      </c>
      <c r="AL214" s="90">
        <v>185514</v>
      </c>
      <c r="AM214" s="90" t="s">
        <v>81</v>
      </c>
      <c r="AN214" s="90" t="s">
        <v>800</v>
      </c>
      <c r="AO214" s="125" t="s">
        <v>793</v>
      </c>
      <c r="AP214" s="24" t="s">
        <v>803</v>
      </c>
      <c r="AQ214" s="90" t="s">
        <v>802</v>
      </c>
      <c r="AR214" s="24" t="s">
        <v>803</v>
      </c>
      <c r="AS214" s="90">
        <v>2585687</v>
      </c>
      <c r="AT214" s="24" t="s">
        <v>110</v>
      </c>
      <c r="AU214" s="90" t="s">
        <v>804</v>
      </c>
      <c r="AV214" s="90" t="str">
        <f>IF(ISNUMBER(SEARCH("disagree",AE214)),"N","Y")</f>
        <v>Y</v>
      </c>
      <c r="AW214" s="90">
        <v>92560</v>
      </c>
      <c r="AX214" s="24" t="s">
        <v>112</v>
      </c>
      <c r="AY214" s="90" t="str">
        <f>CONCATENATE(AZ214,BA214,BB214,BC214)</f>
        <v>R</v>
      </c>
      <c r="AZ214" s="90" t="str">
        <f>IF(ISNUMBER(SEARCH("Y",AC214)),"R","")</f>
        <v>R</v>
      </c>
      <c r="BA214" s="90" t="str">
        <f>IF(ISNUMBER(SEARCH("Y",Y214)),"M","")</f>
        <v/>
      </c>
      <c r="BB214" s="90" t="str">
        <f>IF(ISNUMBER(SEARCH("Y",AB214)),"QC","")</f>
        <v/>
      </c>
      <c r="BC214" s="90" t="str">
        <f>IF(ISNUMBER(SEARCH("Y",Z214)),"S","")</f>
        <v/>
      </c>
      <c r="BD214" s="90"/>
      <c r="BE214" s="24" t="s">
        <v>113</v>
      </c>
      <c r="BF214" s="125" t="str">
        <f>IF(AND(AW214&gt;=56543,AW214&lt;=76543,LEN(AW214)&gt;0),"3 Feb 2020",IF(AND(AW214&gt;=66544,AW214&lt;=99999,LEN(AW214)&gt;0),"12 Sep 2020",""))</f>
        <v>12 Sep 2020</v>
      </c>
      <c r="BG214" s="125" t="str">
        <f>IF((AND(BF214="3 Feb 2020",LEN(BF214)&gt;0)),"Completed",IF((AND(BF214="12 Sep 2020",LEN(BF214)&gt;0)),"Pending",""))</f>
        <v>Pending</v>
      </c>
      <c r="BH214" s="90" t="str">
        <f>IF((AND(BF214="3 Feb 2020",LEN(BF214)&gt;0)),"3 Feb 2020","")</f>
        <v/>
      </c>
      <c r="BI214" s="90">
        <v>185514</v>
      </c>
      <c r="BJ214" s="90" t="str">
        <f>L214</f>
        <v>4D87AT76998-10</v>
      </c>
      <c r="BK214" s="127">
        <v>43508</v>
      </c>
      <c r="BL214" s="127">
        <v>44239</v>
      </c>
      <c r="BM214" s="128">
        <f>P214*1.1</f>
        <v>1659896.7000000002</v>
      </c>
      <c r="BN214" s="129">
        <f>P214*0.9</f>
        <v>1358097.3</v>
      </c>
      <c r="BO214" s="130">
        <f>P214*0.8</f>
        <v>1207197.6000000001</v>
      </c>
      <c r="BP214" s="90">
        <f>IF(Z214="Y",BM214*0.4,BM214*1.05)</f>
        <v>1742891.5350000004</v>
      </c>
      <c r="BQ214" s="90">
        <f>BP214*0.8</f>
        <v>1394313.2280000004</v>
      </c>
      <c r="BR214" s="90" t="str">
        <f>IF(ISNUMBER(SEARCH("subrecipient",AI210)),P214*0.6,"")</f>
        <v/>
      </c>
      <c r="BS214" s="90">
        <v>185514</v>
      </c>
      <c r="BT214" s="90" t="str">
        <f>BJ214</f>
        <v>4D87AT76998-10</v>
      </c>
      <c r="BU214" s="127">
        <f>BK214</f>
        <v>43508</v>
      </c>
      <c r="BV214" s="127">
        <f>BL214</f>
        <v>44239</v>
      </c>
      <c r="BW214" s="90" t="str">
        <f>H214</f>
        <v>FDA</v>
      </c>
      <c r="BX214" s="90" t="str">
        <f>IF(H214="NATIONAL HEMOPHILIA FOUNDATION","Non Federal","Federal")</f>
        <v>Federal</v>
      </c>
      <c r="BY214" s="128">
        <f>BM214</f>
        <v>1659896.7000000002</v>
      </c>
      <c r="BZ214" s="90" t="str">
        <f>IF(LEN(BR214)&gt;0,1,"")</f>
        <v/>
      </c>
      <c r="CA214" s="90" t="str">
        <f>IF(LEN(BR214)&gt;0,"VIRAL HEPATITIS PROJECT","")</f>
        <v/>
      </c>
      <c r="CB214" s="129" t="str">
        <f>IF(LEN(BR214)&gt;0,BM214*0.7,"")</f>
        <v/>
      </c>
      <c r="CC214" s="90">
        <f>BP214</f>
        <v>1742891.5350000004</v>
      </c>
      <c r="CD214" s="90" t="str">
        <f>IF(LEN(BR214)&gt;0,"70%","")</f>
        <v/>
      </c>
      <c r="CE214" s="90">
        <f>BS214</f>
        <v>185514</v>
      </c>
      <c r="CF214" s="90" t="str">
        <f>CA214</f>
        <v/>
      </c>
      <c r="CG214" s="90"/>
      <c r="CH214" s="90"/>
      <c r="CI214" s="90"/>
      <c r="CJ214" s="90"/>
      <c r="CK214" s="90"/>
      <c r="CL214" s="90"/>
      <c r="CM214" s="90"/>
      <c r="CN214" s="90"/>
      <c r="CO214" s="90"/>
      <c r="CP214" s="90"/>
      <c r="CQ214" s="90"/>
      <c r="CR214" s="90"/>
      <c r="CS214" s="90"/>
      <c r="CT214" s="137"/>
    </row>
    <row r="215" spans="1:98" ht="60">
      <c r="A215" s="89">
        <v>185514</v>
      </c>
      <c r="B215" s="90">
        <v>2020</v>
      </c>
      <c r="C215" s="90" t="s">
        <v>81</v>
      </c>
      <c r="D215" s="90" t="s">
        <v>800</v>
      </c>
      <c r="E215" s="125" t="s">
        <v>780</v>
      </c>
      <c r="F215" s="24" t="s">
        <v>801</v>
      </c>
      <c r="G215" s="90" t="s">
        <v>85</v>
      </c>
      <c r="H215" s="90" t="s">
        <v>132</v>
      </c>
      <c r="I215" s="90">
        <v>93</v>
      </c>
      <c r="J215" s="90">
        <v>157</v>
      </c>
      <c r="K215" s="90" t="s">
        <v>85</v>
      </c>
      <c r="L215" s="90" t="s">
        <v>802</v>
      </c>
      <c r="M215" s="90" t="s">
        <v>85</v>
      </c>
      <c r="N215" s="24" t="s">
        <v>803</v>
      </c>
      <c r="O215" s="24" t="str">
        <f>IF(ISNUMBER(SEARCH("Cancer",N215)),"Cancer",IF(ISNUMBER(SEARCH("health",N215)),"Public health",IF(ISNUMBER(SEARCH("disabilities",N215)),"Disabilities","Other")))</f>
        <v>Other</v>
      </c>
      <c r="P215" s="126">
        <v>1508997</v>
      </c>
      <c r="Q215" s="90" t="s">
        <v>85</v>
      </c>
      <c r="R215" s="90" t="str">
        <f>IF(P215&gt;20000000,"B","A")</f>
        <v>A</v>
      </c>
      <c r="S215" s="90" t="s">
        <v>90</v>
      </c>
      <c r="T215" s="90">
        <v>2585687</v>
      </c>
      <c r="U215" s="90" t="s">
        <v>91</v>
      </c>
      <c r="V215" s="90" t="s">
        <v>804</v>
      </c>
      <c r="W215" s="90" t="s">
        <v>85</v>
      </c>
      <c r="X215" s="90" t="s">
        <v>87</v>
      </c>
      <c r="Y215" s="90" t="s">
        <v>85</v>
      </c>
      <c r="Z215" s="90" t="s">
        <v>85</v>
      </c>
      <c r="AA215" s="90" t="s">
        <v>87</v>
      </c>
      <c r="AB215" s="90" t="s">
        <v>85</v>
      </c>
      <c r="AC215" s="90" t="s">
        <v>87</v>
      </c>
      <c r="AD215" s="90" t="s">
        <v>805</v>
      </c>
      <c r="AE215" s="24">
        <v>0</v>
      </c>
      <c r="AF215" s="90">
        <v>0</v>
      </c>
      <c r="AG215" s="24">
        <v>0</v>
      </c>
      <c r="AH215" s="90">
        <v>89517</v>
      </c>
      <c r="AI215" s="24" t="s">
        <v>139</v>
      </c>
      <c r="AJ215" s="24" t="s">
        <v>810</v>
      </c>
      <c r="AK215" s="90" t="s">
        <v>85</v>
      </c>
      <c r="AL215" s="90">
        <v>185514</v>
      </c>
      <c r="AM215" s="90" t="s">
        <v>81</v>
      </c>
      <c r="AN215" s="90" t="s">
        <v>800</v>
      </c>
      <c r="AO215" s="125" t="s">
        <v>780</v>
      </c>
      <c r="AP215" s="24" t="s">
        <v>803</v>
      </c>
      <c r="AQ215" s="90" t="s">
        <v>802</v>
      </c>
      <c r="AR215" s="24" t="s">
        <v>803</v>
      </c>
      <c r="AS215" s="90">
        <v>2585687</v>
      </c>
      <c r="AT215" s="24" t="s">
        <v>139</v>
      </c>
      <c r="AU215" s="90" t="s">
        <v>804</v>
      </c>
      <c r="AV215" s="90" t="str">
        <f>IF(ISNUMBER(SEARCH("disagree",AE215)),"N","Y")</f>
        <v>Y</v>
      </c>
      <c r="AW215" s="90">
        <v>91997</v>
      </c>
      <c r="AX215" s="24" t="s">
        <v>811</v>
      </c>
      <c r="AY215" s="90" t="str">
        <f>CONCATENATE(AZ215,BA215,BB215,BC215)</f>
        <v>R</v>
      </c>
      <c r="AZ215" s="90" t="str">
        <f>IF(ISNUMBER(SEARCH("Y",AC215)),"R","")</f>
        <v>R</v>
      </c>
      <c r="BA215" s="90" t="str">
        <f>IF(ISNUMBER(SEARCH("Y",Y215)),"M","")</f>
        <v/>
      </c>
      <c r="BB215" s="90" t="str">
        <f>IF(ISNUMBER(SEARCH("Y",AB215)),"QC","")</f>
        <v/>
      </c>
      <c r="BC215" s="90" t="str">
        <f>IF(ISNUMBER(SEARCH("Y",Z215)),"S","")</f>
        <v/>
      </c>
      <c r="BD215" s="90"/>
      <c r="BE215" s="24" t="s">
        <v>812</v>
      </c>
      <c r="BF215" s="125" t="str">
        <f>IF(AND(AW215&gt;=56543,AW215&lt;=76543,LEN(AW215)&gt;0),"3 Feb 2020",IF(AND(AW215&gt;=66544,AW215&lt;=99999,LEN(AW215)&gt;0),"12 Sep 2020",""))</f>
        <v>12 Sep 2020</v>
      </c>
      <c r="BG215" s="125" t="str">
        <f>IF((AND(BF215="3 Feb 2020",LEN(BF215)&gt;0)),"Completed",IF((AND(BF215="12 Sep 2020",LEN(BF215)&gt;0)),"Pending",""))</f>
        <v>Pending</v>
      </c>
      <c r="BH215" s="90" t="str">
        <f>IF((AND(BF215="3 Feb 2020",LEN(BF215)&gt;0)),"3 Feb 2020","")</f>
        <v/>
      </c>
      <c r="BI215" s="90">
        <v>185514</v>
      </c>
      <c r="BJ215" s="90" t="str">
        <f>L215</f>
        <v>4D87AT76998-10</v>
      </c>
      <c r="BK215" s="127">
        <v>43508</v>
      </c>
      <c r="BL215" s="127">
        <v>44239</v>
      </c>
      <c r="BM215" s="128">
        <f>P215*1.1</f>
        <v>1659896.7000000002</v>
      </c>
      <c r="BN215" s="129">
        <f>P215*0.9</f>
        <v>1358097.3</v>
      </c>
      <c r="BO215" s="130">
        <f>P215*0.8</f>
        <v>1207197.6000000001</v>
      </c>
      <c r="BP215" s="90">
        <f>IF(Z215="Y",BM215*0.4,BM215*1.05)</f>
        <v>1742891.5350000004</v>
      </c>
      <c r="BQ215" s="90">
        <f>BP215*0.8</f>
        <v>1394313.2280000004</v>
      </c>
      <c r="BR215" s="90">
        <f>IF(ISNUMBER(SEARCH("subrecipient",AI215)),P215*0.6,"")</f>
        <v>905398.2</v>
      </c>
      <c r="BS215" s="90">
        <v>185514</v>
      </c>
      <c r="BT215" s="90" t="str">
        <f>BJ215</f>
        <v>4D87AT76998-10</v>
      </c>
      <c r="BU215" s="127">
        <f>BK215</f>
        <v>43508</v>
      </c>
      <c r="BV215" s="127">
        <f>BL215</f>
        <v>44239</v>
      </c>
      <c r="BW215" s="90" t="str">
        <f>H215</f>
        <v>FDA</v>
      </c>
      <c r="BX215" s="90" t="str">
        <f>IF(H215="NATIONAL HEMOPHILIA FOUNDATION","Non Federal","Federal")</f>
        <v>Federal</v>
      </c>
      <c r="BY215" s="128">
        <f>BM215</f>
        <v>1659896.7000000002</v>
      </c>
      <c r="BZ215" s="90">
        <f>IF(LEN(BR215)&gt;0,1,"")</f>
        <v>1</v>
      </c>
      <c r="CA215" s="90" t="str">
        <f>IF(LEN(BR215)&gt;0,"VIRAL HEPATITIS PROJECT","")</f>
        <v>VIRAL HEPATITIS PROJECT</v>
      </c>
      <c r="CB215" s="129">
        <f>IF(LEN(BR215)&gt;0,BM215*0.7,"")</f>
        <v>1161927.69</v>
      </c>
      <c r="CC215" s="90">
        <f>BP215</f>
        <v>1742891.5350000004</v>
      </c>
      <c r="CD215" s="90" t="str">
        <f>IF(LEN(BR215)&gt;0,"70%","")</f>
        <v>70%</v>
      </c>
      <c r="CE215" s="90">
        <f>BS215</f>
        <v>185514</v>
      </c>
      <c r="CF215" s="90" t="str">
        <f>CA215</f>
        <v>VIRAL HEPATITIS PROJECT</v>
      </c>
      <c r="CG215" s="90"/>
      <c r="CH215" s="90"/>
      <c r="CI215" s="90"/>
      <c r="CJ215" s="90"/>
      <c r="CK215" s="90"/>
      <c r="CL215" s="90"/>
      <c r="CM215" s="90"/>
      <c r="CN215" s="90"/>
      <c r="CO215" s="90"/>
      <c r="CP215" s="90"/>
      <c r="CQ215" s="90"/>
      <c r="CR215" s="90"/>
      <c r="CS215" s="90"/>
      <c r="CT215" s="137"/>
    </row>
    <row r="216" spans="1:98" ht="105">
      <c r="A216" s="89">
        <v>185557</v>
      </c>
      <c r="B216" s="90">
        <v>2020</v>
      </c>
      <c r="C216" s="90" t="s">
        <v>81</v>
      </c>
      <c r="D216" s="90" t="s">
        <v>813</v>
      </c>
      <c r="E216" s="125" t="s">
        <v>781</v>
      </c>
      <c r="F216" s="24" t="s">
        <v>814</v>
      </c>
      <c r="G216" s="90" t="s">
        <v>85</v>
      </c>
      <c r="H216" s="90" t="s">
        <v>150</v>
      </c>
      <c r="I216" s="90">
        <v>93</v>
      </c>
      <c r="J216" s="90">
        <v>157</v>
      </c>
      <c r="K216" s="90" t="s">
        <v>85</v>
      </c>
      <c r="L216" s="90" t="s">
        <v>815</v>
      </c>
      <c r="M216" s="90" t="s">
        <v>119</v>
      </c>
      <c r="N216" s="24" t="s">
        <v>816</v>
      </c>
      <c r="O216" s="24" t="str">
        <f>IF(ISNUMBER(SEARCH("Cancer",N216)),"Cancer",IF(ISNUMBER(SEARCH("health",N216)),"Public health",IF(ISNUMBER(SEARCH("disabilities",N216)),"Disabilities","Other")))</f>
        <v>Public health</v>
      </c>
      <c r="P216" s="126">
        <v>1544446</v>
      </c>
      <c r="Q216" s="90" t="s">
        <v>85</v>
      </c>
      <c r="R216" s="90" t="str">
        <f>IF(P216&gt;20000000,"B","A")</f>
        <v>A</v>
      </c>
      <c r="S216" s="90" t="s">
        <v>90</v>
      </c>
      <c r="T216" s="90" t="s">
        <v>119</v>
      </c>
      <c r="U216" s="90" t="s">
        <v>119</v>
      </c>
      <c r="V216" s="90" t="s">
        <v>119</v>
      </c>
      <c r="W216" s="90" t="s">
        <v>119</v>
      </c>
      <c r="X216" s="90" t="s">
        <v>119</v>
      </c>
      <c r="Y216" s="90" t="s">
        <v>119</v>
      </c>
      <c r="Z216" s="90" t="s">
        <v>119</v>
      </c>
      <c r="AA216" s="90" t="s">
        <v>119</v>
      </c>
      <c r="AB216" s="90" t="s">
        <v>119</v>
      </c>
      <c r="AC216" s="90" t="s">
        <v>119</v>
      </c>
      <c r="AD216" s="90" t="s">
        <v>119</v>
      </c>
      <c r="AE216" s="24">
        <v>0</v>
      </c>
      <c r="AF216" s="90">
        <v>0</v>
      </c>
      <c r="AG216" s="24">
        <v>0</v>
      </c>
      <c r="AH216" s="90">
        <v>89610</v>
      </c>
      <c r="AI216" s="24" t="s">
        <v>94</v>
      </c>
      <c r="AJ216" s="24" t="s">
        <v>817</v>
      </c>
      <c r="AK216" s="90" t="s">
        <v>85</v>
      </c>
      <c r="AL216" s="90">
        <v>185557</v>
      </c>
      <c r="AM216" s="90" t="s">
        <v>81</v>
      </c>
      <c r="AN216" s="90" t="s">
        <v>813</v>
      </c>
      <c r="AO216" s="125" t="s">
        <v>781</v>
      </c>
      <c r="AP216" s="24" t="s">
        <v>816</v>
      </c>
      <c r="AQ216" s="90" t="s">
        <v>815</v>
      </c>
      <c r="AR216" s="24" t="s">
        <v>816</v>
      </c>
      <c r="AS216" s="90" t="s">
        <v>119</v>
      </c>
      <c r="AT216" s="24" t="s">
        <v>94</v>
      </c>
      <c r="AU216" s="90" t="s">
        <v>119</v>
      </c>
      <c r="AV216" s="90" t="str">
        <f>IF(ISNUMBER(SEARCH("disagree",AE216)),"N","Y")</f>
        <v>Y</v>
      </c>
      <c r="AW216" s="90" t="s">
        <v>119</v>
      </c>
      <c r="AX216" s="24" t="s">
        <v>119</v>
      </c>
      <c r="AY216" s="90" t="str">
        <f>CONCATENATE(AZ216,BA216,BB216,BC216)</f>
        <v/>
      </c>
      <c r="AZ216" s="90" t="str">
        <f>IF(ISNUMBER(SEARCH("Y",AC216)),"R","")</f>
        <v/>
      </c>
      <c r="BA216" s="90" t="str">
        <f>IF(ISNUMBER(SEARCH("Y",Y216)),"M","")</f>
        <v/>
      </c>
      <c r="BB216" s="90" t="str">
        <f>IF(ISNUMBER(SEARCH("Y",AB216)),"QC","")</f>
        <v/>
      </c>
      <c r="BC216" s="90" t="str">
        <f>IF(ISNUMBER(SEARCH("Y",Z216)),"S","")</f>
        <v/>
      </c>
      <c r="BD216" s="90"/>
      <c r="BE216" s="24" t="s">
        <v>119</v>
      </c>
      <c r="BF216" s="125" t="str">
        <f>IF(AND(AW216&gt;=56543,AW216&lt;=76543,LEN(AW216)&gt;0),"3 Feb 2020",IF(AND(AW216&gt;=66544,AW216&lt;=99999,LEN(AW216)&gt;0),"12 Sep 2020",""))</f>
        <v/>
      </c>
      <c r="BG216" s="125" t="str">
        <f>IF((AND(BF216="3 Feb 2020",LEN(BF216)&gt;0)),"Completed",IF((AND(BF216="12 Sep 2020",LEN(BF216)&gt;0)),"Pending",""))</f>
        <v/>
      </c>
      <c r="BH216" s="90" t="str">
        <f>IF((AND(BF216="3 Feb 2020",LEN(BF216)&gt;0)),"3 Feb 2020","")</f>
        <v/>
      </c>
      <c r="BI216" s="90">
        <v>185557</v>
      </c>
      <c r="BJ216" s="90" t="str">
        <f>L216</f>
        <v>8C93DS80092-64</v>
      </c>
      <c r="BK216" s="127">
        <v>43508</v>
      </c>
      <c r="BL216" s="127">
        <v>44239</v>
      </c>
      <c r="BM216" s="128">
        <f>P216*1.1</f>
        <v>1698890.6</v>
      </c>
      <c r="BN216" s="129">
        <f>P216*0.9</f>
        <v>1390001.4000000001</v>
      </c>
      <c r="BO216" s="130">
        <f>P216*0.8</f>
        <v>1235556.8</v>
      </c>
      <c r="BP216" s="90">
        <f>IF(Z216="Y",BM216*0.4,BM216*1.05)</f>
        <v>1783835.1300000001</v>
      </c>
      <c r="BQ216" s="90">
        <f>BP216*0.8</f>
        <v>1427068.1040000003</v>
      </c>
      <c r="BR216" s="90" t="str">
        <f>IF(ISNUMBER(SEARCH("subrecipient",AI212)),P216*0.6,"")</f>
        <v/>
      </c>
      <c r="BS216" s="90">
        <v>185557</v>
      </c>
      <c r="BT216" s="90" t="str">
        <f>BJ216</f>
        <v>8C93DS80092-64</v>
      </c>
      <c r="BU216" s="127">
        <f>BK216</f>
        <v>43508</v>
      </c>
      <c r="BV216" s="127">
        <f>BL216</f>
        <v>44239</v>
      </c>
      <c r="BW216" s="90" t="str">
        <f>H216</f>
        <v>ACF</v>
      </c>
      <c r="BX216" s="90" t="str">
        <f>IF(H216="NATIONAL HEMOPHILIA FOUNDATION","Non Federal","Federal")</f>
        <v>Federal</v>
      </c>
      <c r="BY216" s="128">
        <f>BM216</f>
        <v>1698890.6</v>
      </c>
      <c r="BZ216" s="90" t="str">
        <f>IF(LEN(BR216)&gt;0,1,"")</f>
        <v/>
      </c>
      <c r="CA216" s="90" t="str">
        <f>IF(LEN(BR216)&gt;0,"VIRAL HEPATITIS PROJECT","")</f>
        <v/>
      </c>
      <c r="CB216" s="129" t="str">
        <f>IF(LEN(BR216)&gt;0,BM216*0.7,"")</f>
        <v/>
      </c>
      <c r="CC216" s="90">
        <f>BP216</f>
        <v>1783835.1300000001</v>
      </c>
      <c r="CD216" s="90" t="str">
        <f>IF(LEN(BR216)&gt;0,"70%","")</f>
        <v/>
      </c>
      <c r="CE216" s="90">
        <f>BS216</f>
        <v>185557</v>
      </c>
      <c r="CF216" s="90" t="str">
        <f>CA216</f>
        <v/>
      </c>
      <c r="CG216" s="90"/>
      <c r="CH216" s="90"/>
      <c r="CI216" s="90"/>
      <c r="CJ216" s="90"/>
      <c r="CK216" s="90"/>
      <c r="CL216" s="90"/>
      <c r="CM216" s="90"/>
      <c r="CN216" s="90"/>
      <c r="CO216" s="90"/>
      <c r="CP216" s="90"/>
      <c r="CQ216" s="90"/>
      <c r="CR216" s="90"/>
      <c r="CS216" s="90"/>
      <c r="CT216" s="137"/>
    </row>
    <row r="217" spans="1:98" ht="105">
      <c r="A217" s="89">
        <v>185557</v>
      </c>
      <c r="B217" s="90">
        <v>2020</v>
      </c>
      <c r="C217" s="90" t="s">
        <v>81</v>
      </c>
      <c r="D217" s="90" t="s">
        <v>813</v>
      </c>
      <c r="E217" s="125" t="s">
        <v>784</v>
      </c>
      <c r="F217" s="24" t="s">
        <v>814</v>
      </c>
      <c r="G217" s="90" t="s">
        <v>85</v>
      </c>
      <c r="H217" s="90" t="s">
        <v>150</v>
      </c>
      <c r="I217" s="90">
        <v>93</v>
      </c>
      <c r="J217" s="90">
        <v>157</v>
      </c>
      <c r="K217" s="90" t="s">
        <v>85</v>
      </c>
      <c r="L217" s="90" t="s">
        <v>815</v>
      </c>
      <c r="M217" s="90" t="s">
        <v>119</v>
      </c>
      <c r="N217" s="24" t="s">
        <v>816</v>
      </c>
      <c r="O217" s="24" t="str">
        <f>IF(ISNUMBER(SEARCH("Cancer",N217)),"Cancer",IF(ISNUMBER(SEARCH("health",N217)),"Public health",IF(ISNUMBER(SEARCH("disabilities",N217)),"Disabilities","Other")))</f>
        <v>Public health</v>
      </c>
      <c r="P217" s="126">
        <v>1544446</v>
      </c>
      <c r="Q217" s="90" t="s">
        <v>85</v>
      </c>
      <c r="R217" s="90" t="str">
        <f>IF(P217&gt;20000000,"B","A")</f>
        <v>A</v>
      </c>
      <c r="S217" s="90" t="s">
        <v>90</v>
      </c>
      <c r="T217" s="90" t="s">
        <v>119</v>
      </c>
      <c r="U217" s="90" t="s">
        <v>119</v>
      </c>
      <c r="V217" s="90" t="s">
        <v>119</v>
      </c>
      <c r="W217" s="90" t="s">
        <v>119</v>
      </c>
      <c r="X217" s="90" t="s">
        <v>119</v>
      </c>
      <c r="Y217" s="90" t="s">
        <v>119</v>
      </c>
      <c r="Z217" s="90" t="s">
        <v>119</v>
      </c>
      <c r="AA217" s="90" t="s">
        <v>119</v>
      </c>
      <c r="AB217" s="90" t="s">
        <v>119</v>
      </c>
      <c r="AC217" s="90" t="s">
        <v>119</v>
      </c>
      <c r="AD217" s="90" t="s">
        <v>119</v>
      </c>
      <c r="AE217" s="24">
        <v>0</v>
      </c>
      <c r="AF217" s="90">
        <v>0</v>
      </c>
      <c r="AG217" s="24">
        <v>0</v>
      </c>
      <c r="AH217" s="90">
        <v>89609</v>
      </c>
      <c r="AI217" s="24" t="s">
        <v>102</v>
      </c>
      <c r="AJ217" s="24" t="s">
        <v>103</v>
      </c>
      <c r="AK217" s="90" t="s">
        <v>85</v>
      </c>
      <c r="AL217" s="90">
        <v>185557</v>
      </c>
      <c r="AM217" s="90" t="s">
        <v>81</v>
      </c>
      <c r="AN217" s="90" t="s">
        <v>813</v>
      </c>
      <c r="AO217" s="125" t="s">
        <v>784</v>
      </c>
      <c r="AP217" s="24" t="s">
        <v>816</v>
      </c>
      <c r="AQ217" s="90" t="s">
        <v>815</v>
      </c>
      <c r="AR217" s="24" t="s">
        <v>816</v>
      </c>
      <c r="AS217" s="90" t="s">
        <v>119</v>
      </c>
      <c r="AT217" s="24" t="s">
        <v>102</v>
      </c>
      <c r="AU217" s="90" t="s">
        <v>119</v>
      </c>
      <c r="AV217" s="90" t="str">
        <f>IF(ISNUMBER(SEARCH("disagree",AE217)),"N","Y")</f>
        <v>Y</v>
      </c>
      <c r="AW217" s="90" t="s">
        <v>119</v>
      </c>
      <c r="AX217" s="24" t="s">
        <v>119</v>
      </c>
      <c r="AY217" s="90" t="str">
        <f>CONCATENATE(AZ217,BA217,BB217,BC217)</f>
        <v/>
      </c>
      <c r="AZ217" s="90" t="str">
        <f>IF(ISNUMBER(SEARCH("Y",AC217)),"R","")</f>
        <v/>
      </c>
      <c r="BA217" s="90" t="str">
        <f>IF(ISNUMBER(SEARCH("Y",Y217)),"M","")</f>
        <v/>
      </c>
      <c r="BB217" s="90" t="str">
        <f>IF(ISNUMBER(SEARCH("Y",AB217)),"QC","")</f>
        <v/>
      </c>
      <c r="BC217" s="90" t="str">
        <f>IF(ISNUMBER(SEARCH("Y",Z217)),"S","")</f>
        <v/>
      </c>
      <c r="BD217" s="90"/>
      <c r="BE217" s="24" t="s">
        <v>119</v>
      </c>
      <c r="BF217" s="125" t="str">
        <f>IF(AND(AW217&gt;=56543,AW217&lt;=76543,LEN(AW217)&gt;0),"3 Feb 2020",IF(AND(AW217&gt;=66544,AW217&lt;=99999,LEN(AW217)&gt;0),"12 Sep 2020",""))</f>
        <v/>
      </c>
      <c r="BG217" s="125" t="str">
        <f>IF((AND(BF217="3 Feb 2020",LEN(BF217)&gt;0)),"Completed",IF((AND(BF217="12 Sep 2020",LEN(BF217)&gt;0)),"Pending",""))</f>
        <v/>
      </c>
      <c r="BH217" s="90" t="str">
        <f>IF((AND(BF217="3 Feb 2020",LEN(BF217)&gt;0)),"3 Feb 2020","")</f>
        <v/>
      </c>
      <c r="BI217" s="90">
        <v>185557</v>
      </c>
      <c r="BJ217" s="90" t="str">
        <f>L217</f>
        <v>8C93DS80092-64</v>
      </c>
      <c r="BK217" s="127">
        <v>43508</v>
      </c>
      <c r="BL217" s="127">
        <v>44239</v>
      </c>
      <c r="BM217" s="128">
        <f>P217*1.1</f>
        <v>1698890.6</v>
      </c>
      <c r="BN217" s="129">
        <f>P217*0.9</f>
        <v>1390001.4000000001</v>
      </c>
      <c r="BO217" s="130">
        <f>P217*0.8</f>
        <v>1235556.8</v>
      </c>
      <c r="BP217" s="90">
        <f>IF(Z217="Y",BM217*0.4,BM217*1.05)</f>
        <v>1783835.1300000001</v>
      </c>
      <c r="BQ217" s="90">
        <f>BP217*0.8</f>
        <v>1427068.1040000003</v>
      </c>
      <c r="BR217" s="90" t="str">
        <f>IF(ISNUMBER(SEARCH("subrecipient",AI213)),P217*0.6,"")</f>
        <v/>
      </c>
      <c r="BS217" s="90">
        <v>185557</v>
      </c>
      <c r="BT217" s="90" t="str">
        <f>BJ217</f>
        <v>8C93DS80092-64</v>
      </c>
      <c r="BU217" s="127">
        <f>BK217</f>
        <v>43508</v>
      </c>
      <c r="BV217" s="127">
        <f>BL217</f>
        <v>44239</v>
      </c>
      <c r="BW217" s="90" t="str">
        <f>H217</f>
        <v>ACF</v>
      </c>
      <c r="BX217" s="90" t="str">
        <f>IF(H217="NATIONAL HEMOPHILIA FOUNDATION","Non Federal","Federal")</f>
        <v>Federal</v>
      </c>
      <c r="BY217" s="128">
        <f>BM217</f>
        <v>1698890.6</v>
      </c>
      <c r="BZ217" s="90" t="str">
        <f>IF(LEN(BR217)&gt;0,1,"")</f>
        <v/>
      </c>
      <c r="CA217" s="90" t="str">
        <f>IF(LEN(BR217)&gt;0,"VIRAL HEPATITIS PROJECT","")</f>
        <v/>
      </c>
      <c r="CB217" s="129" t="str">
        <f>IF(LEN(BR217)&gt;0,BM217*0.7,"")</f>
        <v/>
      </c>
      <c r="CC217" s="90">
        <f>BP217</f>
        <v>1783835.1300000001</v>
      </c>
      <c r="CD217" s="90" t="str">
        <f>IF(LEN(BR217)&gt;0,"70%","")</f>
        <v/>
      </c>
      <c r="CE217" s="90">
        <f>BS217</f>
        <v>185557</v>
      </c>
      <c r="CF217" s="90" t="str">
        <f>CA217</f>
        <v/>
      </c>
      <c r="CG217" s="90"/>
      <c r="CH217" s="90"/>
      <c r="CI217" s="90"/>
      <c r="CJ217" s="90"/>
      <c r="CK217" s="90"/>
      <c r="CL217" s="90"/>
      <c r="CM217" s="90"/>
      <c r="CN217" s="90"/>
      <c r="CO217" s="90"/>
      <c r="CP217" s="90"/>
      <c r="CQ217" s="90"/>
      <c r="CR217" s="90"/>
      <c r="CS217" s="90"/>
      <c r="CT217" s="137"/>
    </row>
    <row r="218" spans="1:98" ht="105">
      <c r="A218" s="89">
        <v>185557</v>
      </c>
      <c r="B218" s="90">
        <v>2020</v>
      </c>
      <c r="C218" s="90" t="s">
        <v>81</v>
      </c>
      <c r="D218" s="90" t="s">
        <v>813</v>
      </c>
      <c r="E218" s="125" t="s">
        <v>790</v>
      </c>
      <c r="F218" s="24" t="s">
        <v>814</v>
      </c>
      <c r="G218" s="90" t="s">
        <v>85</v>
      </c>
      <c r="H218" s="90" t="s">
        <v>150</v>
      </c>
      <c r="I218" s="90">
        <v>93</v>
      </c>
      <c r="J218" s="90">
        <v>157</v>
      </c>
      <c r="K218" s="90" t="s">
        <v>85</v>
      </c>
      <c r="L218" s="90" t="s">
        <v>815</v>
      </c>
      <c r="M218" s="90" t="s">
        <v>119</v>
      </c>
      <c r="N218" s="24" t="s">
        <v>816</v>
      </c>
      <c r="O218" s="24" t="str">
        <f>IF(ISNUMBER(SEARCH("Cancer",N218)),"Cancer",IF(ISNUMBER(SEARCH("health",N218)),"Public health",IF(ISNUMBER(SEARCH("disabilities",N218)),"Disabilities","Other")))</f>
        <v>Public health</v>
      </c>
      <c r="P218" s="126">
        <v>1544446</v>
      </c>
      <c r="Q218" s="90" t="s">
        <v>85</v>
      </c>
      <c r="R218" s="90" t="str">
        <f>IF(P218&gt;20000000,"B","A")</f>
        <v>A</v>
      </c>
      <c r="S218" s="90" t="s">
        <v>90</v>
      </c>
      <c r="T218" s="90" t="s">
        <v>119</v>
      </c>
      <c r="U218" s="90" t="s">
        <v>119</v>
      </c>
      <c r="V218" s="90" t="s">
        <v>119</v>
      </c>
      <c r="W218" s="90" t="s">
        <v>119</v>
      </c>
      <c r="X218" s="90" t="s">
        <v>119</v>
      </c>
      <c r="Y218" s="90" t="s">
        <v>119</v>
      </c>
      <c r="Z218" s="90" t="s">
        <v>119</v>
      </c>
      <c r="AA218" s="90" t="s">
        <v>119</v>
      </c>
      <c r="AB218" s="90" t="s">
        <v>119</v>
      </c>
      <c r="AC218" s="90" t="s">
        <v>119</v>
      </c>
      <c r="AD218" s="90" t="s">
        <v>119</v>
      </c>
      <c r="AE218" s="24">
        <v>0</v>
      </c>
      <c r="AF218" s="90">
        <v>0</v>
      </c>
      <c r="AG218" s="24">
        <v>0</v>
      </c>
      <c r="AH218" s="90">
        <v>89611</v>
      </c>
      <c r="AI218" s="24" t="s">
        <v>110</v>
      </c>
      <c r="AJ218" s="24" t="s">
        <v>818</v>
      </c>
      <c r="AK218" s="90" t="s">
        <v>85</v>
      </c>
      <c r="AL218" s="90">
        <v>185557</v>
      </c>
      <c r="AM218" s="90" t="s">
        <v>81</v>
      </c>
      <c r="AN218" s="90" t="s">
        <v>813</v>
      </c>
      <c r="AO218" s="125" t="s">
        <v>790</v>
      </c>
      <c r="AP218" s="24" t="s">
        <v>816</v>
      </c>
      <c r="AQ218" s="90" t="s">
        <v>815</v>
      </c>
      <c r="AR218" s="24" t="s">
        <v>816</v>
      </c>
      <c r="AS218" s="90" t="s">
        <v>119</v>
      </c>
      <c r="AT218" s="24" t="s">
        <v>110</v>
      </c>
      <c r="AU218" s="90" t="s">
        <v>119</v>
      </c>
      <c r="AV218" s="90" t="str">
        <f>IF(ISNUMBER(SEARCH("disagree",AE218)),"N","Y")</f>
        <v>Y</v>
      </c>
      <c r="AW218" s="90" t="s">
        <v>119</v>
      </c>
      <c r="AX218" s="24" t="s">
        <v>119</v>
      </c>
      <c r="AY218" s="90" t="str">
        <f>CONCATENATE(AZ218,BA218,BB218,BC218)</f>
        <v/>
      </c>
      <c r="AZ218" s="90" t="str">
        <f>IF(ISNUMBER(SEARCH("Y",AC218)),"R","")</f>
        <v/>
      </c>
      <c r="BA218" s="90" t="str">
        <f>IF(ISNUMBER(SEARCH("Y",Y218)),"M","")</f>
        <v/>
      </c>
      <c r="BB218" s="90" t="str">
        <f>IF(ISNUMBER(SEARCH("Y",AB218)),"QC","")</f>
        <v/>
      </c>
      <c r="BC218" s="90" t="str">
        <f>IF(ISNUMBER(SEARCH("Y",Z218)),"S","")</f>
        <v/>
      </c>
      <c r="BD218" s="90"/>
      <c r="BE218" s="24" t="s">
        <v>119</v>
      </c>
      <c r="BF218" s="125" t="str">
        <f>IF(AND(AW218&gt;=56543,AW218&lt;=76543,LEN(AW218)&gt;0),"3 Feb 2020",IF(AND(AW218&gt;=66544,AW218&lt;=99999,LEN(AW218)&gt;0),"12 Sep 2020",""))</f>
        <v/>
      </c>
      <c r="BG218" s="125" t="str">
        <f>IF((AND(BF218="3 Feb 2020",LEN(BF218)&gt;0)),"Completed",IF((AND(BF218="12 Sep 2020",LEN(BF218)&gt;0)),"Pending",""))</f>
        <v/>
      </c>
      <c r="BH218" s="90" t="str">
        <f>IF((AND(BF218="3 Feb 2020",LEN(BF218)&gt;0)),"3 Feb 2020","")</f>
        <v/>
      </c>
      <c r="BI218" s="90">
        <v>185557</v>
      </c>
      <c r="BJ218" s="90" t="str">
        <f>L218</f>
        <v>8C93DS80092-64</v>
      </c>
      <c r="BK218" s="127">
        <v>43508</v>
      </c>
      <c r="BL218" s="127">
        <v>44239</v>
      </c>
      <c r="BM218" s="128">
        <f>P218*1.1</f>
        <v>1698890.6</v>
      </c>
      <c r="BN218" s="129">
        <f>P218*0.9</f>
        <v>1390001.4000000001</v>
      </c>
      <c r="BO218" s="130">
        <f>P218*0.8</f>
        <v>1235556.8</v>
      </c>
      <c r="BP218" s="90">
        <f>IF(Z218="Y",BM218*0.4,BM218*1.05)</f>
        <v>1783835.1300000001</v>
      </c>
      <c r="BQ218" s="90">
        <f>BP218*0.8</f>
        <v>1427068.1040000003</v>
      </c>
      <c r="BR218" s="90" t="str">
        <f>IF(ISNUMBER(SEARCH("subrecipient",AI214)),P218*0.6,"")</f>
        <v/>
      </c>
      <c r="BS218" s="90">
        <v>185557</v>
      </c>
      <c r="BT218" s="90" t="str">
        <f>BJ218</f>
        <v>8C93DS80092-64</v>
      </c>
      <c r="BU218" s="127">
        <f>BK218</f>
        <v>43508</v>
      </c>
      <c r="BV218" s="127">
        <f>BL218</f>
        <v>44239</v>
      </c>
      <c r="BW218" s="90" t="str">
        <f>H218</f>
        <v>ACF</v>
      </c>
      <c r="BX218" s="90" t="str">
        <f>IF(H218="NATIONAL HEMOPHILIA FOUNDATION","Non Federal","Federal")</f>
        <v>Federal</v>
      </c>
      <c r="BY218" s="128">
        <f>BM218</f>
        <v>1698890.6</v>
      </c>
      <c r="BZ218" s="90" t="str">
        <f>IF(LEN(BR218)&gt;0,1,"")</f>
        <v/>
      </c>
      <c r="CA218" s="90" t="str">
        <f>IF(LEN(BR218)&gt;0,"VIRAL HEPATITIS PROJECT","")</f>
        <v/>
      </c>
      <c r="CB218" s="129" t="str">
        <f>IF(LEN(BR218)&gt;0,BM218*0.7,"")</f>
        <v/>
      </c>
      <c r="CC218" s="90">
        <f>BP218</f>
        <v>1783835.1300000001</v>
      </c>
      <c r="CD218" s="90" t="str">
        <f>IF(LEN(BR218)&gt;0,"70%","")</f>
        <v/>
      </c>
      <c r="CE218" s="90">
        <f>BS218</f>
        <v>185557</v>
      </c>
      <c r="CF218" s="90" t="str">
        <f>CA218</f>
        <v/>
      </c>
      <c r="CG218" s="90"/>
      <c r="CH218" s="90"/>
      <c r="CI218" s="90"/>
      <c r="CJ218" s="90"/>
      <c r="CK218" s="90"/>
      <c r="CL218" s="90"/>
      <c r="CM218" s="90"/>
      <c r="CN218" s="90"/>
      <c r="CO218" s="90"/>
      <c r="CP218" s="90"/>
      <c r="CQ218" s="90"/>
      <c r="CR218" s="90"/>
      <c r="CS218" s="90"/>
      <c r="CT218" s="137"/>
    </row>
    <row r="219" spans="1:98" ht="165">
      <c r="A219" s="89">
        <v>185635</v>
      </c>
      <c r="B219" s="90">
        <v>2020</v>
      </c>
      <c r="C219" s="90" t="s">
        <v>81</v>
      </c>
      <c r="D219" s="90" t="s">
        <v>819</v>
      </c>
      <c r="E219" s="125" t="s">
        <v>791</v>
      </c>
      <c r="F219" s="24" t="s">
        <v>820</v>
      </c>
      <c r="G219" s="90" t="s">
        <v>85</v>
      </c>
      <c r="H219" s="90" t="s">
        <v>86</v>
      </c>
      <c r="I219" s="90">
        <v>93</v>
      </c>
      <c r="J219" s="90">
        <v>157</v>
      </c>
      <c r="K219" s="90" t="s">
        <v>85</v>
      </c>
      <c r="L219" s="90" t="s">
        <v>213</v>
      </c>
      <c r="M219" s="90" t="s">
        <v>119</v>
      </c>
      <c r="N219" s="24" t="s">
        <v>352</v>
      </c>
      <c r="O219" s="24" t="str">
        <f>IF(ISNUMBER(SEARCH("Cancer",N219)),"Cancer",IF(ISNUMBER(SEARCH("health",N219)),"Public health",IF(ISNUMBER(SEARCH("disabilities",N219)),"Disabilities","Other")))</f>
        <v>Public health</v>
      </c>
      <c r="P219" s="126">
        <v>1440240</v>
      </c>
      <c r="Q219" s="90" t="s">
        <v>85</v>
      </c>
      <c r="R219" s="90" t="str">
        <f>IF(P219&gt;20000000,"B","A")</f>
        <v>A</v>
      </c>
      <c r="S219" s="90" t="s">
        <v>90</v>
      </c>
      <c r="T219" s="90" t="s">
        <v>119</v>
      </c>
      <c r="U219" s="90" t="s">
        <v>119</v>
      </c>
      <c r="V219" s="90" t="s">
        <v>119</v>
      </c>
      <c r="W219" s="90" t="s">
        <v>119</v>
      </c>
      <c r="X219" s="90" t="s">
        <v>119</v>
      </c>
      <c r="Y219" s="90" t="s">
        <v>119</v>
      </c>
      <c r="Z219" s="90" t="s">
        <v>119</v>
      </c>
      <c r="AA219" s="90" t="s">
        <v>119</v>
      </c>
      <c r="AB219" s="90" t="s">
        <v>119</v>
      </c>
      <c r="AC219" s="90" t="s">
        <v>119</v>
      </c>
      <c r="AD219" s="90" t="s">
        <v>119</v>
      </c>
      <c r="AE219" s="24">
        <v>0</v>
      </c>
      <c r="AF219" s="90">
        <v>0</v>
      </c>
      <c r="AG219" s="24">
        <v>0</v>
      </c>
      <c r="AH219" s="90">
        <v>83589</v>
      </c>
      <c r="AI219" s="24" t="s">
        <v>94</v>
      </c>
      <c r="AJ219" s="24" t="s">
        <v>821</v>
      </c>
      <c r="AK219" s="90" t="s">
        <v>85</v>
      </c>
      <c r="AL219" s="90">
        <v>185635</v>
      </c>
      <c r="AM219" s="90" t="s">
        <v>81</v>
      </c>
      <c r="AN219" s="90" t="s">
        <v>819</v>
      </c>
      <c r="AO219" s="125" t="s">
        <v>791</v>
      </c>
      <c r="AP219" s="24" t="s">
        <v>352</v>
      </c>
      <c r="AQ219" s="90" t="s">
        <v>213</v>
      </c>
      <c r="AR219" s="24" t="s">
        <v>352</v>
      </c>
      <c r="AS219" s="90" t="s">
        <v>119</v>
      </c>
      <c r="AT219" s="24" t="s">
        <v>94</v>
      </c>
      <c r="AU219" s="90" t="s">
        <v>119</v>
      </c>
      <c r="AV219" s="90" t="str">
        <f>IF(ISNUMBER(SEARCH("disagree",AE219)),"N","Y")</f>
        <v>Y</v>
      </c>
      <c r="AW219" s="90" t="s">
        <v>119</v>
      </c>
      <c r="AX219" s="24" t="s">
        <v>119</v>
      </c>
      <c r="AY219" s="90" t="str">
        <f>CONCATENATE(AZ219,BA219,BB219,BC219)</f>
        <v/>
      </c>
      <c r="AZ219" s="90" t="str">
        <f>IF(ISNUMBER(SEARCH("Y",AC219)),"R","")</f>
        <v/>
      </c>
      <c r="BA219" s="90" t="str">
        <f>IF(ISNUMBER(SEARCH("Y",Y219)),"M","")</f>
        <v/>
      </c>
      <c r="BB219" s="90" t="str">
        <f>IF(ISNUMBER(SEARCH("Y",AB219)),"QC","")</f>
        <v/>
      </c>
      <c r="BC219" s="90" t="str">
        <f>IF(ISNUMBER(SEARCH("Y",Z219)),"S","")</f>
        <v/>
      </c>
      <c r="BD219" s="90"/>
      <c r="BE219" s="24" t="s">
        <v>119</v>
      </c>
      <c r="BF219" s="125" t="str">
        <f>IF(AND(AW219&gt;=56543,AW219&lt;=76543,LEN(AW219)&gt;0),"3 Feb 2020",IF(AND(AW219&gt;=66544,AW219&lt;=99999,LEN(AW219)&gt;0),"12 Sep 2020",""))</f>
        <v/>
      </c>
      <c r="BG219" s="125" t="str">
        <f>IF((AND(BF219="3 Feb 2020",LEN(BF219)&gt;0)),"Completed",IF((AND(BF219="12 Sep 2020",LEN(BF219)&gt;0)),"Pending",""))</f>
        <v/>
      </c>
      <c r="BH219" s="90" t="str">
        <f>IF((AND(BF219="3 Feb 2020",LEN(BF219)&gt;0)),"3 Feb 2020","")</f>
        <v/>
      </c>
      <c r="BI219" s="90">
        <v>185635</v>
      </c>
      <c r="BJ219" s="90" t="str">
        <f>L219</f>
        <v>8B95AR84473-19</v>
      </c>
      <c r="BK219" s="127">
        <v>43508</v>
      </c>
      <c r="BL219" s="127">
        <v>44239</v>
      </c>
      <c r="BM219" s="128">
        <f>P219*1.1</f>
        <v>1584264.0000000002</v>
      </c>
      <c r="BN219" s="129">
        <f>P219*0.9</f>
        <v>1296216</v>
      </c>
      <c r="BO219" s="130">
        <f>P219*0.8</f>
        <v>1152192</v>
      </c>
      <c r="BP219" s="90">
        <f>IF(Z219="Y",BM219*0.4,BM219*1.05)</f>
        <v>1663477.2000000004</v>
      </c>
      <c r="BQ219" s="90">
        <f>BP219*0.8</f>
        <v>1330781.7600000005</v>
      </c>
      <c r="BR219" s="90">
        <f>IF(ISNUMBER(SEARCH("subrecipient",AI215)),P219*0.6,"")</f>
        <v>864144</v>
      </c>
      <c r="BS219" s="90">
        <v>185635</v>
      </c>
      <c r="BT219" s="90" t="str">
        <f>BJ219</f>
        <v>8B95AR84473-19</v>
      </c>
      <c r="BU219" s="127">
        <f>BK219</f>
        <v>43508</v>
      </c>
      <c r="BV219" s="127">
        <f>BL219</f>
        <v>44239</v>
      </c>
      <c r="BW219" s="90" t="str">
        <f>H219</f>
        <v>CDC</v>
      </c>
      <c r="BX219" s="90" t="str">
        <f>IF(H219="NATIONAL HEMOPHILIA FOUNDATION","Non Federal","Federal")</f>
        <v>Federal</v>
      </c>
      <c r="BY219" s="128">
        <f>BM219</f>
        <v>1584264.0000000002</v>
      </c>
      <c r="BZ219" s="90">
        <f>IF(LEN(BR219)&gt;0,1,"")</f>
        <v>1</v>
      </c>
      <c r="CA219" s="90" t="str">
        <f>IF(LEN(BR219)&gt;0,"VIRAL HEPATITIS PROJECT","")</f>
        <v>VIRAL HEPATITIS PROJECT</v>
      </c>
      <c r="CB219" s="129">
        <f>IF(LEN(BR219)&gt;0,BM219*0.7,"")</f>
        <v>1108984.8</v>
      </c>
      <c r="CC219" s="90">
        <f>BP219</f>
        <v>1663477.2000000004</v>
      </c>
      <c r="CD219" s="90" t="str">
        <f>IF(LEN(BR219)&gt;0,"70%","")</f>
        <v>70%</v>
      </c>
      <c r="CE219" s="90">
        <f>BS219</f>
        <v>185635</v>
      </c>
      <c r="CF219" s="90" t="str">
        <f>CA219</f>
        <v>VIRAL HEPATITIS PROJECT</v>
      </c>
      <c r="CG219" s="90" t="s">
        <v>822</v>
      </c>
      <c r="CH219" s="24" t="s">
        <v>823</v>
      </c>
      <c r="CI219" s="129">
        <f>CB219</f>
        <v>1108984.8</v>
      </c>
      <c r="CJ219" s="125" t="s">
        <v>157</v>
      </c>
      <c r="CK219" s="90" t="s">
        <v>158</v>
      </c>
      <c r="CL219" s="90" t="s">
        <v>160</v>
      </c>
      <c r="CM219" s="90" t="s">
        <v>160</v>
      </c>
      <c r="CN219" s="90" t="s">
        <v>160</v>
      </c>
      <c r="CO219" s="24" t="s">
        <v>161</v>
      </c>
      <c r="CP219" s="24" t="s">
        <v>824</v>
      </c>
      <c r="CQ219" s="132">
        <v>0.75</v>
      </c>
      <c r="CR219" s="127">
        <f>BU219+50</f>
        <v>43558</v>
      </c>
      <c r="CS219" s="127">
        <f>BV219-50</f>
        <v>44189</v>
      </c>
      <c r="CT219" s="138">
        <f>CI219*0.4</f>
        <v>443593.92000000004</v>
      </c>
    </row>
    <row r="220" spans="1:98" ht="120">
      <c r="A220" s="89">
        <v>185635</v>
      </c>
      <c r="B220" s="90">
        <v>2020</v>
      </c>
      <c r="C220" s="90" t="s">
        <v>81</v>
      </c>
      <c r="D220" s="90" t="s">
        <v>819</v>
      </c>
      <c r="E220" s="125" t="s">
        <v>793</v>
      </c>
      <c r="F220" s="24" t="s">
        <v>820</v>
      </c>
      <c r="G220" s="90" t="s">
        <v>85</v>
      </c>
      <c r="H220" s="90" t="s">
        <v>86</v>
      </c>
      <c r="I220" s="90">
        <v>93</v>
      </c>
      <c r="J220" s="90">
        <v>157</v>
      </c>
      <c r="K220" s="90" t="s">
        <v>85</v>
      </c>
      <c r="L220" s="90" t="s">
        <v>213</v>
      </c>
      <c r="M220" s="90" t="s">
        <v>119</v>
      </c>
      <c r="N220" s="24" t="s">
        <v>352</v>
      </c>
      <c r="O220" s="24" t="str">
        <f>IF(ISNUMBER(SEARCH("Cancer",N220)),"Cancer",IF(ISNUMBER(SEARCH("health",N220)),"Public health",IF(ISNUMBER(SEARCH("disabilities",N220)),"Disabilities","Other")))</f>
        <v>Public health</v>
      </c>
      <c r="P220" s="126">
        <v>1440240</v>
      </c>
      <c r="Q220" s="90" t="s">
        <v>85</v>
      </c>
      <c r="R220" s="90" t="str">
        <f>IF(P220&gt;20000000,"B","A")</f>
        <v>A</v>
      </c>
      <c r="S220" s="90" t="s">
        <v>90</v>
      </c>
      <c r="T220" s="90" t="s">
        <v>119</v>
      </c>
      <c r="U220" s="90" t="s">
        <v>119</v>
      </c>
      <c r="V220" s="90" t="s">
        <v>119</v>
      </c>
      <c r="W220" s="90" t="s">
        <v>119</v>
      </c>
      <c r="X220" s="90" t="s">
        <v>119</v>
      </c>
      <c r="Y220" s="90" t="s">
        <v>119</v>
      </c>
      <c r="Z220" s="90" t="s">
        <v>119</v>
      </c>
      <c r="AA220" s="90" t="s">
        <v>119</v>
      </c>
      <c r="AB220" s="90" t="s">
        <v>119</v>
      </c>
      <c r="AC220" s="90" t="s">
        <v>119</v>
      </c>
      <c r="AD220" s="90" t="s">
        <v>119</v>
      </c>
      <c r="AE220" s="24">
        <v>0</v>
      </c>
      <c r="AF220" s="90">
        <v>0</v>
      </c>
      <c r="AG220" s="24">
        <v>0</v>
      </c>
      <c r="AH220" s="90">
        <v>83588</v>
      </c>
      <c r="AI220" s="24" t="s">
        <v>102</v>
      </c>
      <c r="AJ220" s="24" t="s">
        <v>103</v>
      </c>
      <c r="AK220" s="90" t="s">
        <v>85</v>
      </c>
      <c r="AL220" s="90">
        <v>185635</v>
      </c>
      <c r="AM220" s="90" t="s">
        <v>81</v>
      </c>
      <c r="AN220" s="90" t="s">
        <v>819</v>
      </c>
      <c r="AO220" s="125" t="s">
        <v>793</v>
      </c>
      <c r="AP220" s="24" t="s">
        <v>352</v>
      </c>
      <c r="AQ220" s="90" t="s">
        <v>213</v>
      </c>
      <c r="AR220" s="24" t="s">
        <v>352</v>
      </c>
      <c r="AS220" s="90" t="s">
        <v>119</v>
      </c>
      <c r="AT220" s="24" t="s">
        <v>102</v>
      </c>
      <c r="AU220" s="90" t="s">
        <v>119</v>
      </c>
      <c r="AV220" s="90" t="str">
        <f>IF(ISNUMBER(SEARCH("disagree",AE220)),"N","Y")</f>
        <v>Y</v>
      </c>
      <c r="AW220" s="90" t="s">
        <v>119</v>
      </c>
      <c r="AX220" s="24" t="s">
        <v>119</v>
      </c>
      <c r="AY220" s="90" t="str">
        <f>CONCATENATE(AZ220,BA220,BB220,BC220)</f>
        <v/>
      </c>
      <c r="AZ220" s="90" t="str">
        <f>IF(ISNUMBER(SEARCH("Y",AC220)),"R","")</f>
        <v/>
      </c>
      <c r="BA220" s="90" t="str">
        <f>IF(ISNUMBER(SEARCH("Y",Y220)),"M","")</f>
        <v/>
      </c>
      <c r="BB220" s="90" t="str">
        <f>IF(ISNUMBER(SEARCH("Y",AB220)),"QC","")</f>
        <v/>
      </c>
      <c r="BC220" s="90" t="str">
        <f>IF(ISNUMBER(SEARCH("Y",Z220)),"S","")</f>
        <v/>
      </c>
      <c r="BD220" s="90"/>
      <c r="BE220" s="24" t="s">
        <v>119</v>
      </c>
      <c r="BF220" s="125" t="str">
        <f>IF(AND(AW220&gt;=56543,AW220&lt;=76543,LEN(AW220)&gt;0),"3 Feb 2020",IF(AND(AW220&gt;=66544,AW220&lt;=99999,LEN(AW220)&gt;0),"12 Sep 2020",""))</f>
        <v/>
      </c>
      <c r="BG220" s="125" t="str">
        <f>IF((AND(BF220="3 Feb 2020",LEN(BF220)&gt;0)),"Completed",IF((AND(BF220="12 Sep 2020",LEN(BF220)&gt;0)),"Pending",""))</f>
        <v/>
      </c>
      <c r="BH220" s="90" t="str">
        <f>IF((AND(BF220="3 Feb 2020",LEN(BF220)&gt;0)),"3 Feb 2020","")</f>
        <v/>
      </c>
      <c r="BI220" s="90">
        <v>185635</v>
      </c>
      <c r="BJ220" s="90" t="str">
        <f>L220</f>
        <v>8B95AR84473-19</v>
      </c>
      <c r="BK220" s="127">
        <v>43508</v>
      </c>
      <c r="BL220" s="127">
        <v>44239</v>
      </c>
      <c r="BM220" s="128">
        <f>P220*1.1</f>
        <v>1584264.0000000002</v>
      </c>
      <c r="BN220" s="129">
        <f>P220*0.9</f>
        <v>1296216</v>
      </c>
      <c r="BO220" s="130">
        <f>P220*0.8</f>
        <v>1152192</v>
      </c>
      <c r="BP220" s="90">
        <f>IF(Z220="Y",BM220*0.4,BM220*1.05)</f>
        <v>1663477.2000000004</v>
      </c>
      <c r="BQ220" s="90">
        <f>BP220*0.8</f>
        <v>1330781.7600000005</v>
      </c>
      <c r="BR220" s="90" t="str">
        <f>IF(ISNUMBER(SEARCH("subrecipient",AI216)),P220*0.6,"")</f>
        <v/>
      </c>
      <c r="BS220" s="90">
        <v>185635</v>
      </c>
      <c r="BT220" s="90" t="str">
        <f>BJ220</f>
        <v>8B95AR84473-19</v>
      </c>
      <c r="BU220" s="127">
        <f>BK220</f>
        <v>43508</v>
      </c>
      <c r="BV220" s="127">
        <f>BL220</f>
        <v>44239</v>
      </c>
      <c r="BW220" s="90" t="str">
        <f>H220</f>
        <v>CDC</v>
      </c>
      <c r="BX220" s="90" t="str">
        <f>IF(H220="NATIONAL HEMOPHILIA FOUNDATION","Non Federal","Federal")</f>
        <v>Federal</v>
      </c>
      <c r="BY220" s="128">
        <f>BM220</f>
        <v>1584264.0000000002</v>
      </c>
      <c r="BZ220" s="90" t="str">
        <f>IF(LEN(BR220)&gt;0,1,"")</f>
        <v/>
      </c>
      <c r="CA220" s="90" t="str">
        <f>IF(LEN(BR220)&gt;0,"VIRAL HEPATITIS PROJECT","")</f>
        <v/>
      </c>
      <c r="CB220" s="129" t="str">
        <f>IF(LEN(BR220)&gt;0,BM220*0.7,"")</f>
        <v/>
      </c>
      <c r="CC220" s="90">
        <f>BP220</f>
        <v>1663477.2000000004</v>
      </c>
      <c r="CD220" s="90" t="str">
        <f>IF(LEN(BR220)&gt;0,"70%","")</f>
        <v/>
      </c>
      <c r="CE220" s="90">
        <f>BS220</f>
        <v>185635</v>
      </c>
      <c r="CF220" s="90" t="str">
        <f>CA220</f>
        <v/>
      </c>
      <c r="CG220" s="90"/>
      <c r="CH220" s="90"/>
      <c r="CI220" s="90"/>
      <c r="CJ220" s="90"/>
      <c r="CK220" s="90"/>
      <c r="CL220" s="90"/>
      <c r="CM220" s="90"/>
      <c r="CN220" s="90"/>
      <c r="CO220" s="90"/>
      <c r="CP220" s="90"/>
      <c r="CQ220" s="90"/>
      <c r="CR220" s="90"/>
      <c r="CS220" s="90"/>
      <c r="CT220" s="137"/>
    </row>
    <row r="221" spans="1:98" ht="120">
      <c r="A221" s="89">
        <v>185635</v>
      </c>
      <c r="B221" s="90">
        <v>2020</v>
      </c>
      <c r="C221" s="90" t="s">
        <v>81</v>
      </c>
      <c r="D221" s="90" t="s">
        <v>819</v>
      </c>
      <c r="E221" s="125" t="s">
        <v>780</v>
      </c>
      <c r="F221" s="24" t="s">
        <v>820</v>
      </c>
      <c r="G221" s="90" t="s">
        <v>85</v>
      </c>
      <c r="H221" s="90" t="s">
        <v>86</v>
      </c>
      <c r="I221" s="90">
        <v>93</v>
      </c>
      <c r="J221" s="90">
        <v>157</v>
      </c>
      <c r="K221" s="90" t="s">
        <v>85</v>
      </c>
      <c r="L221" s="90" t="s">
        <v>213</v>
      </c>
      <c r="M221" s="90" t="s">
        <v>119</v>
      </c>
      <c r="N221" s="24" t="s">
        <v>352</v>
      </c>
      <c r="O221" s="24" t="str">
        <f>IF(ISNUMBER(SEARCH("Cancer",N221)),"Cancer",IF(ISNUMBER(SEARCH("health",N221)),"Public health",IF(ISNUMBER(SEARCH("disabilities",N221)),"Disabilities","Other")))</f>
        <v>Public health</v>
      </c>
      <c r="P221" s="126">
        <v>1440240</v>
      </c>
      <c r="Q221" s="90" t="s">
        <v>85</v>
      </c>
      <c r="R221" s="90" t="str">
        <f>IF(P221&gt;20000000,"B","A")</f>
        <v>A</v>
      </c>
      <c r="S221" s="90" t="s">
        <v>90</v>
      </c>
      <c r="T221" s="90" t="s">
        <v>119</v>
      </c>
      <c r="U221" s="90" t="s">
        <v>119</v>
      </c>
      <c r="V221" s="90" t="s">
        <v>119</v>
      </c>
      <c r="W221" s="90" t="s">
        <v>119</v>
      </c>
      <c r="X221" s="90" t="s">
        <v>119</v>
      </c>
      <c r="Y221" s="90" t="s">
        <v>119</v>
      </c>
      <c r="Z221" s="90" t="s">
        <v>119</v>
      </c>
      <c r="AA221" s="90" t="s">
        <v>119</v>
      </c>
      <c r="AB221" s="90" t="s">
        <v>119</v>
      </c>
      <c r="AC221" s="90" t="s">
        <v>119</v>
      </c>
      <c r="AD221" s="90" t="s">
        <v>119</v>
      </c>
      <c r="AE221" s="24">
        <v>0</v>
      </c>
      <c r="AF221" s="90">
        <v>0</v>
      </c>
      <c r="AG221" s="24">
        <v>0</v>
      </c>
      <c r="AH221" s="90">
        <v>83590</v>
      </c>
      <c r="AI221" s="24" t="s">
        <v>110</v>
      </c>
      <c r="AJ221" s="24" t="s">
        <v>825</v>
      </c>
      <c r="AK221" s="90" t="s">
        <v>85</v>
      </c>
      <c r="AL221" s="90">
        <v>185635</v>
      </c>
      <c r="AM221" s="90" t="s">
        <v>81</v>
      </c>
      <c r="AN221" s="90" t="s">
        <v>819</v>
      </c>
      <c r="AO221" s="125" t="s">
        <v>780</v>
      </c>
      <c r="AP221" s="24" t="s">
        <v>352</v>
      </c>
      <c r="AQ221" s="90" t="s">
        <v>213</v>
      </c>
      <c r="AR221" s="24" t="s">
        <v>352</v>
      </c>
      <c r="AS221" s="90" t="s">
        <v>119</v>
      </c>
      <c r="AT221" s="24" t="s">
        <v>110</v>
      </c>
      <c r="AU221" s="90" t="s">
        <v>119</v>
      </c>
      <c r="AV221" s="90" t="str">
        <f>IF(ISNUMBER(SEARCH("disagree",AE221)),"N","Y")</f>
        <v>Y</v>
      </c>
      <c r="AW221" s="90" t="s">
        <v>119</v>
      </c>
      <c r="AX221" s="24" t="s">
        <v>119</v>
      </c>
      <c r="AY221" s="90" t="str">
        <f>CONCATENATE(AZ221,BA221,BB221,BC221)</f>
        <v/>
      </c>
      <c r="AZ221" s="90" t="str">
        <f>IF(ISNUMBER(SEARCH("Y",AC221)),"R","")</f>
        <v/>
      </c>
      <c r="BA221" s="90" t="str">
        <f>IF(ISNUMBER(SEARCH("Y",Y221)),"M","")</f>
        <v/>
      </c>
      <c r="BB221" s="90" t="str">
        <f>IF(ISNUMBER(SEARCH("Y",AB221)),"QC","")</f>
        <v/>
      </c>
      <c r="BC221" s="90" t="str">
        <f>IF(ISNUMBER(SEARCH("Y",Z221)),"S","")</f>
        <v/>
      </c>
      <c r="BD221" s="90"/>
      <c r="BE221" s="24" t="s">
        <v>119</v>
      </c>
      <c r="BF221" s="125" t="str">
        <f>IF(AND(AW221&gt;=56543,AW221&lt;=76543,LEN(AW221)&gt;0),"3 Feb 2020",IF(AND(AW221&gt;=66544,AW221&lt;=99999,LEN(AW221)&gt;0),"12 Sep 2020",""))</f>
        <v/>
      </c>
      <c r="BG221" s="125" t="str">
        <f>IF((AND(BF221="3 Feb 2020",LEN(BF221)&gt;0)),"Completed",IF((AND(BF221="12 Sep 2020",LEN(BF221)&gt;0)),"Pending",""))</f>
        <v/>
      </c>
      <c r="BH221" s="90" t="str">
        <f>IF((AND(BF221="3 Feb 2020",LEN(BF221)&gt;0)),"3 Feb 2020","")</f>
        <v/>
      </c>
      <c r="BI221" s="90">
        <v>185635</v>
      </c>
      <c r="BJ221" s="90" t="str">
        <f>L221</f>
        <v>8B95AR84473-19</v>
      </c>
      <c r="BK221" s="127">
        <v>43508</v>
      </c>
      <c r="BL221" s="127">
        <v>44239</v>
      </c>
      <c r="BM221" s="128">
        <f>P221*1.1</f>
        <v>1584264.0000000002</v>
      </c>
      <c r="BN221" s="129">
        <f>P221*0.9</f>
        <v>1296216</v>
      </c>
      <c r="BO221" s="130">
        <f>P221*0.8</f>
        <v>1152192</v>
      </c>
      <c r="BP221" s="90">
        <f>IF(Z221="Y",BM221*0.4,BM221*1.05)</f>
        <v>1663477.2000000004</v>
      </c>
      <c r="BQ221" s="90">
        <f>BP221*0.8</f>
        <v>1330781.7600000005</v>
      </c>
      <c r="BR221" s="90" t="str">
        <f>IF(ISNUMBER(SEARCH("subrecipient",AI217)),P221*0.6,"")</f>
        <v/>
      </c>
      <c r="BS221" s="90">
        <v>185635</v>
      </c>
      <c r="BT221" s="90" t="str">
        <f>BJ221</f>
        <v>8B95AR84473-19</v>
      </c>
      <c r="BU221" s="127">
        <f>BK221</f>
        <v>43508</v>
      </c>
      <c r="BV221" s="127">
        <f>BL221</f>
        <v>44239</v>
      </c>
      <c r="BW221" s="90" t="str">
        <f>H221</f>
        <v>CDC</v>
      </c>
      <c r="BX221" s="90" t="str">
        <f>IF(H221="NATIONAL HEMOPHILIA FOUNDATION","Non Federal","Federal")</f>
        <v>Federal</v>
      </c>
      <c r="BY221" s="128">
        <f>BM221</f>
        <v>1584264.0000000002</v>
      </c>
      <c r="BZ221" s="90" t="str">
        <f>IF(LEN(BR221)&gt;0,1,"")</f>
        <v/>
      </c>
      <c r="CA221" s="90" t="str">
        <f>IF(LEN(BR221)&gt;0,"VIRAL HEPATITIS PROJECT","")</f>
        <v/>
      </c>
      <c r="CB221" s="129" t="str">
        <f>IF(LEN(BR221)&gt;0,BM221*0.7,"")</f>
        <v/>
      </c>
      <c r="CC221" s="90">
        <f>BP221</f>
        <v>1663477.2000000004</v>
      </c>
      <c r="CD221" s="90" t="str">
        <f>IF(LEN(BR221)&gt;0,"70%","")</f>
        <v/>
      </c>
      <c r="CE221" s="90">
        <f>BS221</f>
        <v>185635</v>
      </c>
      <c r="CF221" s="90" t="str">
        <f>CA221</f>
        <v/>
      </c>
      <c r="CG221" s="90"/>
      <c r="CH221" s="90"/>
      <c r="CI221" s="90"/>
      <c r="CJ221" s="90"/>
      <c r="CK221" s="90"/>
      <c r="CL221" s="90"/>
      <c r="CM221" s="90" t="s">
        <v>826</v>
      </c>
      <c r="CN221" s="90"/>
      <c r="CO221" s="90"/>
      <c r="CP221" s="90"/>
      <c r="CQ221" s="90"/>
      <c r="CR221" s="90"/>
      <c r="CS221" s="90"/>
      <c r="CT221" s="137"/>
    </row>
    <row r="222" spans="1:98" ht="60">
      <c r="A222" s="89">
        <v>186056</v>
      </c>
      <c r="B222" s="90">
        <v>2020</v>
      </c>
      <c r="C222" s="90" t="s">
        <v>81</v>
      </c>
      <c r="D222" s="90" t="s">
        <v>827</v>
      </c>
      <c r="E222" s="125" t="s">
        <v>781</v>
      </c>
      <c r="F222" s="24" t="s">
        <v>828</v>
      </c>
      <c r="G222" s="90" t="s">
        <v>85</v>
      </c>
      <c r="H222" s="90" t="s">
        <v>117</v>
      </c>
      <c r="I222" s="90">
        <v>93</v>
      </c>
      <c r="J222" s="90">
        <v>157</v>
      </c>
      <c r="K222" s="90" t="s">
        <v>85</v>
      </c>
      <c r="L222" s="90" t="s">
        <v>829</v>
      </c>
      <c r="M222" s="90" t="s">
        <v>119</v>
      </c>
      <c r="N222" s="24" t="s">
        <v>830</v>
      </c>
      <c r="O222" s="24" t="str">
        <f>IF(ISNUMBER(SEARCH("Cancer",N222)),"Cancer",IF(ISNUMBER(SEARCH("health",N222)),"Public health",IF(ISNUMBER(SEARCH("disabilities",N222)),"Disabilities","Other")))</f>
        <v>Other</v>
      </c>
      <c r="P222" s="126">
        <v>2055783</v>
      </c>
      <c r="Q222" s="90" t="s">
        <v>85</v>
      </c>
      <c r="R222" s="90" t="str">
        <f>IF(P222&gt;20000000,"B","A")</f>
        <v>A</v>
      </c>
      <c r="S222" s="90" t="s">
        <v>90</v>
      </c>
      <c r="T222" s="90" t="s">
        <v>119</v>
      </c>
      <c r="U222" s="90" t="s">
        <v>119</v>
      </c>
      <c r="V222" s="90" t="s">
        <v>119</v>
      </c>
      <c r="W222" s="90" t="s">
        <v>119</v>
      </c>
      <c r="X222" s="90" t="s">
        <v>119</v>
      </c>
      <c r="Y222" s="90" t="s">
        <v>119</v>
      </c>
      <c r="Z222" s="90" t="s">
        <v>119</v>
      </c>
      <c r="AA222" s="90" t="s">
        <v>119</v>
      </c>
      <c r="AB222" s="90" t="s">
        <v>119</v>
      </c>
      <c r="AC222" s="90" t="s">
        <v>119</v>
      </c>
      <c r="AD222" s="90" t="s">
        <v>119</v>
      </c>
      <c r="AE222" s="24">
        <v>0</v>
      </c>
      <c r="AF222" s="90">
        <v>0</v>
      </c>
      <c r="AG222" s="24">
        <v>0</v>
      </c>
      <c r="AH222" s="90">
        <v>86985</v>
      </c>
      <c r="AI222" s="24" t="s">
        <v>94</v>
      </c>
      <c r="AJ222" s="24" t="s">
        <v>534</v>
      </c>
      <c r="AK222" s="90" t="s">
        <v>85</v>
      </c>
      <c r="AL222" s="90">
        <v>186056</v>
      </c>
      <c r="AM222" s="90" t="s">
        <v>81</v>
      </c>
      <c r="AN222" s="90" t="s">
        <v>827</v>
      </c>
      <c r="AO222" s="125" t="s">
        <v>781</v>
      </c>
      <c r="AP222" s="24" t="s">
        <v>830</v>
      </c>
      <c r="AQ222" s="90" t="s">
        <v>829</v>
      </c>
      <c r="AR222" s="24" t="s">
        <v>830</v>
      </c>
      <c r="AS222" s="90" t="s">
        <v>119</v>
      </c>
      <c r="AT222" s="24" t="s">
        <v>94</v>
      </c>
      <c r="AU222" s="90" t="s">
        <v>119</v>
      </c>
      <c r="AV222" s="90" t="str">
        <f>IF(ISNUMBER(SEARCH("disagree",AE222)),"N","Y")</f>
        <v>Y</v>
      </c>
      <c r="AW222" s="90" t="s">
        <v>119</v>
      </c>
      <c r="AX222" s="24" t="s">
        <v>119</v>
      </c>
      <c r="AY222" s="90" t="str">
        <f>CONCATENATE(AZ222,BA222,BB222,BC222)</f>
        <v/>
      </c>
      <c r="AZ222" s="90" t="str">
        <f>IF(ISNUMBER(SEARCH("Y",AC222)),"R","")</f>
        <v/>
      </c>
      <c r="BA222" s="90" t="str">
        <f>IF(ISNUMBER(SEARCH("Y",Y222)),"M","")</f>
        <v/>
      </c>
      <c r="BB222" s="90" t="str">
        <f>IF(ISNUMBER(SEARCH("Y",AB222)),"QC","")</f>
        <v/>
      </c>
      <c r="BC222" s="90" t="str">
        <f>IF(ISNUMBER(SEARCH("Y",Z222)),"S","")</f>
        <v/>
      </c>
      <c r="BD222" s="90"/>
      <c r="BE222" s="24" t="s">
        <v>119</v>
      </c>
      <c r="BF222" s="125" t="str">
        <f>IF(AND(AW222&gt;=56543,AW222&lt;=76543,LEN(AW222)&gt;0),"3 Feb 2020",IF(AND(AW222&gt;=66544,AW222&lt;=99999,LEN(AW222)&gt;0),"12 Sep 2020",""))</f>
        <v/>
      </c>
      <c r="BG222" s="125" t="str">
        <f>IF((AND(BF222="3 Feb 2020",LEN(BF222)&gt;0)),"Completed",IF((AND(BF222="12 Sep 2020",LEN(BF222)&gt;0)),"Pending",""))</f>
        <v/>
      </c>
      <c r="BH222" s="90" t="str">
        <f>IF((AND(BF222="3 Feb 2020",LEN(BF222)&gt;0)),"3 Feb 2020","")</f>
        <v/>
      </c>
      <c r="BI222" s="90">
        <v>186056</v>
      </c>
      <c r="BJ222" s="90" t="str">
        <f>L222</f>
        <v>7B92IR89516-71</v>
      </c>
      <c r="BK222" s="127">
        <v>43508</v>
      </c>
      <c r="BL222" s="127">
        <v>44239</v>
      </c>
      <c r="BM222" s="128">
        <f>P222*1.1</f>
        <v>2261361.3000000003</v>
      </c>
      <c r="BN222" s="129">
        <f>P222*0.9</f>
        <v>1850204.7</v>
      </c>
      <c r="BO222" s="130">
        <f>P222*0.8</f>
        <v>1644626.4000000001</v>
      </c>
      <c r="BP222" s="90">
        <f>IF(Z222="Y",BM222*0.4,BM222*1.05)</f>
        <v>2374429.3650000002</v>
      </c>
      <c r="BQ222" s="90">
        <f>BP222*0.8</f>
        <v>1899543.4920000003</v>
      </c>
      <c r="BR222" s="90" t="str">
        <f>IF(ISNUMBER(SEARCH("subrecipient",AI218)),P222*0.6,"")</f>
        <v/>
      </c>
      <c r="BS222" s="90">
        <v>186056</v>
      </c>
      <c r="BT222" s="90" t="str">
        <f>BJ222</f>
        <v>7B92IR89516-71</v>
      </c>
      <c r="BU222" s="127">
        <f>BK222</f>
        <v>43508</v>
      </c>
      <c r="BV222" s="127">
        <f>BL222</f>
        <v>44239</v>
      </c>
      <c r="BW222" s="90" t="str">
        <f>H222</f>
        <v>NIH</v>
      </c>
      <c r="BX222" s="90" t="str">
        <f>IF(H222="NATIONAL HEMOPHILIA FOUNDATION","Non Federal","Federal")</f>
        <v>Federal</v>
      </c>
      <c r="BY222" s="128">
        <f>BM222</f>
        <v>2261361.3000000003</v>
      </c>
      <c r="BZ222" s="90" t="str">
        <f>IF(LEN(BR222)&gt;0,1,"")</f>
        <v/>
      </c>
      <c r="CA222" s="90" t="str">
        <f>IF(LEN(BR222)&gt;0,"VIRAL HEPATITIS PROJECT","")</f>
        <v/>
      </c>
      <c r="CB222" s="129" t="str">
        <f>IF(LEN(BR222)&gt;0,BM222*0.7,"")</f>
        <v/>
      </c>
      <c r="CC222" s="90">
        <f>BP222</f>
        <v>2374429.3650000002</v>
      </c>
      <c r="CD222" s="90" t="str">
        <f>IF(LEN(BR222)&gt;0,"70%","")</f>
        <v/>
      </c>
      <c r="CE222" s="90">
        <f>BS222</f>
        <v>186056</v>
      </c>
      <c r="CF222" s="90" t="str">
        <f>CA222</f>
        <v/>
      </c>
      <c r="CG222" s="90"/>
      <c r="CH222" s="90"/>
      <c r="CI222" s="90"/>
      <c r="CJ222" s="90"/>
      <c r="CK222" s="90"/>
      <c r="CL222" s="90"/>
      <c r="CM222" s="90"/>
      <c r="CN222" s="90"/>
      <c r="CO222" s="90"/>
      <c r="CP222" s="90"/>
      <c r="CQ222" s="90"/>
      <c r="CR222" s="90"/>
      <c r="CS222" s="90"/>
      <c r="CT222" s="137"/>
    </row>
    <row r="223" spans="1:98" ht="60">
      <c r="A223" s="89">
        <v>186056</v>
      </c>
      <c r="B223" s="90">
        <v>2020</v>
      </c>
      <c r="C223" s="90" t="s">
        <v>81</v>
      </c>
      <c r="D223" s="90" t="s">
        <v>827</v>
      </c>
      <c r="E223" s="125" t="s">
        <v>784</v>
      </c>
      <c r="F223" s="24" t="s">
        <v>828</v>
      </c>
      <c r="G223" s="90" t="s">
        <v>85</v>
      </c>
      <c r="H223" s="90" t="s">
        <v>117</v>
      </c>
      <c r="I223" s="90">
        <v>93</v>
      </c>
      <c r="J223" s="90">
        <v>157</v>
      </c>
      <c r="K223" s="90" t="s">
        <v>85</v>
      </c>
      <c r="L223" s="90" t="s">
        <v>829</v>
      </c>
      <c r="M223" s="90" t="s">
        <v>119</v>
      </c>
      <c r="N223" s="24" t="s">
        <v>830</v>
      </c>
      <c r="O223" s="24" t="str">
        <f>IF(ISNUMBER(SEARCH("Cancer",N223)),"Cancer",IF(ISNUMBER(SEARCH("health",N223)),"Public health",IF(ISNUMBER(SEARCH("disabilities",N223)),"Disabilities","Other")))</f>
        <v>Other</v>
      </c>
      <c r="P223" s="126">
        <v>2055783</v>
      </c>
      <c r="Q223" s="90" t="s">
        <v>85</v>
      </c>
      <c r="R223" s="90" t="str">
        <f>IF(P223&gt;20000000,"B","A")</f>
        <v>A</v>
      </c>
      <c r="S223" s="90" t="s">
        <v>90</v>
      </c>
      <c r="T223" s="90" t="s">
        <v>119</v>
      </c>
      <c r="U223" s="90" t="s">
        <v>119</v>
      </c>
      <c r="V223" s="90" t="s">
        <v>119</v>
      </c>
      <c r="W223" s="90" t="s">
        <v>119</v>
      </c>
      <c r="X223" s="90" t="s">
        <v>119</v>
      </c>
      <c r="Y223" s="90" t="s">
        <v>119</v>
      </c>
      <c r="Z223" s="90" t="s">
        <v>119</v>
      </c>
      <c r="AA223" s="90" t="s">
        <v>119</v>
      </c>
      <c r="AB223" s="90" t="s">
        <v>119</v>
      </c>
      <c r="AC223" s="90" t="s">
        <v>119</v>
      </c>
      <c r="AD223" s="90" t="s">
        <v>119</v>
      </c>
      <c r="AE223" s="24">
        <v>0</v>
      </c>
      <c r="AF223" s="90">
        <v>0</v>
      </c>
      <c r="AG223" s="24">
        <v>0</v>
      </c>
      <c r="AH223" s="90">
        <v>86982</v>
      </c>
      <c r="AI223" s="24" t="s">
        <v>102</v>
      </c>
      <c r="AJ223" s="24" t="s">
        <v>103</v>
      </c>
      <c r="AK223" s="90" t="s">
        <v>85</v>
      </c>
      <c r="AL223" s="90">
        <v>186056</v>
      </c>
      <c r="AM223" s="90" t="s">
        <v>81</v>
      </c>
      <c r="AN223" s="90" t="s">
        <v>827</v>
      </c>
      <c r="AO223" s="125" t="s">
        <v>784</v>
      </c>
      <c r="AP223" s="24" t="s">
        <v>830</v>
      </c>
      <c r="AQ223" s="90" t="s">
        <v>829</v>
      </c>
      <c r="AR223" s="24" t="s">
        <v>830</v>
      </c>
      <c r="AS223" s="90" t="s">
        <v>119</v>
      </c>
      <c r="AT223" s="24" t="s">
        <v>102</v>
      </c>
      <c r="AU223" s="90" t="s">
        <v>119</v>
      </c>
      <c r="AV223" s="90" t="str">
        <f>IF(ISNUMBER(SEARCH("disagree",AE223)),"N","Y")</f>
        <v>Y</v>
      </c>
      <c r="AW223" s="90" t="s">
        <v>119</v>
      </c>
      <c r="AX223" s="24" t="s">
        <v>119</v>
      </c>
      <c r="AY223" s="90" t="str">
        <f>CONCATENATE(AZ223,BA223,BB223,BC223)</f>
        <v/>
      </c>
      <c r="AZ223" s="90" t="str">
        <f>IF(ISNUMBER(SEARCH("Y",AC223)),"R","")</f>
        <v/>
      </c>
      <c r="BA223" s="90" t="str">
        <f>IF(ISNUMBER(SEARCH("Y",Y223)),"M","")</f>
        <v/>
      </c>
      <c r="BB223" s="90" t="str">
        <f>IF(ISNUMBER(SEARCH("Y",AB223)),"QC","")</f>
        <v/>
      </c>
      <c r="BC223" s="90" t="str">
        <f>IF(ISNUMBER(SEARCH("Y",Z223)),"S","")</f>
        <v/>
      </c>
      <c r="BD223" s="90"/>
      <c r="BE223" s="24" t="s">
        <v>119</v>
      </c>
      <c r="BF223" s="125" t="str">
        <f>IF(AND(AW223&gt;=56543,AW223&lt;=76543,LEN(AW223)&gt;0),"3 Feb 2020",IF(AND(AW223&gt;=66544,AW223&lt;=99999,LEN(AW223)&gt;0),"12 Sep 2020",""))</f>
        <v/>
      </c>
      <c r="BG223" s="125" t="str">
        <f>IF((AND(BF223="3 Feb 2020",LEN(BF223)&gt;0)),"Completed",IF((AND(BF223="12 Sep 2020",LEN(BF223)&gt;0)),"Pending",""))</f>
        <v/>
      </c>
      <c r="BH223" s="90" t="str">
        <f>IF((AND(BF223="3 Feb 2020",LEN(BF223)&gt;0)),"3 Feb 2020","")</f>
        <v/>
      </c>
      <c r="BI223" s="90">
        <v>186056</v>
      </c>
      <c r="BJ223" s="90" t="str">
        <f>L223</f>
        <v>7B92IR89516-71</v>
      </c>
      <c r="BK223" s="127">
        <v>43508</v>
      </c>
      <c r="BL223" s="127">
        <v>44239</v>
      </c>
      <c r="BM223" s="128">
        <f>P223*1.1</f>
        <v>2261361.3000000003</v>
      </c>
      <c r="BN223" s="129">
        <f>P223*0.9</f>
        <v>1850204.7</v>
      </c>
      <c r="BO223" s="130">
        <f>P223*0.8</f>
        <v>1644626.4000000001</v>
      </c>
      <c r="BP223" s="90">
        <f>IF(Z223="Y",BM223*0.4,BM223*1.05)</f>
        <v>2374429.3650000002</v>
      </c>
      <c r="BQ223" s="90">
        <f>BP223*0.8</f>
        <v>1899543.4920000003</v>
      </c>
      <c r="BR223" s="90" t="str">
        <f>IF(ISNUMBER(SEARCH("subrecipient",AI219)),P223*0.6,"")</f>
        <v/>
      </c>
      <c r="BS223" s="90">
        <v>186056</v>
      </c>
      <c r="BT223" s="90" t="str">
        <f>BJ223</f>
        <v>7B92IR89516-71</v>
      </c>
      <c r="BU223" s="127">
        <f>BK223</f>
        <v>43508</v>
      </c>
      <c r="BV223" s="127">
        <f>BL223</f>
        <v>44239</v>
      </c>
      <c r="BW223" s="90" t="str">
        <f>H223</f>
        <v>NIH</v>
      </c>
      <c r="BX223" s="90" t="str">
        <f>IF(H223="NATIONAL HEMOPHILIA FOUNDATION","Non Federal","Federal")</f>
        <v>Federal</v>
      </c>
      <c r="BY223" s="128">
        <f>BM223</f>
        <v>2261361.3000000003</v>
      </c>
      <c r="BZ223" s="90" t="str">
        <f>IF(LEN(BR223)&gt;0,1,"")</f>
        <v/>
      </c>
      <c r="CA223" s="90" t="str">
        <f>IF(LEN(BR223)&gt;0,"VIRAL HEPATITIS PROJECT","")</f>
        <v/>
      </c>
      <c r="CB223" s="129" t="str">
        <f>IF(LEN(BR223)&gt;0,BM223*0.7,"")</f>
        <v/>
      </c>
      <c r="CC223" s="90">
        <f>BP223</f>
        <v>2374429.3650000002</v>
      </c>
      <c r="CD223" s="90" t="str">
        <f>IF(LEN(BR223)&gt;0,"70%","")</f>
        <v/>
      </c>
      <c r="CE223" s="90">
        <f>BS223</f>
        <v>186056</v>
      </c>
      <c r="CF223" s="90" t="str">
        <f>CA223</f>
        <v/>
      </c>
      <c r="CG223" s="90"/>
      <c r="CH223" s="90"/>
      <c r="CI223" s="90"/>
      <c r="CJ223" s="90"/>
      <c r="CK223" s="90"/>
      <c r="CL223" s="90"/>
      <c r="CM223" s="90"/>
      <c r="CN223" s="90"/>
      <c r="CO223" s="90"/>
      <c r="CP223" s="90"/>
      <c r="CQ223" s="90"/>
      <c r="CR223" s="90"/>
      <c r="CS223" s="90"/>
      <c r="CT223" s="137"/>
    </row>
    <row r="224" spans="1:98" ht="60">
      <c r="A224" s="89">
        <v>186056</v>
      </c>
      <c r="B224" s="90">
        <v>2020</v>
      </c>
      <c r="C224" s="90" t="s">
        <v>81</v>
      </c>
      <c r="D224" s="90" t="s">
        <v>827</v>
      </c>
      <c r="E224" s="125" t="s">
        <v>790</v>
      </c>
      <c r="F224" s="24" t="s">
        <v>828</v>
      </c>
      <c r="G224" s="90" t="s">
        <v>85</v>
      </c>
      <c r="H224" s="90" t="s">
        <v>117</v>
      </c>
      <c r="I224" s="90">
        <v>93</v>
      </c>
      <c r="J224" s="90">
        <v>157</v>
      </c>
      <c r="K224" s="90" t="s">
        <v>85</v>
      </c>
      <c r="L224" s="90" t="s">
        <v>829</v>
      </c>
      <c r="M224" s="90" t="s">
        <v>119</v>
      </c>
      <c r="N224" s="24" t="s">
        <v>830</v>
      </c>
      <c r="O224" s="24" t="str">
        <f>IF(ISNUMBER(SEARCH("Cancer",N224)),"Cancer",IF(ISNUMBER(SEARCH("health",N224)),"Public health",IF(ISNUMBER(SEARCH("disabilities",N224)),"Disabilities","Other")))</f>
        <v>Other</v>
      </c>
      <c r="P224" s="126">
        <v>2055783</v>
      </c>
      <c r="Q224" s="90" t="s">
        <v>85</v>
      </c>
      <c r="R224" s="90" t="str">
        <f>IF(P224&gt;20000000,"B","A")</f>
        <v>A</v>
      </c>
      <c r="S224" s="90" t="s">
        <v>90</v>
      </c>
      <c r="T224" s="90" t="s">
        <v>119</v>
      </c>
      <c r="U224" s="90" t="s">
        <v>119</v>
      </c>
      <c r="V224" s="90" t="s">
        <v>119</v>
      </c>
      <c r="W224" s="90" t="s">
        <v>119</v>
      </c>
      <c r="X224" s="90" t="s">
        <v>119</v>
      </c>
      <c r="Y224" s="90" t="s">
        <v>119</v>
      </c>
      <c r="Z224" s="90" t="s">
        <v>119</v>
      </c>
      <c r="AA224" s="90" t="s">
        <v>119</v>
      </c>
      <c r="AB224" s="90" t="s">
        <v>119</v>
      </c>
      <c r="AC224" s="90" t="s">
        <v>119</v>
      </c>
      <c r="AD224" s="90" t="s">
        <v>119</v>
      </c>
      <c r="AE224" s="24">
        <v>0</v>
      </c>
      <c r="AF224" s="90">
        <v>0</v>
      </c>
      <c r="AG224" s="24">
        <v>0</v>
      </c>
      <c r="AH224" s="90">
        <v>86983</v>
      </c>
      <c r="AI224" s="24" t="s">
        <v>110</v>
      </c>
      <c r="AJ224" s="24" t="s">
        <v>831</v>
      </c>
      <c r="AK224" s="90" t="s">
        <v>85</v>
      </c>
      <c r="AL224" s="90">
        <v>186056</v>
      </c>
      <c r="AM224" s="90" t="s">
        <v>81</v>
      </c>
      <c r="AN224" s="90" t="s">
        <v>827</v>
      </c>
      <c r="AO224" s="125" t="s">
        <v>790</v>
      </c>
      <c r="AP224" s="24" t="s">
        <v>830</v>
      </c>
      <c r="AQ224" s="90" t="s">
        <v>829</v>
      </c>
      <c r="AR224" s="24" t="s">
        <v>830</v>
      </c>
      <c r="AS224" s="90" t="s">
        <v>119</v>
      </c>
      <c r="AT224" s="24" t="s">
        <v>110</v>
      </c>
      <c r="AU224" s="90" t="s">
        <v>119</v>
      </c>
      <c r="AV224" s="90" t="str">
        <f>IF(ISNUMBER(SEARCH("disagree",AE224)),"N","Y")</f>
        <v>Y</v>
      </c>
      <c r="AW224" s="90" t="s">
        <v>119</v>
      </c>
      <c r="AX224" s="24" t="s">
        <v>119</v>
      </c>
      <c r="AY224" s="90" t="str">
        <f>CONCATENATE(AZ224,BA224,BB224,BC224)</f>
        <v/>
      </c>
      <c r="AZ224" s="90" t="str">
        <f>IF(ISNUMBER(SEARCH("Y",AC224)),"R","")</f>
        <v/>
      </c>
      <c r="BA224" s="90" t="str">
        <f>IF(ISNUMBER(SEARCH("Y",Y224)),"M","")</f>
        <v/>
      </c>
      <c r="BB224" s="90" t="str">
        <f>IF(ISNUMBER(SEARCH("Y",AB224)),"QC","")</f>
        <v/>
      </c>
      <c r="BC224" s="90" t="str">
        <f>IF(ISNUMBER(SEARCH("Y",Z224)),"S","")</f>
        <v/>
      </c>
      <c r="BD224" s="90"/>
      <c r="BE224" s="24" t="s">
        <v>119</v>
      </c>
      <c r="BF224" s="125" t="str">
        <f>IF(AND(AW224&gt;=56543,AW224&lt;=76543,LEN(AW224)&gt;0),"3 Feb 2020",IF(AND(AW224&gt;=66544,AW224&lt;=99999,LEN(AW224)&gt;0),"12 Sep 2020",""))</f>
        <v/>
      </c>
      <c r="BG224" s="125" t="str">
        <f>IF((AND(BF224="3 Feb 2020",LEN(BF224)&gt;0)),"Completed",IF((AND(BF224="12 Sep 2020",LEN(BF224)&gt;0)),"Pending",""))</f>
        <v/>
      </c>
      <c r="BH224" s="90" t="str">
        <f>IF((AND(BF224="3 Feb 2020",LEN(BF224)&gt;0)),"3 Feb 2020","")</f>
        <v/>
      </c>
      <c r="BI224" s="90">
        <v>186056</v>
      </c>
      <c r="BJ224" s="90" t="str">
        <f>L224</f>
        <v>7B92IR89516-71</v>
      </c>
      <c r="BK224" s="127">
        <v>43508</v>
      </c>
      <c r="BL224" s="127">
        <v>44239</v>
      </c>
      <c r="BM224" s="128">
        <f>P224*1.1</f>
        <v>2261361.3000000003</v>
      </c>
      <c r="BN224" s="129">
        <f>P224*0.9</f>
        <v>1850204.7</v>
      </c>
      <c r="BO224" s="130">
        <f>P224*0.8</f>
        <v>1644626.4000000001</v>
      </c>
      <c r="BP224" s="90">
        <f>IF(Z224="Y",BM224*0.4,BM224*1.05)</f>
        <v>2374429.3650000002</v>
      </c>
      <c r="BQ224" s="90">
        <f>BP224*0.8</f>
        <v>1899543.4920000003</v>
      </c>
      <c r="BR224" s="90" t="str">
        <f>IF(ISNUMBER(SEARCH("subrecipient",AI220)),P224*0.6,"")</f>
        <v/>
      </c>
      <c r="BS224" s="90">
        <v>186056</v>
      </c>
      <c r="BT224" s="90" t="str">
        <f>BJ224</f>
        <v>7B92IR89516-71</v>
      </c>
      <c r="BU224" s="127">
        <f>BK224</f>
        <v>43508</v>
      </c>
      <c r="BV224" s="127">
        <f>BL224</f>
        <v>44239</v>
      </c>
      <c r="BW224" s="90" t="str">
        <f>H224</f>
        <v>NIH</v>
      </c>
      <c r="BX224" s="90" t="str">
        <f>IF(H224="NATIONAL HEMOPHILIA FOUNDATION","Non Federal","Federal")</f>
        <v>Federal</v>
      </c>
      <c r="BY224" s="128">
        <f>BM224</f>
        <v>2261361.3000000003</v>
      </c>
      <c r="BZ224" s="90" t="str">
        <f>IF(LEN(BR224)&gt;0,1,"")</f>
        <v/>
      </c>
      <c r="CA224" s="90" t="str">
        <f>IF(LEN(BR224)&gt;0,"VIRAL HEPATITIS PROJECT","")</f>
        <v/>
      </c>
      <c r="CB224" s="129" t="str">
        <f>IF(LEN(BR224)&gt;0,BM224*0.7,"")</f>
        <v/>
      </c>
      <c r="CC224" s="90">
        <f>BP224</f>
        <v>2374429.3650000002</v>
      </c>
      <c r="CD224" s="90" t="str">
        <f>IF(LEN(BR224)&gt;0,"70%","")</f>
        <v/>
      </c>
      <c r="CE224" s="90">
        <f>BS224</f>
        <v>186056</v>
      </c>
      <c r="CF224" s="90" t="str">
        <f>CA224</f>
        <v/>
      </c>
      <c r="CG224" s="90"/>
      <c r="CH224" s="90"/>
      <c r="CI224" s="90"/>
      <c r="CJ224" s="90"/>
      <c r="CK224" s="90"/>
      <c r="CL224" s="90"/>
      <c r="CM224" s="90"/>
      <c r="CN224" s="90"/>
      <c r="CO224" s="90"/>
      <c r="CP224" s="90"/>
      <c r="CQ224" s="90"/>
      <c r="CR224" s="90"/>
      <c r="CS224" s="90"/>
      <c r="CT224" s="137"/>
    </row>
    <row r="225" spans="1:98" ht="135">
      <c r="A225" s="89">
        <v>186056</v>
      </c>
      <c r="B225" s="90">
        <v>2020</v>
      </c>
      <c r="C225" s="90" t="s">
        <v>81</v>
      </c>
      <c r="D225" s="90" t="s">
        <v>827</v>
      </c>
      <c r="E225" s="125" t="s">
        <v>791</v>
      </c>
      <c r="F225" s="24" t="s">
        <v>828</v>
      </c>
      <c r="G225" s="90" t="s">
        <v>85</v>
      </c>
      <c r="H225" s="90" t="s">
        <v>117</v>
      </c>
      <c r="I225" s="90">
        <v>93</v>
      </c>
      <c r="J225" s="90">
        <v>157</v>
      </c>
      <c r="K225" s="90" t="s">
        <v>85</v>
      </c>
      <c r="L225" s="90" t="s">
        <v>829</v>
      </c>
      <c r="M225" s="90" t="s">
        <v>119</v>
      </c>
      <c r="N225" s="24" t="s">
        <v>830</v>
      </c>
      <c r="O225" s="24" t="str">
        <f>IF(ISNUMBER(SEARCH("Cancer",N225)),"Cancer",IF(ISNUMBER(SEARCH("health",N225)),"Public health",IF(ISNUMBER(SEARCH("disabilities",N225)),"Disabilities","Other")))</f>
        <v>Other</v>
      </c>
      <c r="P225" s="126">
        <v>2055783</v>
      </c>
      <c r="Q225" s="90" t="s">
        <v>85</v>
      </c>
      <c r="R225" s="90" t="str">
        <f>IF(P225&gt;20000000,"B","A")</f>
        <v>A</v>
      </c>
      <c r="S225" s="90" t="s">
        <v>90</v>
      </c>
      <c r="T225" s="90" t="s">
        <v>119</v>
      </c>
      <c r="U225" s="90" t="s">
        <v>119</v>
      </c>
      <c r="V225" s="90" t="s">
        <v>119</v>
      </c>
      <c r="W225" s="90" t="s">
        <v>119</v>
      </c>
      <c r="X225" s="90" t="s">
        <v>119</v>
      </c>
      <c r="Y225" s="90" t="s">
        <v>119</v>
      </c>
      <c r="Z225" s="90" t="s">
        <v>119</v>
      </c>
      <c r="AA225" s="90" t="s">
        <v>119</v>
      </c>
      <c r="AB225" s="90" t="s">
        <v>119</v>
      </c>
      <c r="AC225" s="90" t="s">
        <v>119</v>
      </c>
      <c r="AD225" s="90" t="s">
        <v>119</v>
      </c>
      <c r="AE225" s="24">
        <v>0</v>
      </c>
      <c r="AF225" s="90">
        <v>0</v>
      </c>
      <c r="AG225" s="24">
        <v>0</v>
      </c>
      <c r="AH225" s="90">
        <v>86984</v>
      </c>
      <c r="AI225" s="24" t="s">
        <v>539</v>
      </c>
      <c r="AJ225" s="24" t="s">
        <v>832</v>
      </c>
      <c r="AK225" s="90" t="s">
        <v>85</v>
      </c>
      <c r="AL225" s="90">
        <v>186056</v>
      </c>
      <c r="AM225" s="90" t="s">
        <v>81</v>
      </c>
      <c r="AN225" s="90" t="s">
        <v>827</v>
      </c>
      <c r="AO225" s="125" t="s">
        <v>791</v>
      </c>
      <c r="AP225" s="24" t="s">
        <v>830</v>
      </c>
      <c r="AQ225" s="90" t="s">
        <v>829</v>
      </c>
      <c r="AR225" s="24" t="s">
        <v>830</v>
      </c>
      <c r="AS225" s="90" t="s">
        <v>119</v>
      </c>
      <c r="AT225" s="24" t="s">
        <v>539</v>
      </c>
      <c r="AU225" s="90" t="s">
        <v>119</v>
      </c>
      <c r="AV225" s="90" t="str">
        <f>IF(ISNUMBER(SEARCH("disagree",AE225)),"N","Y")</f>
        <v>Y</v>
      </c>
      <c r="AW225" s="90" t="s">
        <v>119</v>
      </c>
      <c r="AX225" s="24" t="s">
        <v>119</v>
      </c>
      <c r="AY225" s="90" t="str">
        <f>CONCATENATE(AZ225,BA225,BB225,BC225)</f>
        <v/>
      </c>
      <c r="AZ225" s="90" t="str">
        <f>IF(ISNUMBER(SEARCH("Y",AC225)),"R","")</f>
        <v/>
      </c>
      <c r="BA225" s="90" t="str">
        <f>IF(ISNUMBER(SEARCH("Y",Y225)),"M","")</f>
        <v/>
      </c>
      <c r="BB225" s="90" t="str">
        <f>IF(ISNUMBER(SEARCH("Y",AB225)),"QC","")</f>
        <v/>
      </c>
      <c r="BC225" s="90" t="str">
        <f>IF(ISNUMBER(SEARCH("Y",Z225)),"S","")</f>
        <v/>
      </c>
      <c r="BD225" s="90"/>
      <c r="BE225" s="24" t="s">
        <v>119</v>
      </c>
      <c r="BF225" s="125" t="str">
        <f>IF(AND(AW225&gt;=56543,AW225&lt;=76543,LEN(AW225)&gt;0),"3 Feb 2020",IF(AND(AW225&gt;=66544,AW225&lt;=99999,LEN(AW225)&gt;0),"12 Sep 2020",""))</f>
        <v/>
      </c>
      <c r="BG225" s="125" t="str">
        <f>IF((AND(BF225="3 Feb 2020",LEN(BF225)&gt;0)),"Completed",IF((AND(BF225="12 Sep 2020",LEN(BF225)&gt;0)),"Pending",""))</f>
        <v/>
      </c>
      <c r="BH225" s="90" t="str">
        <f>IF((AND(BF225="3 Feb 2020",LEN(BF225)&gt;0)),"3 Feb 2020","")</f>
        <v/>
      </c>
      <c r="BI225" s="90">
        <v>186056</v>
      </c>
      <c r="BJ225" s="90" t="str">
        <f>L225</f>
        <v>7B92IR89516-71</v>
      </c>
      <c r="BK225" s="127">
        <v>43508</v>
      </c>
      <c r="BL225" s="127">
        <v>44239</v>
      </c>
      <c r="BM225" s="128">
        <f>P225*1.1</f>
        <v>2261361.3000000003</v>
      </c>
      <c r="BN225" s="129">
        <f>P225*0.9</f>
        <v>1850204.7</v>
      </c>
      <c r="BO225" s="130">
        <f>P225*0.8</f>
        <v>1644626.4000000001</v>
      </c>
      <c r="BP225" s="90">
        <f>IF(Z225="Y",BM225*0.4,BM225*1.05)</f>
        <v>2374429.3650000002</v>
      </c>
      <c r="BQ225" s="90">
        <f>BP225*0.8</f>
        <v>1899543.4920000003</v>
      </c>
      <c r="BR225" s="90" t="str">
        <f>IF(ISNUMBER(SEARCH("subrecipient",AI221)),P225*0.6,"")</f>
        <v/>
      </c>
      <c r="BS225" s="90">
        <v>186056</v>
      </c>
      <c r="BT225" s="90" t="str">
        <f>BJ225</f>
        <v>7B92IR89516-71</v>
      </c>
      <c r="BU225" s="127">
        <f>BK225</f>
        <v>43508</v>
      </c>
      <c r="BV225" s="127">
        <f>BL225</f>
        <v>44239</v>
      </c>
      <c r="BW225" s="90" t="str">
        <f>H225</f>
        <v>NIH</v>
      </c>
      <c r="BX225" s="90" t="str">
        <f>IF(H225="NATIONAL HEMOPHILIA FOUNDATION","Non Federal","Federal")</f>
        <v>Federal</v>
      </c>
      <c r="BY225" s="128">
        <f>BM225</f>
        <v>2261361.3000000003</v>
      </c>
      <c r="BZ225" s="90" t="str">
        <f>IF(LEN(BR225)&gt;0,1,"")</f>
        <v/>
      </c>
      <c r="CA225" s="90" t="str">
        <f>IF(LEN(BR225)&gt;0,"VIRAL HEPATITIS PROJECT","")</f>
        <v/>
      </c>
      <c r="CB225" s="129" t="str">
        <f>IF(LEN(BR225)&gt;0,BM225*0.7,"")</f>
        <v/>
      </c>
      <c r="CC225" s="90">
        <f>BP225</f>
        <v>2374429.3650000002</v>
      </c>
      <c r="CD225" s="90" t="str">
        <f>IF(LEN(BR225)&gt;0,"70%","")</f>
        <v/>
      </c>
      <c r="CE225" s="90">
        <f>BS225</f>
        <v>186056</v>
      </c>
      <c r="CF225" s="90" t="str">
        <f>CA225</f>
        <v/>
      </c>
      <c r="CG225" s="90"/>
      <c r="CH225" s="90"/>
      <c r="CI225" s="90"/>
      <c r="CJ225" s="90"/>
      <c r="CK225" s="90"/>
      <c r="CL225" s="90"/>
      <c r="CM225" s="90"/>
      <c r="CN225" s="90"/>
      <c r="CO225" s="90"/>
      <c r="CP225" s="90"/>
      <c r="CQ225" s="90"/>
      <c r="CR225" s="90"/>
      <c r="CS225" s="90"/>
      <c r="CT225" s="137"/>
    </row>
    <row r="226" spans="1:98" ht="60">
      <c r="A226" s="89">
        <v>186056</v>
      </c>
      <c r="B226" s="90">
        <v>2020</v>
      </c>
      <c r="C226" s="90" t="s">
        <v>81</v>
      </c>
      <c r="D226" s="90" t="s">
        <v>827</v>
      </c>
      <c r="E226" s="125" t="s">
        <v>793</v>
      </c>
      <c r="F226" s="24" t="s">
        <v>828</v>
      </c>
      <c r="G226" s="90" t="s">
        <v>85</v>
      </c>
      <c r="H226" s="90" t="s">
        <v>117</v>
      </c>
      <c r="I226" s="90">
        <v>93</v>
      </c>
      <c r="J226" s="90">
        <v>157</v>
      </c>
      <c r="K226" s="90" t="s">
        <v>85</v>
      </c>
      <c r="L226" s="90" t="s">
        <v>829</v>
      </c>
      <c r="M226" s="90" t="s">
        <v>119</v>
      </c>
      <c r="N226" s="24" t="s">
        <v>830</v>
      </c>
      <c r="O226" s="24" t="str">
        <f>IF(ISNUMBER(SEARCH("Cancer",N226)),"Cancer",IF(ISNUMBER(SEARCH("health",N226)),"Public health",IF(ISNUMBER(SEARCH("disabilities",N226)),"Disabilities","Other")))</f>
        <v>Other</v>
      </c>
      <c r="P226" s="126">
        <v>2055783</v>
      </c>
      <c r="Q226" s="90" t="s">
        <v>85</v>
      </c>
      <c r="R226" s="90" t="str">
        <f>IF(P226&gt;20000000,"B","A")</f>
        <v>A</v>
      </c>
      <c r="S226" s="90" t="s">
        <v>90</v>
      </c>
      <c r="T226" s="90" t="s">
        <v>119</v>
      </c>
      <c r="U226" s="90" t="s">
        <v>119</v>
      </c>
      <c r="V226" s="90" t="s">
        <v>119</v>
      </c>
      <c r="W226" s="90" t="s">
        <v>119</v>
      </c>
      <c r="X226" s="90" t="s">
        <v>119</v>
      </c>
      <c r="Y226" s="90" t="s">
        <v>119</v>
      </c>
      <c r="Z226" s="90" t="s">
        <v>119</v>
      </c>
      <c r="AA226" s="90" t="s">
        <v>119</v>
      </c>
      <c r="AB226" s="90" t="s">
        <v>119</v>
      </c>
      <c r="AC226" s="90" t="s">
        <v>119</v>
      </c>
      <c r="AD226" s="90" t="s">
        <v>119</v>
      </c>
      <c r="AE226" s="24">
        <v>0</v>
      </c>
      <c r="AF226" s="90">
        <v>0</v>
      </c>
      <c r="AG226" s="24">
        <v>0</v>
      </c>
      <c r="AH226" s="90">
        <v>86986</v>
      </c>
      <c r="AI226" s="24" t="s">
        <v>542</v>
      </c>
      <c r="AJ226" s="24" t="s">
        <v>833</v>
      </c>
      <c r="AK226" s="90" t="s">
        <v>85</v>
      </c>
      <c r="AL226" s="90">
        <v>186056</v>
      </c>
      <c r="AM226" s="90" t="s">
        <v>81</v>
      </c>
      <c r="AN226" s="90" t="s">
        <v>827</v>
      </c>
      <c r="AO226" s="125" t="s">
        <v>793</v>
      </c>
      <c r="AP226" s="24" t="s">
        <v>830</v>
      </c>
      <c r="AQ226" s="90" t="s">
        <v>829</v>
      </c>
      <c r="AR226" s="24" t="s">
        <v>830</v>
      </c>
      <c r="AS226" s="90" t="s">
        <v>119</v>
      </c>
      <c r="AT226" s="24" t="s">
        <v>542</v>
      </c>
      <c r="AU226" s="90" t="s">
        <v>119</v>
      </c>
      <c r="AV226" s="90" t="str">
        <f>IF(ISNUMBER(SEARCH("disagree",AE226)),"N","Y")</f>
        <v>Y</v>
      </c>
      <c r="AW226" s="90" t="s">
        <v>119</v>
      </c>
      <c r="AX226" s="24" t="s">
        <v>119</v>
      </c>
      <c r="AY226" s="90" t="str">
        <f>CONCATENATE(AZ226,BA226,BB226,BC226)</f>
        <v/>
      </c>
      <c r="AZ226" s="90" t="str">
        <f>IF(ISNUMBER(SEARCH("Y",AC226)),"R","")</f>
        <v/>
      </c>
      <c r="BA226" s="90" t="str">
        <f>IF(ISNUMBER(SEARCH("Y",Y226)),"M","")</f>
        <v/>
      </c>
      <c r="BB226" s="90" t="str">
        <f>IF(ISNUMBER(SEARCH("Y",AB226)),"QC","")</f>
        <v/>
      </c>
      <c r="BC226" s="90" t="str">
        <f>IF(ISNUMBER(SEARCH("Y",Z226)),"S","")</f>
        <v/>
      </c>
      <c r="BD226" s="90"/>
      <c r="BE226" s="24" t="s">
        <v>119</v>
      </c>
      <c r="BF226" s="125" t="str">
        <f>IF(AND(AW226&gt;=56543,AW226&lt;=76543,LEN(AW226)&gt;0),"3 Feb 2020",IF(AND(AW226&gt;=66544,AW226&lt;=99999,LEN(AW226)&gt;0),"12 Sep 2020",""))</f>
        <v/>
      </c>
      <c r="BG226" s="125" t="str">
        <f>IF((AND(BF226="3 Feb 2020",LEN(BF226)&gt;0)),"Completed",IF((AND(BF226="12 Sep 2020",LEN(BF226)&gt;0)),"Pending",""))</f>
        <v/>
      </c>
      <c r="BH226" s="90" t="str">
        <f>IF((AND(BF226="3 Feb 2020",LEN(BF226)&gt;0)),"3 Feb 2020","")</f>
        <v/>
      </c>
      <c r="BI226" s="90">
        <v>186056</v>
      </c>
      <c r="BJ226" s="90" t="str">
        <f>L226</f>
        <v>7B92IR89516-71</v>
      </c>
      <c r="BK226" s="127">
        <v>43508</v>
      </c>
      <c r="BL226" s="127">
        <v>44239</v>
      </c>
      <c r="BM226" s="128">
        <f>P226*1.1</f>
        <v>2261361.3000000003</v>
      </c>
      <c r="BN226" s="129">
        <f>P226*0.9</f>
        <v>1850204.7</v>
      </c>
      <c r="BO226" s="130">
        <f>P226*0.8</f>
        <v>1644626.4000000001</v>
      </c>
      <c r="BP226" s="90">
        <f>IF(Z226="Y",BM226*0.4,BM226*1.05)</f>
        <v>2374429.3650000002</v>
      </c>
      <c r="BQ226" s="90">
        <f>BP226*0.8</f>
        <v>1899543.4920000003</v>
      </c>
      <c r="BR226" s="90" t="str">
        <f>IF(ISNUMBER(SEARCH("subrecipient",AI222)),P226*0.6,"")</f>
        <v/>
      </c>
      <c r="BS226" s="90">
        <v>186056</v>
      </c>
      <c r="BT226" s="90" t="str">
        <f>BJ226</f>
        <v>7B92IR89516-71</v>
      </c>
      <c r="BU226" s="127">
        <f>BK226</f>
        <v>43508</v>
      </c>
      <c r="BV226" s="127">
        <f>BL226</f>
        <v>44239</v>
      </c>
      <c r="BW226" s="90" t="str">
        <f>H226</f>
        <v>NIH</v>
      </c>
      <c r="BX226" s="90" t="str">
        <f>IF(H226="NATIONAL HEMOPHILIA FOUNDATION","Non Federal","Federal")</f>
        <v>Federal</v>
      </c>
      <c r="BY226" s="128">
        <f>BM226</f>
        <v>2261361.3000000003</v>
      </c>
      <c r="BZ226" s="90" t="str">
        <f>IF(LEN(BR226)&gt;0,1,"")</f>
        <v/>
      </c>
      <c r="CA226" s="90" t="str">
        <f>IF(LEN(BR226)&gt;0,"VIRAL HEPATITIS PROJECT","")</f>
        <v/>
      </c>
      <c r="CB226" s="129" t="str">
        <f>IF(LEN(BR226)&gt;0,BM226*0.7,"")</f>
        <v/>
      </c>
      <c r="CC226" s="90">
        <f>BP226</f>
        <v>2374429.3650000002</v>
      </c>
      <c r="CD226" s="90" t="str">
        <f>IF(LEN(BR226)&gt;0,"70%","")</f>
        <v/>
      </c>
      <c r="CE226" s="90">
        <f>BS226</f>
        <v>186056</v>
      </c>
      <c r="CF226" s="90" t="str">
        <f>CA226</f>
        <v/>
      </c>
      <c r="CG226" s="90"/>
      <c r="CH226" s="90"/>
      <c r="CI226" s="90"/>
      <c r="CJ226" s="90"/>
      <c r="CK226" s="90"/>
      <c r="CL226" s="90"/>
      <c r="CM226" s="90"/>
      <c r="CN226" s="90"/>
      <c r="CO226" s="90"/>
      <c r="CP226" s="90"/>
      <c r="CQ226" s="90"/>
      <c r="CR226" s="90"/>
      <c r="CS226" s="90"/>
      <c r="CT226" s="137"/>
    </row>
    <row r="227" spans="1:98" ht="165">
      <c r="A227" s="89">
        <v>186102</v>
      </c>
      <c r="B227" s="90">
        <v>2020</v>
      </c>
      <c r="C227" s="90" t="s">
        <v>81</v>
      </c>
      <c r="D227" s="90" t="s">
        <v>834</v>
      </c>
      <c r="E227" s="125" t="s">
        <v>780</v>
      </c>
      <c r="F227" s="24" t="s">
        <v>835</v>
      </c>
      <c r="G227" s="90" t="s">
        <v>85</v>
      </c>
      <c r="H227" s="90" t="s">
        <v>132</v>
      </c>
      <c r="I227" s="90">
        <v>93</v>
      </c>
      <c r="J227" s="90">
        <v>157</v>
      </c>
      <c r="K227" s="90" t="s">
        <v>85</v>
      </c>
      <c r="L227" s="90" t="s">
        <v>836</v>
      </c>
      <c r="M227" s="90" t="s">
        <v>85</v>
      </c>
      <c r="N227" s="24" t="s">
        <v>837</v>
      </c>
      <c r="O227" s="24" t="str">
        <f>IF(ISNUMBER(SEARCH("Cancer",N227)),"Cancer",IF(ISNUMBER(SEARCH("health",N227)),"Public health",IF(ISNUMBER(SEARCH("disabilities",N227)),"Disabilities","Other")))</f>
        <v>Public health</v>
      </c>
      <c r="P227" s="126">
        <v>2137334</v>
      </c>
      <c r="Q227" s="90" t="s">
        <v>85</v>
      </c>
      <c r="R227" s="90" t="str">
        <f>IF(P227&gt;20000000,"B","A")</f>
        <v>A</v>
      </c>
      <c r="S227" s="90" t="s">
        <v>90</v>
      </c>
      <c r="T227" s="90">
        <v>2582259</v>
      </c>
      <c r="U227" s="90" t="s">
        <v>91</v>
      </c>
      <c r="V227" s="90" t="s">
        <v>804</v>
      </c>
      <c r="W227" s="90" t="s">
        <v>85</v>
      </c>
      <c r="X227" s="90" t="s">
        <v>87</v>
      </c>
      <c r="Y227" s="90" t="s">
        <v>85</v>
      </c>
      <c r="Z227" s="90" t="s">
        <v>85</v>
      </c>
      <c r="AA227" s="90" t="s">
        <v>85</v>
      </c>
      <c r="AB227" s="90" t="s">
        <v>85</v>
      </c>
      <c r="AC227" s="90" t="s">
        <v>85</v>
      </c>
      <c r="AD227" s="90">
        <v>0</v>
      </c>
      <c r="AE227" s="24" t="s">
        <v>838</v>
      </c>
      <c r="AF227" s="90" t="s">
        <v>91</v>
      </c>
      <c r="AG227" s="24" t="s">
        <v>839</v>
      </c>
      <c r="AH227" s="90">
        <v>89238</v>
      </c>
      <c r="AI227" s="24" t="s">
        <v>94</v>
      </c>
      <c r="AJ227" s="24" t="s">
        <v>840</v>
      </c>
      <c r="AK227" s="90" t="s">
        <v>85</v>
      </c>
      <c r="AL227" s="90">
        <v>186102</v>
      </c>
      <c r="AM227" s="90" t="s">
        <v>81</v>
      </c>
      <c r="AN227" s="90" t="s">
        <v>834</v>
      </c>
      <c r="AO227" s="125" t="s">
        <v>780</v>
      </c>
      <c r="AP227" s="24" t="s">
        <v>837</v>
      </c>
      <c r="AQ227" s="90" t="s">
        <v>836</v>
      </c>
      <c r="AR227" s="24" t="s">
        <v>837</v>
      </c>
      <c r="AS227" s="90">
        <v>2582259</v>
      </c>
      <c r="AT227" s="24" t="s">
        <v>94</v>
      </c>
      <c r="AU227" s="90" t="s">
        <v>804</v>
      </c>
      <c r="AV227" s="90" t="str">
        <f>IF(ISNUMBER(SEARCH("disagree",AE227)),"N","Y")</f>
        <v>Y</v>
      </c>
      <c r="AW227" s="90" t="s">
        <v>119</v>
      </c>
      <c r="AX227" s="24" t="s">
        <v>119</v>
      </c>
      <c r="AY227" s="90" t="str">
        <f>CONCATENATE(AZ227,BA227,BB227,BC227)</f>
        <v/>
      </c>
      <c r="AZ227" s="90" t="str">
        <f>IF(ISNUMBER(SEARCH("Y",AC227)),"R","")</f>
        <v/>
      </c>
      <c r="BA227" s="90" t="str">
        <f>IF(ISNUMBER(SEARCH("Y",Y227)),"M","")</f>
        <v/>
      </c>
      <c r="BB227" s="90" t="str">
        <f>IF(ISNUMBER(SEARCH("Y",AB227)),"QC","")</f>
        <v/>
      </c>
      <c r="BC227" s="90" t="str">
        <f>IF(ISNUMBER(SEARCH("Y",Z227)),"S","")</f>
        <v/>
      </c>
      <c r="BD227" s="90"/>
      <c r="BE227" s="24" t="s">
        <v>119</v>
      </c>
      <c r="BF227" s="125" t="str">
        <f>IF(AND(AW227&gt;=56543,AW227&lt;=76543,LEN(AW227)&gt;0),"3 Feb 2020",IF(AND(AW227&gt;=66544,AW227&lt;=99999,LEN(AW227)&gt;0),"12 Sep 2020",""))</f>
        <v/>
      </c>
      <c r="BG227" s="125" t="str">
        <f>IF((AND(BF227="3 Feb 2020",LEN(BF227)&gt;0)),"Completed",IF((AND(BF227="12 Sep 2020",LEN(BF227)&gt;0)),"Pending",""))</f>
        <v/>
      </c>
      <c r="BH227" s="90" t="str">
        <f>IF((AND(BF227="3 Feb 2020",LEN(BF227)&gt;0)),"3 Feb 2020","")</f>
        <v/>
      </c>
      <c r="BI227" s="90">
        <v>186102</v>
      </c>
      <c r="BJ227" s="90" t="str">
        <f>L227</f>
        <v>1B69AR89609-97</v>
      </c>
      <c r="BK227" s="127">
        <v>43508</v>
      </c>
      <c r="BL227" s="127">
        <v>44239</v>
      </c>
      <c r="BM227" s="128">
        <f>P227*1.1</f>
        <v>2351067.4000000004</v>
      </c>
      <c r="BN227" s="129">
        <f>P227*0.9</f>
        <v>1923600.6</v>
      </c>
      <c r="BO227" s="130">
        <f>P227*0.8</f>
        <v>1709867.2000000002</v>
      </c>
      <c r="BP227" s="90">
        <f>IF(Z227="Y",BM227*0.4,BM227*1.05)</f>
        <v>2468620.7700000005</v>
      </c>
      <c r="BQ227" s="90">
        <f>BP227*0.8</f>
        <v>1974896.6160000004</v>
      </c>
      <c r="BR227" s="90" t="str">
        <f>IF(ISNUMBER(SEARCH("subrecipient",AI223)),P227*0.6,"")</f>
        <v/>
      </c>
      <c r="BS227" s="90">
        <v>186102</v>
      </c>
      <c r="BT227" s="90" t="str">
        <f>BJ227</f>
        <v>1B69AR89609-97</v>
      </c>
      <c r="BU227" s="127">
        <f>BK227</f>
        <v>43508</v>
      </c>
      <c r="BV227" s="127">
        <f>BL227</f>
        <v>44239</v>
      </c>
      <c r="BW227" s="90" t="str">
        <f>H227</f>
        <v>FDA</v>
      </c>
      <c r="BX227" s="90" t="str">
        <f>IF(H227="NATIONAL HEMOPHILIA FOUNDATION","Non Federal","Federal")</f>
        <v>Federal</v>
      </c>
      <c r="BY227" s="128">
        <f>BM227</f>
        <v>2351067.4000000004</v>
      </c>
      <c r="BZ227" s="90" t="str">
        <f>IF(LEN(BR227)&gt;0,1,"")</f>
        <v/>
      </c>
      <c r="CA227" s="90" t="str">
        <f>IF(LEN(BR227)&gt;0,"VIRAL HEPATITIS PROJECT","")</f>
        <v/>
      </c>
      <c r="CB227" s="129" t="str">
        <f>IF(LEN(BR227)&gt;0,BM227*0.7,"")</f>
        <v/>
      </c>
      <c r="CC227" s="90">
        <f>BP227</f>
        <v>2468620.7700000005</v>
      </c>
      <c r="CD227" s="90" t="str">
        <f>IF(LEN(BR227)&gt;0,"70%","")</f>
        <v/>
      </c>
      <c r="CE227" s="90">
        <f>BS227</f>
        <v>186102</v>
      </c>
      <c r="CF227" s="90" t="str">
        <f>CA227</f>
        <v/>
      </c>
      <c r="CG227" s="90"/>
      <c r="CH227" s="90"/>
      <c r="CI227" s="90"/>
      <c r="CJ227" s="90"/>
      <c r="CK227" s="90"/>
      <c r="CL227" s="90"/>
      <c r="CM227" s="90"/>
      <c r="CN227" s="90"/>
      <c r="CO227" s="90"/>
      <c r="CP227" s="90"/>
      <c r="CQ227" s="90"/>
      <c r="CR227" s="90"/>
      <c r="CS227" s="90"/>
      <c r="CT227" s="137"/>
    </row>
    <row r="228" spans="1:98" ht="120">
      <c r="A228" s="89">
        <v>186102</v>
      </c>
      <c r="B228" s="90">
        <v>2020</v>
      </c>
      <c r="C228" s="90" t="s">
        <v>81</v>
      </c>
      <c r="D228" s="90" t="s">
        <v>834</v>
      </c>
      <c r="E228" s="125" t="s">
        <v>781</v>
      </c>
      <c r="F228" s="24" t="s">
        <v>835</v>
      </c>
      <c r="G228" s="90" t="s">
        <v>85</v>
      </c>
      <c r="H228" s="90" t="s">
        <v>132</v>
      </c>
      <c r="I228" s="90">
        <v>93</v>
      </c>
      <c r="J228" s="90">
        <v>157</v>
      </c>
      <c r="K228" s="90" t="s">
        <v>85</v>
      </c>
      <c r="L228" s="90" t="s">
        <v>836</v>
      </c>
      <c r="M228" s="90" t="s">
        <v>85</v>
      </c>
      <c r="N228" s="24" t="s">
        <v>837</v>
      </c>
      <c r="O228" s="24" t="str">
        <f>IF(ISNUMBER(SEARCH("Cancer",N228)),"Cancer",IF(ISNUMBER(SEARCH("health",N228)),"Public health",IF(ISNUMBER(SEARCH("disabilities",N228)),"Disabilities","Other")))</f>
        <v>Public health</v>
      </c>
      <c r="P228" s="126">
        <v>2137334</v>
      </c>
      <c r="Q228" s="90" t="s">
        <v>85</v>
      </c>
      <c r="R228" s="90" t="str">
        <f>IF(P228&gt;20000000,"B","A")</f>
        <v>A</v>
      </c>
      <c r="S228" s="90" t="s">
        <v>90</v>
      </c>
      <c r="T228" s="90">
        <v>2582259</v>
      </c>
      <c r="U228" s="90" t="s">
        <v>91</v>
      </c>
      <c r="V228" s="90" t="s">
        <v>804</v>
      </c>
      <c r="W228" s="90" t="s">
        <v>85</v>
      </c>
      <c r="X228" s="90" t="s">
        <v>87</v>
      </c>
      <c r="Y228" s="90" t="s">
        <v>85</v>
      </c>
      <c r="Z228" s="90" t="s">
        <v>85</v>
      </c>
      <c r="AA228" s="90" t="s">
        <v>85</v>
      </c>
      <c r="AB228" s="90" t="s">
        <v>85</v>
      </c>
      <c r="AC228" s="90" t="s">
        <v>85</v>
      </c>
      <c r="AD228" s="90">
        <v>0</v>
      </c>
      <c r="AE228" s="24">
        <v>0</v>
      </c>
      <c r="AF228" s="90">
        <v>0</v>
      </c>
      <c r="AG228" s="24">
        <v>0</v>
      </c>
      <c r="AH228" s="90">
        <v>89240</v>
      </c>
      <c r="AI228" s="24" t="s">
        <v>102</v>
      </c>
      <c r="AJ228" s="24" t="s">
        <v>841</v>
      </c>
      <c r="AK228" s="90" t="s">
        <v>85</v>
      </c>
      <c r="AL228" s="90">
        <v>186102</v>
      </c>
      <c r="AM228" s="90" t="s">
        <v>81</v>
      </c>
      <c r="AN228" s="90" t="s">
        <v>834</v>
      </c>
      <c r="AO228" s="125" t="s">
        <v>781</v>
      </c>
      <c r="AP228" s="24" t="s">
        <v>837</v>
      </c>
      <c r="AQ228" s="90" t="s">
        <v>836</v>
      </c>
      <c r="AR228" s="24" t="s">
        <v>837</v>
      </c>
      <c r="AS228" s="90">
        <v>2582259</v>
      </c>
      <c r="AT228" s="24" t="s">
        <v>102</v>
      </c>
      <c r="AU228" s="90" t="s">
        <v>804</v>
      </c>
      <c r="AV228" s="90" t="str">
        <f>IF(ISNUMBER(SEARCH("disagree",AE228)),"N","Y")</f>
        <v>Y</v>
      </c>
      <c r="AW228" s="90" t="s">
        <v>119</v>
      </c>
      <c r="AX228" s="24" t="s">
        <v>119</v>
      </c>
      <c r="AY228" s="90" t="str">
        <f>CONCATENATE(AZ228,BA228,BB228,BC228)</f>
        <v/>
      </c>
      <c r="AZ228" s="90" t="str">
        <f>IF(ISNUMBER(SEARCH("Y",AC228)),"R","")</f>
        <v/>
      </c>
      <c r="BA228" s="90" t="str">
        <f>IF(ISNUMBER(SEARCH("Y",Y228)),"M","")</f>
        <v/>
      </c>
      <c r="BB228" s="90" t="str">
        <f>IF(ISNUMBER(SEARCH("Y",AB228)),"QC","")</f>
        <v/>
      </c>
      <c r="BC228" s="90" t="str">
        <f>IF(ISNUMBER(SEARCH("Y",Z228)),"S","")</f>
        <v/>
      </c>
      <c r="BD228" s="90"/>
      <c r="BE228" s="24" t="s">
        <v>119</v>
      </c>
      <c r="BF228" s="125" t="str">
        <f>IF(AND(AW228&gt;=56543,AW228&lt;=76543,LEN(AW228)&gt;0),"3 Feb 2020",IF(AND(AW228&gt;=66544,AW228&lt;=99999,LEN(AW228)&gt;0),"12 Sep 2020",""))</f>
        <v/>
      </c>
      <c r="BG228" s="125" t="str">
        <f>IF((AND(BF228="3 Feb 2020",LEN(BF228)&gt;0)),"Completed",IF((AND(BF228="12 Sep 2020",LEN(BF228)&gt;0)),"Pending",""))</f>
        <v/>
      </c>
      <c r="BH228" s="90" t="str">
        <f>IF((AND(BF228="3 Feb 2020",LEN(BF228)&gt;0)),"3 Feb 2020","")</f>
        <v/>
      </c>
      <c r="BI228" s="90">
        <v>186102</v>
      </c>
      <c r="BJ228" s="90" t="str">
        <f>L228</f>
        <v>1B69AR89609-97</v>
      </c>
      <c r="BK228" s="127">
        <v>43508</v>
      </c>
      <c r="BL228" s="127">
        <v>44239</v>
      </c>
      <c r="BM228" s="128">
        <f>P228*1.1</f>
        <v>2351067.4000000004</v>
      </c>
      <c r="BN228" s="129">
        <f>P228*0.9</f>
        <v>1923600.6</v>
      </c>
      <c r="BO228" s="130">
        <f>P228*0.8</f>
        <v>1709867.2000000002</v>
      </c>
      <c r="BP228" s="90">
        <f>IF(Z228="Y",BM228*0.4,BM228*1.05)</f>
        <v>2468620.7700000005</v>
      </c>
      <c r="BQ228" s="90">
        <f>BP228*0.8</f>
        <v>1974896.6160000004</v>
      </c>
      <c r="BR228" s="90" t="str">
        <f>IF(ISNUMBER(SEARCH("subrecipient",AI224)),P228*0.6,"")</f>
        <v/>
      </c>
      <c r="BS228" s="90">
        <v>186102</v>
      </c>
      <c r="BT228" s="90" t="str">
        <f>BJ228</f>
        <v>1B69AR89609-97</v>
      </c>
      <c r="BU228" s="127">
        <f>BK228</f>
        <v>43508</v>
      </c>
      <c r="BV228" s="127">
        <f>BL228</f>
        <v>44239</v>
      </c>
      <c r="BW228" s="90" t="str">
        <f>H228</f>
        <v>FDA</v>
      </c>
      <c r="BX228" s="90" t="str">
        <f>IF(H228="NATIONAL HEMOPHILIA FOUNDATION","Non Federal","Federal")</f>
        <v>Federal</v>
      </c>
      <c r="BY228" s="128">
        <f>BM228</f>
        <v>2351067.4000000004</v>
      </c>
      <c r="BZ228" s="90" t="str">
        <f>IF(LEN(BR228)&gt;0,1,"")</f>
        <v/>
      </c>
      <c r="CA228" s="90" t="str">
        <f>IF(LEN(BR228)&gt;0,"VIRAL HEPATITIS PROJECT","")</f>
        <v/>
      </c>
      <c r="CB228" s="129" t="str">
        <f>IF(LEN(BR228)&gt;0,BM228*0.7,"")</f>
        <v/>
      </c>
      <c r="CC228" s="90">
        <f>BP228</f>
        <v>2468620.7700000005</v>
      </c>
      <c r="CD228" s="90" t="str">
        <f>IF(LEN(BR228)&gt;0,"70%","")</f>
        <v/>
      </c>
      <c r="CE228" s="90">
        <f>BS228</f>
        <v>186102</v>
      </c>
      <c r="CF228" s="90" t="str">
        <f>CA228</f>
        <v/>
      </c>
      <c r="CG228" s="90"/>
      <c r="CH228" s="90"/>
      <c r="CI228" s="90"/>
      <c r="CJ228" s="90"/>
      <c r="CK228" s="90"/>
      <c r="CL228" s="90"/>
      <c r="CM228" s="90"/>
      <c r="CN228" s="90"/>
      <c r="CO228" s="90"/>
      <c r="CP228" s="90"/>
      <c r="CQ228" s="90"/>
      <c r="CR228" s="90"/>
      <c r="CS228" s="90"/>
      <c r="CT228" s="137"/>
    </row>
    <row r="229" spans="1:98" ht="120">
      <c r="A229" s="89">
        <v>186102</v>
      </c>
      <c r="B229" s="90">
        <v>2020</v>
      </c>
      <c r="C229" s="90" t="s">
        <v>81</v>
      </c>
      <c r="D229" s="90" t="s">
        <v>834</v>
      </c>
      <c r="E229" s="125" t="s">
        <v>784</v>
      </c>
      <c r="F229" s="24" t="s">
        <v>835</v>
      </c>
      <c r="G229" s="90" t="s">
        <v>85</v>
      </c>
      <c r="H229" s="90" t="s">
        <v>132</v>
      </c>
      <c r="I229" s="90">
        <v>93</v>
      </c>
      <c r="J229" s="90">
        <v>157</v>
      </c>
      <c r="K229" s="90" t="s">
        <v>85</v>
      </c>
      <c r="L229" s="90" t="s">
        <v>836</v>
      </c>
      <c r="M229" s="90" t="s">
        <v>85</v>
      </c>
      <c r="N229" s="24" t="s">
        <v>837</v>
      </c>
      <c r="O229" s="24" t="str">
        <f>IF(ISNUMBER(SEARCH("Cancer",N229)),"Cancer",IF(ISNUMBER(SEARCH("health",N229)),"Public health",IF(ISNUMBER(SEARCH("disabilities",N229)),"Disabilities","Other")))</f>
        <v>Public health</v>
      </c>
      <c r="P229" s="126">
        <v>2137334</v>
      </c>
      <c r="Q229" s="90" t="s">
        <v>85</v>
      </c>
      <c r="R229" s="90" t="str">
        <f>IF(P229&gt;20000000,"B","A")</f>
        <v>A</v>
      </c>
      <c r="S229" s="90" t="s">
        <v>90</v>
      </c>
      <c r="T229" s="90">
        <v>2582259</v>
      </c>
      <c r="U229" s="90" t="s">
        <v>91</v>
      </c>
      <c r="V229" s="90" t="s">
        <v>804</v>
      </c>
      <c r="W229" s="90" t="s">
        <v>85</v>
      </c>
      <c r="X229" s="90" t="s">
        <v>87</v>
      </c>
      <c r="Y229" s="90" t="s">
        <v>85</v>
      </c>
      <c r="Z229" s="90" t="s">
        <v>85</v>
      </c>
      <c r="AA229" s="90" t="s">
        <v>85</v>
      </c>
      <c r="AB229" s="90" t="s">
        <v>85</v>
      </c>
      <c r="AC229" s="90" t="s">
        <v>85</v>
      </c>
      <c r="AD229" s="90">
        <v>0</v>
      </c>
      <c r="AE229" s="24">
        <v>0</v>
      </c>
      <c r="AF229" s="90">
        <v>0</v>
      </c>
      <c r="AG229" s="24">
        <v>0</v>
      </c>
      <c r="AH229" s="90">
        <v>89239</v>
      </c>
      <c r="AI229" s="24" t="s">
        <v>110</v>
      </c>
      <c r="AJ229" s="24" t="s">
        <v>842</v>
      </c>
      <c r="AK229" s="90" t="s">
        <v>85</v>
      </c>
      <c r="AL229" s="90">
        <v>186102</v>
      </c>
      <c r="AM229" s="90" t="s">
        <v>81</v>
      </c>
      <c r="AN229" s="90" t="s">
        <v>834</v>
      </c>
      <c r="AO229" s="125" t="s">
        <v>784</v>
      </c>
      <c r="AP229" s="24" t="s">
        <v>837</v>
      </c>
      <c r="AQ229" s="90" t="s">
        <v>836</v>
      </c>
      <c r="AR229" s="24" t="s">
        <v>837</v>
      </c>
      <c r="AS229" s="90">
        <v>2582259</v>
      </c>
      <c r="AT229" s="24" t="s">
        <v>110</v>
      </c>
      <c r="AU229" s="90" t="s">
        <v>804</v>
      </c>
      <c r="AV229" s="90" t="str">
        <f>IF(ISNUMBER(SEARCH("disagree",AE229)),"N","Y")</f>
        <v>Y</v>
      </c>
      <c r="AW229" s="90" t="s">
        <v>119</v>
      </c>
      <c r="AX229" s="24" t="s">
        <v>119</v>
      </c>
      <c r="AY229" s="90" t="str">
        <f>CONCATENATE(AZ229,BA229,BB229,BC229)</f>
        <v/>
      </c>
      <c r="AZ229" s="90" t="str">
        <f>IF(ISNUMBER(SEARCH("Y",AC229)),"R","")</f>
        <v/>
      </c>
      <c r="BA229" s="90" t="str">
        <f>IF(ISNUMBER(SEARCH("Y",Y229)),"M","")</f>
        <v/>
      </c>
      <c r="BB229" s="90" t="str">
        <f>IF(ISNUMBER(SEARCH("Y",AB229)),"QC","")</f>
        <v/>
      </c>
      <c r="BC229" s="90" t="str">
        <f>IF(ISNUMBER(SEARCH("Y",Z229)),"S","")</f>
        <v/>
      </c>
      <c r="BD229" s="90"/>
      <c r="BE229" s="24" t="s">
        <v>119</v>
      </c>
      <c r="BF229" s="125" t="str">
        <f>IF(AND(AW229&gt;=56543,AW229&lt;=76543,LEN(AW229)&gt;0),"3 Feb 2020",IF(AND(AW229&gt;=66544,AW229&lt;=99999,LEN(AW229)&gt;0),"12 Sep 2020",""))</f>
        <v/>
      </c>
      <c r="BG229" s="125" t="str">
        <f>IF((AND(BF229="3 Feb 2020",LEN(BF229)&gt;0)),"Completed",IF((AND(BF229="12 Sep 2020",LEN(BF229)&gt;0)),"Pending",""))</f>
        <v/>
      </c>
      <c r="BH229" s="90" t="str">
        <f>IF((AND(BF229="3 Feb 2020",LEN(BF229)&gt;0)),"3 Feb 2020","")</f>
        <v/>
      </c>
      <c r="BI229" s="90">
        <v>186102</v>
      </c>
      <c r="BJ229" s="90" t="str">
        <f>L229</f>
        <v>1B69AR89609-97</v>
      </c>
      <c r="BK229" s="127">
        <v>43508</v>
      </c>
      <c r="BL229" s="127">
        <v>44239</v>
      </c>
      <c r="BM229" s="128">
        <f>P229*1.1</f>
        <v>2351067.4000000004</v>
      </c>
      <c r="BN229" s="129">
        <f>P229*0.9</f>
        <v>1923600.6</v>
      </c>
      <c r="BO229" s="130">
        <f>P229*0.8</f>
        <v>1709867.2000000002</v>
      </c>
      <c r="BP229" s="90">
        <f>IF(Z229="Y",BM229*0.4,BM229*1.05)</f>
        <v>2468620.7700000005</v>
      </c>
      <c r="BQ229" s="90">
        <f>BP229*0.8</f>
        <v>1974896.6160000004</v>
      </c>
      <c r="BR229" s="90" t="str">
        <f>IF(ISNUMBER(SEARCH("subrecipient",AI225)),P229*0.6,"")</f>
        <v/>
      </c>
      <c r="BS229" s="90">
        <v>186102</v>
      </c>
      <c r="BT229" s="90" t="str">
        <f>BJ229</f>
        <v>1B69AR89609-97</v>
      </c>
      <c r="BU229" s="127">
        <f>BK229</f>
        <v>43508</v>
      </c>
      <c r="BV229" s="127">
        <f>BL229</f>
        <v>44239</v>
      </c>
      <c r="BW229" s="90" t="str">
        <f>H229</f>
        <v>FDA</v>
      </c>
      <c r="BX229" s="90" t="str">
        <f>IF(H229="NATIONAL HEMOPHILIA FOUNDATION","Non Federal","Federal")</f>
        <v>Federal</v>
      </c>
      <c r="BY229" s="128">
        <f>BM229</f>
        <v>2351067.4000000004</v>
      </c>
      <c r="BZ229" s="90" t="str">
        <f>IF(LEN(BR229)&gt;0,1,"")</f>
        <v/>
      </c>
      <c r="CA229" s="90" t="str">
        <f>IF(LEN(BR229)&gt;0,"VIRAL HEPATITIS PROJECT","")</f>
        <v/>
      </c>
      <c r="CB229" s="129" t="str">
        <f>IF(LEN(BR229)&gt;0,BM229*0.7,"")</f>
        <v/>
      </c>
      <c r="CC229" s="90">
        <f>BP229</f>
        <v>2468620.7700000005</v>
      </c>
      <c r="CD229" s="90" t="str">
        <f>IF(LEN(BR229)&gt;0,"70%","")</f>
        <v/>
      </c>
      <c r="CE229" s="90">
        <f>BS229</f>
        <v>186102</v>
      </c>
      <c r="CF229" s="90" t="str">
        <f>CA229</f>
        <v/>
      </c>
      <c r="CG229" s="90"/>
      <c r="CH229" s="90"/>
      <c r="CI229" s="90"/>
      <c r="CJ229" s="90"/>
      <c r="CK229" s="90"/>
      <c r="CL229" s="90"/>
      <c r="CM229" s="90"/>
      <c r="CN229" s="90"/>
      <c r="CO229" s="90"/>
      <c r="CP229" s="90"/>
      <c r="CQ229" s="90"/>
      <c r="CR229" s="90"/>
      <c r="CS229" s="90"/>
      <c r="CT229" s="137"/>
    </row>
    <row r="230" spans="1:98" ht="165">
      <c r="A230" s="89">
        <v>186284</v>
      </c>
      <c r="B230" s="90">
        <v>2020</v>
      </c>
      <c r="C230" s="90" t="s">
        <v>81</v>
      </c>
      <c r="D230" s="90" t="s">
        <v>843</v>
      </c>
      <c r="E230" s="125" t="s">
        <v>790</v>
      </c>
      <c r="F230" s="24" t="s">
        <v>844</v>
      </c>
      <c r="G230" s="90" t="s">
        <v>85</v>
      </c>
      <c r="H230" s="90" t="s">
        <v>150</v>
      </c>
      <c r="I230" s="90">
        <v>93</v>
      </c>
      <c r="J230" s="90">
        <v>157</v>
      </c>
      <c r="K230" s="90" t="s">
        <v>85</v>
      </c>
      <c r="L230" s="90" t="s">
        <v>845</v>
      </c>
      <c r="M230" s="90" t="s">
        <v>119</v>
      </c>
      <c r="N230" s="24" t="s">
        <v>403</v>
      </c>
      <c r="O230" s="24" t="str">
        <f>IF(ISNUMBER(SEARCH("Cancer",N230)),"Cancer",IF(ISNUMBER(SEARCH("health",N230)),"Public health",IF(ISNUMBER(SEARCH("disabilities",N230)),"Disabilities","Other")))</f>
        <v>Other</v>
      </c>
      <c r="P230" s="126">
        <v>2257629</v>
      </c>
      <c r="Q230" s="90" t="s">
        <v>85</v>
      </c>
      <c r="R230" s="90" t="str">
        <f>IF(P230&gt;20000000,"B","A")</f>
        <v>A</v>
      </c>
      <c r="S230" s="90" t="s">
        <v>90</v>
      </c>
      <c r="T230" s="90" t="s">
        <v>119</v>
      </c>
      <c r="U230" s="90" t="s">
        <v>119</v>
      </c>
      <c r="V230" s="90" t="s">
        <v>119</v>
      </c>
      <c r="W230" s="90" t="s">
        <v>119</v>
      </c>
      <c r="X230" s="90" t="s">
        <v>119</v>
      </c>
      <c r="Y230" s="90" t="s">
        <v>119</v>
      </c>
      <c r="Z230" s="90" t="s">
        <v>119</v>
      </c>
      <c r="AA230" s="90" t="s">
        <v>119</v>
      </c>
      <c r="AB230" s="90" t="s">
        <v>119</v>
      </c>
      <c r="AC230" s="90" t="s">
        <v>119</v>
      </c>
      <c r="AD230" s="90" t="s">
        <v>119</v>
      </c>
      <c r="AE230" s="24">
        <v>0</v>
      </c>
      <c r="AF230" s="90">
        <v>0</v>
      </c>
      <c r="AG230" s="24">
        <v>0</v>
      </c>
      <c r="AH230" s="90">
        <v>89112</v>
      </c>
      <c r="AI230" s="24" t="s">
        <v>94</v>
      </c>
      <c r="AJ230" s="24" t="s">
        <v>846</v>
      </c>
      <c r="AK230" s="90" t="s">
        <v>85</v>
      </c>
      <c r="AL230" s="90">
        <v>186284</v>
      </c>
      <c r="AM230" s="90" t="s">
        <v>81</v>
      </c>
      <c r="AN230" s="90" t="s">
        <v>843</v>
      </c>
      <c r="AO230" s="125" t="s">
        <v>790</v>
      </c>
      <c r="AP230" s="24" t="s">
        <v>403</v>
      </c>
      <c r="AQ230" s="90" t="s">
        <v>845</v>
      </c>
      <c r="AR230" s="24" t="s">
        <v>403</v>
      </c>
      <c r="AS230" s="90" t="s">
        <v>119</v>
      </c>
      <c r="AT230" s="24" t="s">
        <v>94</v>
      </c>
      <c r="AU230" s="90" t="s">
        <v>119</v>
      </c>
      <c r="AV230" s="90" t="str">
        <f>IF(ISNUMBER(SEARCH("disagree",AE230)),"N","Y")</f>
        <v>Y</v>
      </c>
      <c r="AW230" s="90" t="s">
        <v>119</v>
      </c>
      <c r="AX230" s="24" t="s">
        <v>119</v>
      </c>
      <c r="AY230" s="90" t="str">
        <f>CONCATENATE(AZ230,BA230,BB230,BC230)</f>
        <v/>
      </c>
      <c r="AZ230" s="90" t="str">
        <f>IF(ISNUMBER(SEARCH("Y",AC230)),"R","")</f>
        <v/>
      </c>
      <c r="BA230" s="90" t="str">
        <f>IF(ISNUMBER(SEARCH("Y",Y230)),"M","")</f>
        <v/>
      </c>
      <c r="BB230" s="90" t="str">
        <f>IF(ISNUMBER(SEARCH("Y",AB230)),"QC","")</f>
        <v/>
      </c>
      <c r="BC230" s="90" t="str">
        <f>IF(ISNUMBER(SEARCH("Y",Z230)),"S","")</f>
        <v/>
      </c>
      <c r="BD230" s="90"/>
      <c r="BE230" s="24" t="s">
        <v>119</v>
      </c>
      <c r="BF230" s="125" t="str">
        <f>IF(AND(AW230&gt;=56543,AW230&lt;=76543,LEN(AW230)&gt;0),"3 Feb 2020",IF(AND(AW230&gt;=66544,AW230&lt;=99999,LEN(AW230)&gt;0),"12 Sep 2020",""))</f>
        <v/>
      </c>
      <c r="BG230" s="125" t="str">
        <f>IF((AND(BF230="3 Feb 2020",LEN(BF230)&gt;0)),"Completed",IF((AND(BF230="12 Sep 2020",LEN(BF230)&gt;0)),"Pending",""))</f>
        <v/>
      </c>
      <c r="BH230" s="90" t="str">
        <f>IF((AND(BF230="3 Feb 2020",LEN(BF230)&gt;0)),"3 Feb 2020","")</f>
        <v/>
      </c>
      <c r="BI230" s="90">
        <v>186284</v>
      </c>
      <c r="BJ230" s="90" t="str">
        <f>L230</f>
        <v>3B25IR83588-86</v>
      </c>
      <c r="BK230" s="127">
        <v>43508</v>
      </c>
      <c r="BL230" s="127">
        <v>44239</v>
      </c>
      <c r="BM230" s="128">
        <f>P230*1.1</f>
        <v>2483391.9000000004</v>
      </c>
      <c r="BN230" s="129">
        <f>P230*0.9</f>
        <v>2031866.1</v>
      </c>
      <c r="BO230" s="130">
        <f>P230*0.8</f>
        <v>1806103.2000000002</v>
      </c>
      <c r="BP230" s="90">
        <f>IF(Z230="Y",BM230*0.4,BM230*1.05)</f>
        <v>2607561.4950000006</v>
      </c>
      <c r="BQ230" s="90">
        <f>BP230*0.8</f>
        <v>2086049.1960000005</v>
      </c>
      <c r="BR230" s="90" t="str">
        <f>IF(ISNUMBER(SEARCH("subrecipient",AI226)),P230*0.6,"")</f>
        <v/>
      </c>
      <c r="BS230" s="90">
        <v>186284</v>
      </c>
      <c r="BT230" s="90" t="str">
        <f>BJ230</f>
        <v>3B25IR83588-86</v>
      </c>
      <c r="BU230" s="127">
        <f>BK230</f>
        <v>43508</v>
      </c>
      <c r="BV230" s="127">
        <f>BL230</f>
        <v>44239</v>
      </c>
      <c r="BW230" s="90" t="str">
        <f>H230</f>
        <v>ACF</v>
      </c>
      <c r="BX230" s="90" t="str">
        <f>IF(H230="NATIONAL HEMOPHILIA FOUNDATION","Non Federal","Federal")</f>
        <v>Federal</v>
      </c>
      <c r="BY230" s="128">
        <f>BM230</f>
        <v>2483391.9000000004</v>
      </c>
      <c r="BZ230" s="90" t="str">
        <f>IF(LEN(BR230)&gt;0,1,"")</f>
        <v/>
      </c>
      <c r="CA230" s="90" t="str">
        <f>IF(LEN(BR230)&gt;0,"VIRAL HEPATITIS PROJECT","")</f>
        <v/>
      </c>
      <c r="CB230" s="129" t="str">
        <f>IF(LEN(BR230)&gt;0,BM230*0.7,"")</f>
        <v/>
      </c>
      <c r="CC230" s="90">
        <f>BP230</f>
        <v>2607561.4950000006</v>
      </c>
      <c r="CD230" s="90" t="str">
        <f>IF(LEN(BR230)&gt;0,"70%","")</f>
        <v/>
      </c>
      <c r="CE230" s="90">
        <f>BS230</f>
        <v>186284</v>
      </c>
      <c r="CF230" s="90" t="str">
        <f>CA230</f>
        <v/>
      </c>
      <c r="CG230" s="90"/>
      <c r="CH230" s="90"/>
      <c r="CI230" s="90"/>
      <c r="CJ230" s="90"/>
      <c r="CK230" s="90"/>
      <c r="CL230" s="90"/>
      <c r="CM230" s="90"/>
      <c r="CN230" s="90"/>
      <c r="CO230" s="90"/>
      <c r="CP230" s="90"/>
      <c r="CQ230" s="90"/>
      <c r="CR230" s="90"/>
      <c r="CS230" s="90"/>
      <c r="CT230" s="137"/>
    </row>
    <row r="231" spans="1:98" ht="75">
      <c r="A231" s="89">
        <v>186284</v>
      </c>
      <c r="B231" s="90">
        <v>2020</v>
      </c>
      <c r="C231" s="90" t="s">
        <v>81</v>
      </c>
      <c r="D231" s="90" t="s">
        <v>843</v>
      </c>
      <c r="E231" s="125" t="s">
        <v>791</v>
      </c>
      <c r="F231" s="24" t="s">
        <v>844</v>
      </c>
      <c r="G231" s="90" t="s">
        <v>85</v>
      </c>
      <c r="H231" s="90" t="s">
        <v>150</v>
      </c>
      <c r="I231" s="90">
        <v>93</v>
      </c>
      <c r="J231" s="90">
        <v>157</v>
      </c>
      <c r="K231" s="90" t="s">
        <v>85</v>
      </c>
      <c r="L231" s="90" t="s">
        <v>845</v>
      </c>
      <c r="M231" s="90" t="s">
        <v>119</v>
      </c>
      <c r="N231" s="24" t="s">
        <v>403</v>
      </c>
      <c r="O231" s="24" t="str">
        <f>IF(ISNUMBER(SEARCH("Cancer",N231)),"Cancer",IF(ISNUMBER(SEARCH("health",N231)),"Public health",IF(ISNUMBER(SEARCH("disabilities",N231)),"Disabilities","Other")))</f>
        <v>Other</v>
      </c>
      <c r="P231" s="126">
        <v>2257629</v>
      </c>
      <c r="Q231" s="90" t="s">
        <v>85</v>
      </c>
      <c r="R231" s="90" t="str">
        <f>IF(P231&gt;20000000,"B","A")</f>
        <v>A</v>
      </c>
      <c r="S231" s="90" t="s">
        <v>90</v>
      </c>
      <c r="T231" s="90" t="s">
        <v>119</v>
      </c>
      <c r="U231" s="90" t="s">
        <v>119</v>
      </c>
      <c r="V231" s="90" t="s">
        <v>119</v>
      </c>
      <c r="W231" s="90" t="s">
        <v>119</v>
      </c>
      <c r="X231" s="90" t="s">
        <v>119</v>
      </c>
      <c r="Y231" s="90" t="s">
        <v>119</v>
      </c>
      <c r="Z231" s="90" t="s">
        <v>119</v>
      </c>
      <c r="AA231" s="90" t="s">
        <v>119</v>
      </c>
      <c r="AB231" s="90" t="s">
        <v>119</v>
      </c>
      <c r="AC231" s="90" t="s">
        <v>119</v>
      </c>
      <c r="AD231" s="90" t="s">
        <v>119</v>
      </c>
      <c r="AE231" s="24">
        <v>0</v>
      </c>
      <c r="AF231" s="90">
        <v>0</v>
      </c>
      <c r="AG231" s="24">
        <v>0</v>
      </c>
      <c r="AH231" s="90">
        <v>89113</v>
      </c>
      <c r="AI231" s="24" t="s">
        <v>102</v>
      </c>
      <c r="AJ231" s="24" t="s">
        <v>847</v>
      </c>
      <c r="AK231" s="90" t="s">
        <v>85</v>
      </c>
      <c r="AL231" s="90">
        <v>186284</v>
      </c>
      <c r="AM231" s="90" t="s">
        <v>81</v>
      </c>
      <c r="AN231" s="90" t="s">
        <v>843</v>
      </c>
      <c r="AO231" s="125" t="s">
        <v>791</v>
      </c>
      <c r="AP231" s="24" t="s">
        <v>403</v>
      </c>
      <c r="AQ231" s="90" t="s">
        <v>845</v>
      </c>
      <c r="AR231" s="24" t="s">
        <v>403</v>
      </c>
      <c r="AS231" s="90" t="s">
        <v>119</v>
      </c>
      <c r="AT231" s="24" t="s">
        <v>102</v>
      </c>
      <c r="AU231" s="90" t="s">
        <v>119</v>
      </c>
      <c r="AV231" s="90" t="str">
        <f>IF(ISNUMBER(SEARCH("disagree",AE231)),"N","Y")</f>
        <v>Y</v>
      </c>
      <c r="AW231" s="90" t="s">
        <v>119</v>
      </c>
      <c r="AX231" s="24" t="s">
        <v>119</v>
      </c>
      <c r="AY231" s="90" t="str">
        <f>CONCATENATE(AZ231,BA231,BB231,BC231)</f>
        <v/>
      </c>
      <c r="AZ231" s="90" t="str">
        <f>IF(ISNUMBER(SEARCH("Y",AC231)),"R","")</f>
        <v/>
      </c>
      <c r="BA231" s="90" t="str">
        <f>IF(ISNUMBER(SEARCH("Y",Y231)),"M","")</f>
        <v/>
      </c>
      <c r="BB231" s="90" t="str">
        <f>IF(ISNUMBER(SEARCH("Y",AB231)),"QC","")</f>
        <v/>
      </c>
      <c r="BC231" s="90" t="str">
        <f>IF(ISNUMBER(SEARCH("Y",Z231)),"S","")</f>
        <v/>
      </c>
      <c r="BD231" s="90"/>
      <c r="BE231" s="24" t="s">
        <v>119</v>
      </c>
      <c r="BF231" s="125" t="str">
        <f>IF(AND(AW231&gt;=56543,AW231&lt;=76543,LEN(AW231)&gt;0),"3 Feb 2020",IF(AND(AW231&gt;=66544,AW231&lt;=99999,LEN(AW231)&gt;0),"12 Sep 2020",""))</f>
        <v/>
      </c>
      <c r="BG231" s="125" t="str">
        <f>IF((AND(BF231="3 Feb 2020",LEN(BF231)&gt;0)),"Completed",IF((AND(BF231="12 Sep 2020",LEN(BF231)&gt;0)),"Pending",""))</f>
        <v/>
      </c>
      <c r="BH231" s="90" t="str">
        <f>IF((AND(BF231="3 Feb 2020",LEN(BF231)&gt;0)),"3 Feb 2020","")</f>
        <v/>
      </c>
      <c r="BI231" s="90">
        <v>186284</v>
      </c>
      <c r="BJ231" s="90" t="str">
        <f>L231</f>
        <v>3B25IR83588-86</v>
      </c>
      <c r="BK231" s="127">
        <v>43508</v>
      </c>
      <c r="BL231" s="127">
        <v>44239</v>
      </c>
      <c r="BM231" s="128">
        <f>P231*1.1</f>
        <v>2483391.9000000004</v>
      </c>
      <c r="BN231" s="129">
        <f>P231*0.9</f>
        <v>2031866.1</v>
      </c>
      <c r="BO231" s="130">
        <f>P231*0.8</f>
        <v>1806103.2000000002</v>
      </c>
      <c r="BP231" s="90">
        <f>IF(Z231="Y",BM231*0.4,BM231*1.05)</f>
        <v>2607561.4950000006</v>
      </c>
      <c r="BQ231" s="90">
        <f>BP231*0.8</f>
        <v>2086049.1960000005</v>
      </c>
      <c r="BR231" s="90" t="str">
        <f>IF(ISNUMBER(SEARCH("subrecipient",AI227)),P231*0.6,"")</f>
        <v/>
      </c>
      <c r="BS231" s="90">
        <v>186284</v>
      </c>
      <c r="BT231" s="90" t="str">
        <f>BJ231</f>
        <v>3B25IR83588-86</v>
      </c>
      <c r="BU231" s="127">
        <f>BK231</f>
        <v>43508</v>
      </c>
      <c r="BV231" s="127">
        <f>BL231</f>
        <v>44239</v>
      </c>
      <c r="BW231" s="90" t="str">
        <f>H231</f>
        <v>ACF</v>
      </c>
      <c r="BX231" s="90" t="str">
        <f>IF(H231="NATIONAL HEMOPHILIA FOUNDATION","Non Federal","Federal")</f>
        <v>Federal</v>
      </c>
      <c r="BY231" s="128">
        <f>BM231</f>
        <v>2483391.9000000004</v>
      </c>
      <c r="BZ231" s="90" t="str">
        <f>IF(LEN(BR231)&gt;0,1,"")</f>
        <v/>
      </c>
      <c r="CA231" s="90" t="str">
        <f>IF(LEN(BR231)&gt;0,"VIRAL HEPATITIS PROJECT","")</f>
        <v/>
      </c>
      <c r="CB231" s="129" t="str">
        <f>IF(LEN(BR231)&gt;0,BM231*0.7,"")</f>
        <v/>
      </c>
      <c r="CC231" s="90">
        <f>BP231</f>
        <v>2607561.4950000006</v>
      </c>
      <c r="CD231" s="90" t="str">
        <f>IF(LEN(BR231)&gt;0,"70%","")</f>
        <v/>
      </c>
      <c r="CE231" s="90">
        <f>BS231</f>
        <v>186284</v>
      </c>
      <c r="CF231" s="90" t="str">
        <f>CA231</f>
        <v/>
      </c>
      <c r="CG231" s="90"/>
      <c r="CH231" s="90"/>
      <c r="CI231" s="90"/>
      <c r="CJ231" s="90"/>
      <c r="CK231" s="90"/>
      <c r="CL231" s="90"/>
      <c r="CM231" s="90"/>
      <c r="CN231" s="90"/>
      <c r="CO231" s="90"/>
      <c r="CP231" s="90"/>
      <c r="CQ231" s="90"/>
      <c r="CR231" s="90"/>
      <c r="CS231" s="90"/>
      <c r="CT231" s="137"/>
    </row>
    <row r="232" spans="1:98" ht="90">
      <c r="A232" s="89">
        <v>186284</v>
      </c>
      <c r="B232" s="90">
        <v>2020</v>
      </c>
      <c r="C232" s="90" t="s">
        <v>81</v>
      </c>
      <c r="D232" s="90" t="s">
        <v>843</v>
      </c>
      <c r="E232" s="125" t="s">
        <v>793</v>
      </c>
      <c r="F232" s="24" t="s">
        <v>844</v>
      </c>
      <c r="G232" s="90" t="s">
        <v>85</v>
      </c>
      <c r="H232" s="90" t="s">
        <v>150</v>
      </c>
      <c r="I232" s="90">
        <v>93</v>
      </c>
      <c r="J232" s="90">
        <v>157</v>
      </c>
      <c r="K232" s="90" t="s">
        <v>85</v>
      </c>
      <c r="L232" s="90" t="s">
        <v>845</v>
      </c>
      <c r="M232" s="90" t="s">
        <v>119</v>
      </c>
      <c r="N232" s="24" t="s">
        <v>403</v>
      </c>
      <c r="O232" s="24" t="str">
        <f>IF(ISNUMBER(SEARCH("Cancer",N232)),"Cancer",IF(ISNUMBER(SEARCH("health",N232)),"Public health",IF(ISNUMBER(SEARCH("disabilities",N232)),"Disabilities","Other")))</f>
        <v>Other</v>
      </c>
      <c r="P232" s="126">
        <v>2257629</v>
      </c>
      <c r="Q232" s="90" t="s">
        <v>85</v>
      </c>
      <c r="R232" s="90" t="str">
        <f>IF(P232&gt;20000000,"B","A")</f>
        <v>A</v>
      </c>
      <c r="S232" s="90" t="s">
        <v>90</v>
      </c>
      <c r="T232" s="90" t="s">
        <v>119</v>
      </c>
      <c r="U232" s="90" t="s">
        <v>119</v>
      </c>
      <c r="V232" s="90" t="s">
        <v>119</v>
      </c>
      <c r="W232" s="90" t="s">
        <v>119</v>
      </c>
      <c r="X232" s="90" t="s">
        <v>119</v>
      </c>
      <c r="Y232" s="90" t="s">
        <v>119</v>
      </c>
      <c r="Z232" s="90" t="s">
        <v>119</v>
      </c>
      <c r="AA232" s="90" t="s">
        <v>119</v>
      </c>
      <c r="AB232" s="90" t="s">
        <v>119</v>
      </c>
      <c r="AC232" s="90" t="s">
        <v>119</v>
      </c>
      <c r="AD232" s="90" t="s">
        <v>119</v>
      </c>
      <c r="AE232" s="24">
        <v>0</v>
      </c>
      <c r="AF232" s="90">
        <v>0</v>
      </c>
      <c r="AG232" s="24">
        <v>0</v>
      </c>
      <c r="AH232" s="90">
        <v>89114</v>
      </c>
      <c r="AI232" s="24" t="s">
        <v>848</v>
      </c>
      <c r="AJ232" s="24" t="s">
        <v>849</v>
      </c>
      <c r="AK232" s="90" t="s">
        <v>85</v>
      </c>
      <c r="AL232" s="90">
        <v>186284</v>
      </c>
      <c r="AM232" s="90" t="s">
        <v>81</v>
      </c>
      <c r="AN232" s="90" t="s">
        <v>843</v>
      </c>
      <c r="AO232" s="125" t="s">
        <v>793</v>
      </c>
      <c r="AP232" s="24" t="s">
        <v>403</v>
      </c>
      <c r="AQ232" s="90" t="s">
        <v>845</v>
      </c>
      <c r="AR232" s="24" t="s">
        <v>403</v>
      </c>
      <c r="AS232" s="90" t="s">
        <v>119</v>
      </c>
      <c r="AT232" s="24" t="s">
        <v>848</v>
      </c>
      <c r="AU232" s="90" t="s">
        <v>119</v>
      </c>
      <c r="AV232" s="90" t="str">
        <f>IF(ISNUMBER(SEARCH("disagree",AE232)),"N","Y")</f>
        <v>Y</v>
      </c>
      <c r="AW232" s="90" t="s">
        <v>119</v>
      </c>
      <c r="AX232" s="24" t="s">
        <v>119</v>
      </c>
      <c r="AY232" s="90" t="str">
        <f>CONCATENATE(AZ232,BA232,BB232,BC232)</f>
        <v/>
      </c>
      <c r="AZ232" s="90" t="str">
        <f>IF(ISNUMBER(SEARCH("Y",AC232)),"R","")</f>
        <v/>
      </c>
      <c r="BA232" s="90" t="str">
        <f>IF(ISNUMBER(SEARCH("Y",Y232)),"M","")</f>
        <v/>
      </c>
      <c r="BB232" s="90" t="str">
        <f>IF(ISNUMBER(SEARCH("Y",AB232)),"QC","")</f>
        <v/>
      </c>
      <c r="BC232" s="90" t="str">
        <f>IF(ISNUMBER(SEARCH("Y",Z232)),"S","")</f>
        <v/>
      </c>
      <c r="BD232" s="90"/>
      <c r="BE232" s="24" t="s">
        <v>119</v>
      </c>
      <c r="BF232" s="125" t="str">
        <f>IF(AND(AW232&gt;=56543,AW232&lt;=76543,LEN(AW232)&gt;0),"3 Feb 2020",IF(AND(AW232&gt;=66544,AW232&lt;=99999,LEN(AW232)&gt;0),"12 Sep 2020",""))</f>
        <v/>
      </c>
      <c r="BG232" s="125" t="str">
        <f>IF((AND(BF232="3 Feb 2020",LEN(BF232)&gt;0)),"Completed",IF((AND(BF232="12 Sep 2020",LEN(BF232)&gt;0)),"Pending",""))</f>
        <v/>
      </c>
      <c r="BH232" s="90" t="str">
        <f>IF((AND(BF232="3 Feb 2020",LEN(BF232)&gt;0)),"3 Feb 2020","")</f>
        <v/>
      </c>
      <c r="BI232" s="90">
        <v>186284</v>
      </c>
      <c r="BJ232" s="90" t="str">
        <f>L232</f>
        <v>3B25IR83588-86</v>
      </c>
      <c r="BK232" s="127">
        <v>43508</v>
      </c>
      <c r="BL232" s="127">
        <v>44239</v>
      </c>
      <c r="BM232" s="128">
        <f>P232*1.1</f>
        <v>2483391.9000000004</v>
      </c>
      <c r="BN232" s="129">
        <f>P232*0.9</f>
        <v>2031866.1</v>
      </c>
      <c r="BO232" s="130">
        <f>P232*0.8</f>
        <v>1806103.2000000002</v>
      </c>
      <c r="BP232" s="90">
        <f>IF(Z232="Y",BM232*0.4,BM232*1.05)</f>
        <v>2607561.4950000006</v>
      </c>
      <c r="BQ232" s="90">
        <f>BP232*0.8</f>
        <v>2086049.1960000005</v>
      </c>
      <c r="BR232" s="90" t="str">
        <f>IF(ISNUMBER(SEARCH("subrecipient",AI228)),P232*0.6,"")</f>
        <v/>
      </c>
      <c r="BS232" s="90">
        <v>186284</v>
      </c>
      <c r="BT232" s="90" t="str">
        <f>BJ232</f>
        <v>3B25IR83588-86</v>
      </c>
      <c r="BU232" s="127">
        <f>BK232</f>
        <v>43508</v>
      </c>
      <c r="BV232" s="127">
        <f>BL232</f>
        <v>44239</v>
      </c>
      <c r="BW232" s="90" t="str">
        <f>H232</f>
        <v>ACF</v>
      </c>
      <c r="BX232" s="90" t="str">
        <f>IF(H232="NATIONAL HEMOPHILIA FOUNDATION","Non Federal","Federal")</f>
        <v>Federal</v>
      </c>
      <c r="BY232" s="128">
        <f>BM232</f>
        <v>2483391.9000000004</v>
      </c>
      <c r="BZ232" s="90" t="str">
        <f>IF(LEN(BR232)&gt;0,1,"")</f>
        <v/>
      </c>
      <c r="CA232" s="90" t="str">
        <f>IF(LEN(BR232)&gt;0,"VIRAL HEPATITIS PROJECT","")</f>
        <v/>
      </c>
      <c r="CB232" s="129" t="str">
        <f>IF(LEN(BR232)&gt;0,BM232*0.7,"")</f>
        <v/>
      </c>
      <c r="CC232" s="90">
        <f>BP232</f>
        <v>2607561.4950000006</v>
      </c>
      <c r="CD232" s="90" t="str">
        <f>IF(LEN(BR232)&gt;0,"70%","")</f>
        <v/>
      </c>
      <c r="CE232" s="90">
        <f>BS232</f>
        <v>186284</v>
      </c>
      <c r="CF232" s="90" t="str">
        <f>CA232</f>
        <v/>
      </c>
      <c r="CG232" s="90"/>
      <c r="CH232" s="90"/>
      <c r="CI232" s="90"/>
      <c r="CJ232" s="90"/>
      <c r="CK232" s="90"/>
      <c r="CL232" s="90"/>
      <c r="CM232" s="90"/>
      <c r="CN232" s="90"/>
      <c r="CO232" s="90"/>
      <c r="CP232" s="90"/>
      <c r="CQ232" s="90"/>
      <c r="CR232" s="90"/>
      <c r="CS232" s="90"/>
      <c r="CT232" s="137"/>
    </row>
    <row r="233" spans="1:98" ht="105">
      <c r="A233" s="89">
        <v>186904</v>
      </c>
      <c r="B233" s="90">
        <v>2020</v>
      </c>
      <c r="C233" s="90" t="s">
        <v>81</v>
      </c>
      <c r="D233" s="90" t="s">
        <v>850</v>
      </c>
      <c r="E233" s="125" t="s">
        <v>780</v>
      </c>
      <c r="F233" s="24" t="s">
        <v>851</v>
      </c>
      <c r="G233" s="90" t="s">
        <v>85</v>
      </c>
      <c r="H233" s="90" t="s">
        <v>86</v>
      </c>
      <c r="I233" s="90">
        <v>93</v>
      </c>
      <c r="J233" s="90">
        <v>157</v>
      </c>
      <c r="K233" s="90" t="s">
        <v>85</v>
      </c>
      <c r="L233" s="90" t="s">
        <v>852</v>
      </c>
      <c r="M233" s="90" t="s">
        <v>119</v>
      </c>
      <c r="N233" s="24" t="s">
        <v>410</v>
      </c>
      <c r="O233" s="24" t="str">
        <f>IF(ISNUMBER(SEARCH("Cancer",N233)),"Cancer",IF(ISNUMBER(SEARCH("health",N233)),"Public health",IF(ISNUMBER(SEARCH("disabilities",N233)),"Disabilities","Other")))</f>
        <v>Public health</v>
      </c>
      <c r="P233" s="126">
        <v>2373754</v>
      </c>
      <c r="Q233" s="90" t="s">
        <v>85</v>
      </c>
      <c r="R233" s="90" t="str">
        <f>IF(P233&gt;20000000,"B","A")</f>
        <v>A</v>
      </c>
      <c r="S233" s="90" t="s">
        <v>90</v>
      </c>
      <c r="T233" s="90" t="s">
        <v>119</v>
      </c>
      <c r="U233" s="90" t="s">
        <v>119</v>
      </c>
      <c r="V233" s="90" t="s">
        <v>119</v>
      </c>
      <c r="W233" s="90" t="s">
        <v>119</v>
      </c>
      <c r="X233" s="90" t="s">
        <v>119</v>
      </c>
      <c r="Y233" s="90" t="s">
        <v>119</v>
      </c>
      <c r="Z233" s="90" t="s">
        <v>119</v>
      </c>
      <c r="AA233" s="90" t="s">
        <v>119</v>
      </c>
      <c r="AB233" s="90" t="s">
        <v>119</v>
      </c>
      <c r="AC233" s="90" t="s">
        <v>119</v>
      </c>
      <c r="AD233" s="90" t="s">
        <v>119</v>
      </c>
      <c r="AE233" s="24">
        <v>0</v>
      </c>
      <c r="AF233" s="90">
        <v>0</v>
      </c>
      <c r="AG233" s="24">
        <v>0</v>
      </c>
      <c r="AH233" s="90">
        <v>89538</v>
      </c>
      <c r="AI233" s="24" t="s">
        <v>94</v>
      </c>
      <c r="AJ233" s="24" t="s">
        <v>853</v>
      </c>
      <c r="AK233" s="90" t="s">
        <v>85</v>
      </c>
      <c r="AL233" s="90">
        <v>186904</v>
      </c>
      <c r="AM233" s="90" t="s">
        <v>81</v>
      </c>
      <c r="AN233" s="90" t="s">
        <v>850</v>
      </c>
      <c r="AO233" s="125" t="s">
        <v>780</v>
      </c>
      <c r="AP233" s="24" t="s">
        <v>410</v>
      </c>
      <c r="AQ233" s="90" t="s">
        <v>852</v>
      </c>
      <c r="AR233" s="24" t="s">
        <v>410</v>
      </c>
      <c r="AS233" s="90" t="s">
        <v>119</v>
      </c>
      <c r="AT233" s="24" t="s">
        <v>94</v>
      </c>
      <c r="AU233" s="90" t="s">
        <v>119</v>
      </c>
      <c r="AV233" s="90" t="str">
        <f>IF(ISNUMBER(SEARCH("disagree",AE233)),"N","Y")</f>
        <v>Y</v>
      </c>
      <c r="AW233" s="90" t="s">
        <v>119</v>
      </c>
      <c r="AX233" s="24" t="s">
        <v>119</v>
      </c>
      <c r="AY233" s="90" t="str">
        <f>CONCATENATE(AZ233,BA233,BB233,BC233)</f>
        <v/>
      </c>
      <c r="AZ233" s="90" t="str">
        <f>IF(ISNUMBER(SEARCH("Y",AC233)),"R","")</f>
        <v/>
      </c>
      <c r="BA233" s="90" t="str">
        <f>IF(ISNUMBER(SEARCH("Y",Y233)),"M","")</f>
        <v/>
      </c>
      <c r="BB233" s="90" t="str">
        <f>IF(ISNUMBER(SEARCH("Y",AB233)),"QC","")</f>
        <v/>
      </c>
      <c r="BC233" s="90" t="str">
        <f>IF(ISNUMBER(SEARCH("Y",Z233)),"S","")</f>
        <v/>
      </c>
      <c r="BD233" s="90"/>
      <c r="BE233" s="24" t="s">
        <v>119</v>
      </c>
      <c r="BF233" s="125" t="str">
        <f>IF(AND(AW233&gt;=56543,AW233&lt;=76543,LEN(AW233)&gt;0),"3 Feb 2020",IF(AND(AW233&gt;=66544,AW233&lt;=99999,LEN(AW233)&gt;0),"12 Sep 2020",""))</f>
        <v/>
      </c>
      <c r="BG233" s="125" t="str">
        <f>IF((AND(BF233="3 Feb 2020",LEN(BF233)&gt;0)),"Completed",IF((AND(BF233="12 Sep 2020",LEN(BF233)&gt;0)),"Pending",""))</f>
        <v/>
      </c>
      <c r="BH233" s="90" t="str">
        <f>IF((AND(BF233="3 Feb 2020",LEN(BF233)&gt;0)),"3 Feb 2020","")</f>
        <v/>
      </c>
      <c r="BI233" s="90">
        <v>186904</v>
      </c>
      <c r="BJ233" s="90" t="str">
        <f>L233</f>
        <v>7D52GT86985-13</v>
      </c>
      <c r="BK233" s="127">
        <v>43508</v>
      </c>
      <c r="BL233" s="127">
        <v>44239</v>
      </c>
      <c r="BM233" s="128">
        <f>P233*1.1</f>
        <v>2611129.4000000004</v>
      </c>
      <c r="BN233" s="129">
        <f>P233*0.9</f>
        <v>2136378.6</v>
      </c>
      <c r="BO233" s="130">
        <f>P233*0.8</f>
        <v>1899003.2000000002</v>
      </c>
      <c r="BP233" s="90">
        <f>IF(Z233="Y",BM233*0.4,BM233*1.05)</f>
        <v>2741685.8700000006</v>
      </c>
      <c r="BQ233" s="90">
        <f>BP233*0.8</f>
        <v>2193348.6960000005</v>
      </c>
      <c r="BR233" s="90" t="str">
        <f>IF(ISNUMBER(SEARCH("subrecipient",AI229)),P233*0.6,"")</f>
        <v/>
      </c>
      <c r="BS233" s="90">
        <v>186904</v>
      </c>
      <c r="BT233" s="90" t="str">
        <f>BJ233</f>
        <v>7D52GT86985-13</v>
      </c>
      <c r="BU233" s="127">
        <f>BK233</f>
        <v>43508</v>
      </c>
      <c r="BV233" s="127">
        <f>BL233</f>
        <v>44239</v>
      </c>
      <c r="BW233" s="90" t="str">
        <f>H233</f>
        <v>CDC</v>
      </c>
      <c r="BX233" s="90" t="str">
        <f>IF(H233="NATIONAL HEMOPHILIA FOUNDATION","Non Federal","Federal")</f>
        <v>Federal</v>
      </c>
      <c r="BY233" s="128">
        <f>BM233</f>
        <v>2611129.4000000004</v>
      </c>
      <c r="BZ233" s="90" t="str">
        <f>IF(LEN(BR233)&gt;0,1,"")</f>
        <v/>
      </c>
      <c r="CA233" s="90" t="str">
        <f>IF(LEN(BR233)&gt;0,"VIRAL HEPATITIS PROJECT","")</f>
        <v/>
      </c>
      <c r="CB233" s="129" t="str">
        <f>IF(LEN(BR233)&gt;0,BM233*0.7,"")</f>
        <v/>
      </c>
      <c r="CC233" s="90">
        <f>BP233</f>
        <v>2741685.8700000006</v>
      </c>
      <c r="CD233" s="90" t="str">
        <f>IF(LEN(BR233)&gt;0,"70%","")</f>
        <v/>
      </c>
      <c r="CE233" s="90">
        <f>BS233</f>
        <v>186904</v>
      </c>
      <c r="CF233" s="90" t="str">
        <f>CA233</f>
        <v/>
      </c>
      <c r="CG233" s="90"/>
      <c r="CH233" s="90"/>
      <c r="CI233" s="90"/>
      <c r="CJ233" s="90"/>
      <c r="CK233" s="90"/>
      <c r="CL233" s="90"/>
      <c r="CM233" s="90"/>
      <c r="CN233" s="90"/>
      <c r="CO233" s="90"/>
      <c r="CP233" s="90"/>
      <c r="CQ233" s="90"/>
      <c r="CR233" s="90"/>
      <c r="CS233" s="90"/>
      <c r="CT233" s="137"/>
    </row>
    <row r="234" spans="1:98" ht="90">
      <c r="A234" s="89">
        <v>186904</v>
      </c>
      <c r="B234" s="90">
        <v>2020</v>
      </c>
      <c r="C234" s="90" t="s">
        <v>81</v>
      </c>
      <c r="D234" s="90" t="s">
        <v>850</v>
      </c>
      <c r="E234" s="125" t="s">
        <v>781</v>
      </c>
      <c r="F234" s="24" t="s">
        <v>851</v>
      </c>
      <c r="G234" s="90" t="s">
        <v>85</v>
      </c>
      <c r="H234" s="90" t="s">
        <v>86</v>
      </c>
      <c r="I234" s="90">
        <v>93</v>
      </c>
      <c r="J234" s="90">
        <v>157</v>
      </c>
      <c r="K234" s="90" t="s">
        <v>85</v>
      </c>
      <c r="L234" s="90" t="s">
        <v>852</v>
      </c>
      <c r="M234" s="90" t="s">
        <v>119</v>
      </c>
      <c r="N234" s="24" t="s">
        <v>410</v>
      </c>
      <c r="O234" s="24" t="str">
        <f>IF(ISNUMBER(SEARCH("Cancer",N234)),"Cancer",IF(ISNUMBER(SEARCH("health",N234)),"Public health",IF(ISNUMBER(SEARCH("disabilities",N234)),"Disabilities","Other")))</f>
        <v>Public health</v>
      </c>
      <c r="P234" s="126">
        <v>2373754</v>
      </c>
      <c r="Q234" s="90" t="s">
        <v>85</v>
      </c>
      <c r="R234" s="90" t="str">
        <f>IF(P234&gt;20000000,"B","A")</f>
        <v>A</v>
      </c>
      <c r="S234" s="90" t="s">
        <v>90</v>
      </c>
      <c r="T234" s="90" t="s">
        <v>119</v>
      </c>
      <c r="U234" s="90" t="s">
        <v>119</v>
      </c>
      <c r="V234" s="90" t="s">
        <v>119</v>
      </c>
      <c r="W234" s="90" t="s">
        <v>119</v>
      </c>
      <c r="X234" s="90" t="s">
        <v>119</v>
      </c>
      <c r="Y234" s="90" t="s">
        <v>119</v>
      </c>
      <c r="Z234" s="90" t="s">
        <v>119</v>
      </c>
      <c r="AA234" s="90" t="s">
        <v>119</v>
      </c>
      <c r="AB234" s="90" t="s">
        <v>119</v>
      </c>
      <c r="AC234" s="90" t="s">
        <v>119</v>
      </c>
      <c r="AD234" s="90" t="s">
        <v>119</v>
      </c>
      <c r="AE234" s="24">
        <v>0</v>
      </c>
      <c r="AF234" s="90">
        <v>0</v>
      </c>
      <c r="AG234" s="24">
        <v>0</v>
      </c>
      <c r="AH234" s="90">
        <v>89536</v>
      </c>
      <c r="AI234" s="24" t="s">
        <v>102</v>
      </c>
      <c r="AJ234" s="24" t="s">
        <v>103</v>
      </c>
      <c r="AK234" s="90" t="s">
        <v>85</v>
      </c>
      <c r="AL234" s="90">
        <v>186904</v>
      </c>
      <c r="AM234" s="90" t="s">
        <v>81</v>
      </c>
      <c r="AN234" s="90" t="s">
        <v>850</v>
      </c>
      <c r="AO234" s="125" t="s">
        <v>781</v>
      </c>
      <c r="AP234" s="24" t="s">
        <v>410</v>
      </c>
      <c r="AQ234" s="90" t="s">
        <v>852</v>
      </c>
      <c r="AR234" s="24" t="s">
        <v>410</v>
      </c>
      <c r="AS234" s="90" t="s">
        <v>119</v>
      </c>
      <c r="AT234" s="24" t="s">
        <v>102</v>
      </c>
      <c r="AU234" s="90" t="s">
        <v>119</v>
      </c>
      <c r="AV234" s="90" t="str">
        <f>IF(ISNUMBER(SEARCH("disagree",AE234)),"N","Y")</f>
        <v>Y</v>
      </c>
      <c r="AW234" s="90" t="s">
        <v>119</v>
      </c>
      <c r="AX234" s="24" t="s">
        <v>119</v>
      </c>
      <c r="AY234" s="90" t="str">
        <f>CONCATENATE(AZ234,BA234,BB234,BC234)</f>
        <v/>
      </c>
      <c r="AZ234" s="90" t="str">
        <f>IF(ISNUMBER(SEARCH("Y",AC234)),"R","")</f>
        <v/>
      </c>
      <c r="BA234" s="90" t="str">
        <f>IF(ISNUMBER(SEARCH("Y",Y234)),"M","")</f>
        <v/>
      </c>
      <c r="BB234" s="90" t="str">
        <f>IF(ISNUMBER(SEARCH("Y",AB234)),"QC","")</f>
        <v/>
      </c>
      <c r="BC234" s="90" t="str">
        <f>IF(ISNUMBER(SEARCH("Y",Z234)),"S","")</f>
        <v/>
      </c>
      <c r="BD234" s="90"/>
      <c r="BE234" s="24" t="s">
        <v>119</v>
      </c>
      <c r="BF234" s="125" t="str">
        <f>IF(AND(AW234&gt;=56543,AW234&lt;=76543,LEN(AW234)&gt;0),"3 Feb 2020",IF(AND(AW234&gt;=66544,AW234&lt;=99999,LEN(AW234)&gt;0),"12 Sep 2020",""))</f>
        <v/>
      </c>
      <c r="BG234" s="125" t="str">
        <f>IF((AND(BF234="3 Feb 2020",LEN(BF234)&gt;0)),"Completed",IF((AND(BF234="12 Sep 2020",LEN(BF234)&gt;0)),"Pending",""))</f>
        <v/>
      </c>
      <c r="BH234" s="90" t="str">
        <f>IF((AND(BF234="3 Feb 2020",LEN(BF234)&gt;0)),"3 Feb 2020","")</f>
        <v/>
      </c>
      <c r="BI234" s="90">
        <v>186904</v>
      </c>
      <c r="BJ234" s="90" t="str">
        <f>L234</f>
        <v>7D52GT86985-13</v>
      </c>
      <c r="BK234" s="127">
        <v>43508</v>
      </c>
      <c r="BL234" s="127">
        <v>44239</v>
      </c>
      <c r="BM234" s="128">
        <f>P234*1.1</f>
        <v>2611129.4000000004</v>
      </c>
      <c r="BN234" s="129">
        <f>P234*0.9</f>
        <v>2136378.6</v>
      </c>
      <c r="BO234" s="130">
        <f>P234*0.8</f>
        <v>1899003.2000000002</v>
      </c>
      <c r="BP234" s="90">
        <f>IF(Z234="Y",BM234*0.4,BM234*1.05)</f>
        <v>2741685.8700000006</v>
      </c>
      <c r="BQ234" s="90">
        <f>BP234*0.8</f>
        <v>2193348.6960000005</v>
      </c>
      <c r="BR234" s="90" t="str">
        <f>IF(ISNUMBER(SEARCH("subrecipient",AI230)),P234*0.6,"")</f>
        <v/>
      </c>
      <c r="BS234" s="90">
        <v>186904</v>
      </c>
      <c r="BT234" s="90" t="str">
        <f>BJ234</f>
        <v>7D52GT86985-13</v>
      </c>
      <c r="BU234" s="127">
        <f>BK234</f>
        <v>43508</v>
      </c>
      <c r="BV234" s="127">
        <f>BL234</f>
        <v>44239</v>
      </c>
      <c r="BW234" s="90" t="str">
        <f>H234</f>
        <v>CDC</v>
      </c>
      <c r="BX234" s="90" t="str">
        <f>IF(H234="NATIONAL HEMOPHILIA FOUNDATION","Non Federal","Federal")</f>
        <v>Federal</v>
      </c>
      <c r="BY234" s="128">
        <f>BM234</f>
        <v>2611129.4000000004</v>
      </c>
      <c r="BZ234" s="90" t="str">
        <f>IF(LEN(BR234)&gt;0,1,"")</f>
        <v/>
      </c>
      <c r="CA234" s="90" t="str">
        <f>IF(LEN(BR234)&gt;0,"VIRAL HEPATITIS PROJECT","")</f>
        <v/>
      </c>
      <c r="CB234" s="129" t="str">
        <f>IF(LEN(BR234)&gt;0,BM234*0.7,"")</f>
        <v/>
      </c>
      <c r="CC234" s="90">
        <f>BP234</f>
        <v>2741685.8700000006</v>
      </c>
      <c r="CD234" s="90" t="str">
        <f>IF(LEN(BR234)&gt;0,"70%","")</f>
        <v/>
      </c>
      <c r="CE234" s="90">
        <f>BS234</f>
        <v>186904</v>
      </c>
      <c r="CF234" s="90" t="str">
        <f>CA234</f>
        <v/>
      </c>
      <c r="CG234" s="90"/>
      <c r="CH234" s="90"/>
      <c r="CI234" s="90"/>
      <c r="CJ234" s="90"/>
      <c r="CK234" s="90"/>
      <c r="CL234" s="90"/>
      <c r="CM234" s="90"/>
      <c r="CN234" s="90"/>
      <c r="CO234" s="90"/>
      <c r="CP234" s="90"/>
      <c r="CQ234" s="90"/>
      <c r="CR234" s="90"/>
      <c r="CS234" s="90"/>
      <c r="CT234" s="137"/>
    </row>
    <row r="235" spans="1:98" ht="90">
      <c r="A235" s="89">
        <v>186904</v>
      </c>
      <c r="B235" s="90">
        <v>2020</v>
      </c>
      <c r="C235" s="90" t="s">
        <v>81</v>
      </c>
      <c r="D235" s="90" t="s">
        <v>850</v>
      </c>
      <c r="E235" s="125" t="s">
        <v>784</v>
      </c>
      <c r="F235" s="24" t="s">
        <v>851</v>
      </c>
      <c r="G235" s="90" t="s">
        <v>85</v>
      </c>
      <c r="H235" s="90" t="s">
        <v>86</v>
      </c>
      <c r="I235" s="90">
        <v>93</v>
      </c>
      <c r="J235" s="90">
        <v>157</v>
      </c>
      <c r="K235" s="90" t="s">
        <v>85</v>
      </c>
      <c r="L235" s="90" t="s">
        <v>852</v>
      </c>
      <c r="M235" s="90" t="s">
        <v>119</v>
      </c>
      <c r="N235" s="24" t="s">
        <v>410</v>
      </c>
      <c r="O235" s="24" t="str">
        <f>IF(ISNUMBER(SEARCH("Cancer",N235)),"Cancer",IF(ISNUMBER(SEARCH("health",N235)),"Public health",IF(ISNUMBER(SEARCH("disabilities",N235)),"Disabilities","Other")))</f>
        <v>Public health</v>
      </c>
      <c r="P235" s="126">
        <v>2373754</v>
      </c>
      <c r="Q235" s="90" t="s">
        <v>85</v>
      </c>
      <c r="R235" s="90" t="str">
        <f>IF(P235&gt;20000000,"B","A")</f>
        <v>A</v>
      </c>
      <c r="S235" s="90" t="s">
        <v>90</v>
      </c>
      <c r="T235" s="90" t="s">
        <v>119</v>
      </c>
      <c r="U235" s="90" t="s">
        <v>119</v>
      </c>
      <c r="V235" s="90" t="s">
        <v>119</v>
      </c>
      <c r="W235" s="90" t="s">
        <v>119</v>
      </c>
      <c r="X235" s="90" t="s">
        <v>119</v>
      </c>
      <c r="Y235" s="90" t="s">
        <v>119</v>
      </c>
      <c r="Z235" s="90" t="s">
        <v>119</v>
      </c>
      <c r="AA235" s="90" t="s">
        <v>119</v>
      </c>
      <c r="AB235" s="90" t="s">
        <v>119</v>
      </c>
      <c r="AC235" s="90" t="s">
        <v>119</v>
      </c>
      <c r="AD235" s="90" t="s">
        <v>119</v>
      </c>
      <c r="AE235" s="24">
        <v>0</v>
      </c>
      <c r="AF235" s="90">
        <v>0</v>
      </c>
      <c r="AG235" s="24">
        <v>0</v>
      </c>
      <c r="AH235" s="90">
        <v>89539</v>
      </c>
      <c r="AI235" s="24" t="s">
        <v>110</v>
      </c>
      <c r="AJ235" s="24" t="s">
        <v>854</v>
      </c>
      <c r="AK235" s="90" t="s">
        <v>85</v>
      </c>
      <c r="AL235" s="90">
        <v>186904</v>
      </c>
      <c r="AM235" s="90" t="s">
        <v>81</v>
      </c>
      <c r="AN235" s="90" t="s">
        <v>850</v>
      </c>
      <c r="AO235" s="125" t="s">
        <v>784</v>
      </c>
      <c r="AP235" s="24" t="s">
        <v>410</v>
      </c>
      <c r="AQ235" s="90" t="s">
        <v>852</v>
      </c>
      <c r="AR235" s="24" t="s">
        <v>410</v>
      </c>
      <c r="AS235" s="90" t="s">
        <v>119</v>
      </c>
      <c r="AT235" s="24" t="s">
        <v>110</v>
      </c>
      <c r="AU235" s="90" t="s">
        <v>119</v>
      </c>
      <c r="AV235" s="90" t="str">
        <f>IF(ISNUMBER(SEARCH("disagree",AE235)),"N","Y")</f>
        <v>Y</v>
      </c>
      <c r="AW235" s="90" t="s">
        <v>119</v>
      </c>
      <c r="AX235" s="24" t="s">
        <v>119</v>
      </c>
      <c r="AY235" s="90" t="str">
        <f>CONCATENATE(AZ235,BA235,BB235,BC235)</f>
        <v/>
      </c>
      <c r="AZ235" s="90" t="str">
        <f>IF(ISNUMBER(SEARCH("Y",AC235)),"R","")</f>
        <v/>
      </c>
      <c r="BA235" s="90" t="str">
        <f>IF(ISNUMBER(SEARCH("Y",Y235)),"M","")</f>
        <v/>
      </c>
      <c r="BB235" s="90" t="str">
        <f>IF(ISNUMBER(SEARCH("Y",AB235)),"QC","")</f>
        <v/>
      </c>
      <c r="BC235" s="90" t="str">
        <f>IF(ISNUMBER(SEARCH("Y",Z235)),"S","")</f>
        <v/>
      </c>
      <c r="BD235" s="90"/>
      <c r="BE235" s="24" t="s">
        <v>119</v>
      </c>
      <c r="BF235" s="125" t="str">
        <f>IF(AND(AW235&gt;=56543,AW235&lt;=76543,LEN(AW235)&gt;0),"3 Feb 2020",IF(AND(AW235&gt;=66544,AW235&lt;=99999,LEN(AW235)&gt;0),"12 Sep 2020",""))</f>
        <v/>
      </c>
      <c r="BG235" s="125" t="str">
        <f>IF((AND(BF235="3 Feb 2020",LEN(BF235)&gt;0)),"Completed",IF((AND(BF235="12 Sep 2020",LEN(BF235)&gt;0)),"Pending",""))</f>
        <v/>
      </c>
      <c r="BH235" s="90" t="str">
        <f>IF((AND(BF235="3 Feb 2020",LEN(BF235)&gt;0)),"3 Feb 2020","")</f>
        <v/>
      </c>
      <c r="BI235" s="90">
        <v>186904</v>
      </c>
      <c r="BJ235" s="90" t="str">
        <f>L235</f>
        <v>7D52GT86985-13</v>
      </c>
      <c r="BK235" s="127">
        <v>43508</v>
      </c>
      <c r="BL235" s="127">
        <v>44239</v>
      </c>
      <c r="BM235" s="128">
        <f>P235*1.1</f>
        <v>2611129.4000000004</v>
      </c>
      <c r="BN235" s="129">
        <f>P235*0.9</f>
        <v>2136378.6</v>
      </c>
      <c r="BO235" s="130">
        <f>P235*0.8</f>
        <v>1899003.2000000002</v>
      </c>
      <c r="BP235" s="90">
        <f>IF(Z235="Y",BM235*0.4,BM235*1.05)</f>
        <v>2741685.8700000006</v>
      </c>
      <c r="BQ235" s="90">
        <f>BP235*0.8</f>
        <v>2193348.6960000005</v>
      </c>
      <c r="BR235" s="90" t="str">
        <f>IF(ISNUMBER(SEARCH("subrecipient",AI231)),P235*0.6,"")</f>
        <v/>
      </c>
      <c r="BS235" s="90">
        <v>186904</v>
      </c>
      <c r="BT235" s="90" t="str">
        <f>BJ235</f>
        <v>7D52GT86985-13</v>
      </c>
      <c r="BU235" s="127">
        <f>BK235</f>
        <v>43508</v>
      </c>
      <c r="BV235" s="127">
        <f>BL235</f>
        <v>44239</v>
      </c>
      <c r="BW235" s="90" t="str">
        <f>H235</f>
        <v>CDC</v>
      </c>
      <c r="BX235" s="90" t="str">
        <f>IF(H235="NATIONAL HEMOPHILIA FOUNDATION","Non Federal","Federal")</f>
        <v>Federal</v>
      </c>
      <c r="BY235" s="128">
        <f>BM235</f>
        <v>2611129.4000000004</v>
      </c>
      <c r="BZ235" s="90" t="str">
        <f>IF(LEN(BR235)&gt;0,1,"")</f>
        <v/>
      </c>
      <c r="CA235" s="90" t="str">
        <f>IF(LEN(BR235)&gt;0,"VIRAL HEPATITIS PROJECT","")</f>
        <v/>
      </c>
      <c r="CB235" s="129" t="str">
        <f>IF(LEN(BR235)&gt;0,BM235*0.7,"")</f>
        <v/>
      </c>
      <c r="CC235" s="90">
        <f>BP235</f>
        <v>2741685.8700000006</v>
      </c>
      <c r="CD235" s="90" t="str">
        <f>IF(LEN(BR235)&gt;0,"70%","")</f>
        <v/>
      </c>
      <c r="CE235" s="90">
        <f>BS235</f>
        <v>186904</v>
      </c>
      <c r="CF235" s="90" t="str">
        <f>CA235</f>
        <v/>
      </c>
      <c r="CG235" s="90"/>
      <c r="CH235" s="90"/>
      <c r="CI235" s="90"/>
      <c r="CJ235" s="90"/>
      <c r="CK235" s="90"/>
      <c r="CL235" s="90"/>
      <c r="CM235" s="90"/>
      <c r="CN235" s="90"/>
      <c r="CO235" s="90"/>
      <c r="CP235" s="90"/>
      <c r="CQ235" s="90"/>
      <c r="CR235" s="90"/>
      <c r="CS235" s="90"/>
      <c r="CT235" s="137"/>
    </row>
    <row r="236" spans="1:98" ht="90">
      <c r="A236" s="89">
        <v>186904</v>
      </c>
      <c r="B236" s="90">
        <v>2020</v>
      </c>
      <c r="C236" s="90" t="s">
        <v>81</v>
      </c>
      <c r="D236" s="90" t="s">
        <v>850</v>
      </c>
      <c r="E236" s="125" t="s">
        <v>790</v>
      </c>
      <c r="F236" s="24" t="s">
        <v>851</v>
      </c>
      <c r="G236" s="90" t="s">
        <v>85</v>
      </c>
      <c r="H236" s="90" t="s">
        <v>86</v>
      </c>
      <c r="I236" s="90">
        <v>93</v>
      </c>
      <c r="J236" s="90">
        <v>157</v>
      </c>
      <c r="K236" s="90" t="s">
        <v>85</v>
      </c>
      <c r="L236" s="90" t="s">
        <v>852</v>
      </c>
      <c r="M236" s="90" t="s">
        <v>119</v>
      </c>
      <c r="N236" s="24" t="s">
        <v>410</v>
      </c>
      <c r="O236" s="24" t="str">
        <f>IF(ISNUMBER(SEARCH("Cancer",N236)),"Cancer",IF(ISNUMBER(SEARCH("health",N236)),"Public health",IF(ISNUMBER(SEARCH("disabilities",N236)),"Disabilities","Other")))</f>
        <v>Public health</v>
      </c>
      <c r="P236" s="126">
        <v>2373754</v>
      </c>
      <c r="Q236" s="90" t="s">
        <v>85</v>
      </c>
      <c r="R236" s="90" t="str">
        <f>IF(P236&gt;20000000,"B","A")</f>
        <v>A</v>
      </c>
      <c r="S236" s="90" t="s">
        <v>90</v>
      </c>
      <c r="T236" s="90" t="s">
        <v>119</v>
      </c>
      <c r="U236" s="90" t="s">
        <v>119</v>
      </c>
      <c r="V236" s="90" t="s">
        <v>119</v>
      </c>
      <c r="W236" s="90" t="s">
        <v>119</v>
      </c>
      <c r="X236" s="90" t="s">
        <v>119</v>
      </c>
      <c r="Y236" s="90" t="s">
        <v>119</v>
      </c>
      <c r="Z236" s="90" t="s">
        <v>119</v>
      </c>
      <c r="AA236" s="90" t="s">
        <v>119</v>
      </c>
      <c r="AB236" s="90" t="s">
        <v>119</v>
      </c>
      <c r="AC236" s="90" t="s">
        <v>119</v>
      </c>
      <c r="AD236" s="90" t="s">
        <v>119</v>
      </c>
      <c r="AE236" s="24">
        <v>0</v>
      </c>
      <c r="AF236" s="90">
        <v>0</v>
      </c>
      <c r="AG236" s="24">
        <v>0</v>
      </c>
      <c r="AH236" s="90">
        <v>89537</v>
      </c>
      <c r="AI236" s="24" t="s">
        <v>139</v>
      </c>
      <c r="AJ236" s="24" t="s">
        <v>855</v>
      </c>
      <c r="AK236" s="90" t="s">
        <v>85</v>
      </c>
      <c r="AL236" s="90">
        <v>186904</v>
      </c>
      <c r="AM236" s="90" t="s">
        <v>81</v>
      </c>
      <c r="AN236" s="90" t="s">
        <v>850</v>
      </c>
      <c r="AO236" s="125" t="s">
        <v>790</v>
      </c>
      <c r="AP236" s="24" t="s">
        <v>410</v>
      </c>
      <c r="AQ236" s="90" t="s">
        <v>852</v>
      </c>
      <c r="AR236" s="24" t="s">
        <v>410</v>
      </c>
      <c r="AS236" s="90" t="s">
        <v>119</v>
      </c>
      <c r="AT236" s="24" t="s">
        <v>139</v>
      </c>
      <c r="AU236" s="90" t="s">
        <v>119</v>
      </c>
      <c r="AV236" s="90" t="str">
        <f>IF(ISNUMBER(SEARCH("disagree",AE236)),"N","Y")</f>
        <v>Y</v>
      </c>
      <c r="AW236" s="90" t="s">
        <v>119</v>
      </c>
      <c r="AX236" s="24" t="s">
        <v>119</v>
      </c>
      <c r="AY236" s="90" t="str">
        <f>CONCATENATE(AZ236,BA236,BB236,BC236)</f>
        <v/>
      </c>
      <c r="AZ236" s="90" t="str">
        <f>IF(ISNUMBER(SEARCH("Y",AC236)),"R","")</f>
        <v/>
      </c>
      <c r="BA236" s="90" t="str">
        <f>IF(ISNUMBER(SEARCH("Y",Y236)),"M","")</f>
        <v/>
      </c>
      <c r="BB236" s="90" t="str">
        <f>IF(ISNUMBER(SEARCH("Y",AB236)),"QC","")</f>
        <v/>
      </c>
      <c r="BC236" s="90" t="str">
        <f>IF(ISNUMBER(SEARCH("Y",Z236)),"S","")</f>
        <v/>
      </c>
      <c r="BD236" s="90"/>
      <c r="BE236" s="24" t="s">
        <v>119</v>
      </c>
      <c r="BF236" s="125" t="str">
        <f>IF(AND(AW236&gt;=56543,AW236&lt;=76543,LEN(AW236)&gt;0),"3 Feb 2020",IF(AND(AW236&gt;=66544,AW236&lt;=99999,LEN(AW236)&gt;0),"12 Sep 2020",""))</f>
        <v/>
      </c>
      <c r="BG236" s="125" t="str">
        <f>IF((AND(BF236="3 Feb 2020",LEN(BF236)&gt;0)),"Completed",IF((AND(BF236="12 Sep 2020",LEN(BF236)&gt;0)),"Pending",""))</f>
        <v/>
      </c>
      <c r="BH236" s="90" t="str">
        <f>IF((AND(BF236="3 Feb 2020",LEN(BF236)&gt;0)),"3 Feb 2020","")</f>
        <v/>
      </c>
      <c r="BI236" s="90">
        <v>186904</v>
      </c>
      <c r="BJ236" s="90" t="str">
        <f>L236</f>
        <v>7D52GT86985-13</v>
      </c>
      <c r="BK236" s="127">
        <v>43508</v>
      </c>
      <c r="BL236" s="127">
        <v>44239</v>
      </c>
      <c r="BM236" s="128">
        <f>P236*1.1</f>
        <v>2611129.4000000004</v>
      </c>
      <c r="BN236" s="129">
        <f>P236*0.9</f>
        <v>2136378.6</v>
      </c>
      <c r="BO236" s="130">
        <f>P236*0.8</f>
        <v>1899003.2000000002</v>
      </c>
      <c r="BP236" s="90">
        <f>IF(Z236="Y",BM236*0.4,BM236*1.05)</f>
        <v>2741685.8700000006</v>
      </c>
      <c r="BQ236" s="90">
        <f>BP236*0.8</f>
        <v>2193348.6960000005</v>
      </c>
      <c r="BR236" s="90">
        <f>IF(ISNUMBER(SEARCH("subrecipient",AI236)),P236*0.6,"")</f>
        <v>1424252.4</v>
      </c>
      <c r="BS236" s="90">
        <v>186904</v>
      </c>
      <c r="BT236" s="90" t="str">
        <f>BJ236</f>
        <v>7D52GT86985-13</v>
      </c>
      <c r="BU236" s="127">
        <f>BK236</f>
        <v>43508</v>
      </c>
      <c r="BV236" s="127">
        <f>BL236</f>
        <v>44239</v>
      </c>
      <c r="BW236" s="90" t="str">
        <f>H236</f>
        <v>CDC</v>
      </c>
      <c r="BX236" s="90" t="str">
        <f>IF(H236="NATIONAL HEMOPHILIA FOUNDATION","Non Federal","Federal")</f>
        <v>Federal</v>
      </c>
      <c r="BY236" s="128">
        <f>BM236</f>
        <v>2611129.4000000004</v>
      </c>
      <c r="BZ236" s="90">
        <f>IF(LEN(BR236)&gt;0,1,"")</f>
        <v>1</v>
      </c>
      <c r="CA236" s="90" t="str">
        <f>IF(LEN(BR236)&gt;0,"VIRAL HEPATITIS PROJECT","")</f>
        <v>VIRAL HEPATITIS PROJECT</v>
      </c>
      <c r="CB236" s="129">
        <f>IF(LEN(BR236)&gt;0,BM236*0.7,"")</f>
        <v>1827790.58</v>
      </c>
      <c r="CC236" s="90">
        <f>BP236</f>
        <v>2741685.8700000006</v>
      </c>
      <c r="CD236" s="90" t="str">
        <f>IF(LEN(BR236)&gt;0,"70%","")</f>
        <v>70%</v>
      </c>
      <c r="CE236" s="90">
        <f>BS236</f>
        <v>186904</v>
      </c>
      <c r="CF236" s="90" t="str">
        <f>CA236</f>
        <v>VIRAL HEPATITIS PROJECT</v>
      </c>
      <c r="CG236" s="90"/>
      <c r="CH236" s="90"/>
      <c r="CI236" s="90"/>
      <c r="CJ236" s="90"/>
      <c r="CK236" s="90"/>
      <c r="CL236" s="90"/>
      <c r="CM236" s="90"/>
      <c r="CN236" s="90"/>
      <c r="CO236" s="90"/>
      <c r="CP236" s="90"/>
      <c r="CQ236" s="90"/>
      <c r="CR236" s="90"/>
      <c r="CS236" s="90"/>
      <c r="CT236" s="137"/>
    </row>
    <row r="237" spans="1:98" ht="45">
      <c r="A237" s="89">
        <v>187414</v>
      </c>
      <c r="B237" s="90">
        <v>2020</v>
      </c>
      <c r="C237" s="90" t="s">
        <v>81</v>
      </c>
      <c r="D237" s="90" t="s">
        <v>856</v>
      </c>
      <c r="E237" s="125" t="s">
        <v>791</v>
      </c>
      <c r="F237" s="24" t="s">
        <v>857</v>
      </c>
      <c r="G237" s="90" t="s">
        <v>85</v>
      </c>
      <c r="H237" s="90" t="s">
        <v>117</v>
      </c>
      <c r="I237" s="90">
        <v>93</v>
      </c>
      <c r="J237" s="90">
        <v>157</v>
      </c>
      <c r="K237" s="90" t="s">
        <v>85</v>
      </c>
      <c r="L237" s="90" t="s">
        <v>858</v>
      </c>
      <c r="M237" s="90" t="s">
        <v>119</v>
      </c>
      <c r="N237" s="24" t="s">
        <v>202</v>
      </c>
      <c r="O237" s="24" t="str">
        <f>IF(ISNUMBER(SEARCH("Cancer",N237)),"Cancer",IF(ISNUMBER(SEARCH("health",N237)),"Public health",IF(ISNUMBER(SEARCH("disabilities",N237)),"Disabilities","Other")))</f>
        <v>Public health</v>
      </c>
      <c r="P237" s="126">
        <v>2566864</v>
      </c>
      <c r="Q237" s="90" t="s">
        <v>85</v>
      </c>
      <c r="R237" s="90" t="str">
        <f>IF(P237&gt;20000000,"B","A")</f>
        <v>A</v>
      </c>
      <c r="S237" s="90" t="s">
        <v>90</v>
      </c>
      <c r="T237" s="90" t="s">
        <v>119</v>
      </c>
      <c r="U237" s="90" t="s">
        <v>119</v>
      </c>
      <c r="V237" s="90" t="s">
        <v>119</v>
      </c>
      <c r="W237" s="90" t="s">
        <v>119</v>
      </c>
      <c r="X237" s="90" t="s">
        <v>119</v>
      </c>
      <c r="Y237" s="90" t="s">
        <v>119</v>
      </c>
      <c r="Z237" s="90" t="s">
        <v>119</v>
      </c>
      <c r="AA237" s="90" t="s">
        <v>119</v>
      </c>
      <c r="AB237" s="90" t="s">
        <v>119</v>
      </c>
      <c r="AC237" s="90" t="s">
        <v>119</v>
      </c>
      <c r="AD237" s="90" t="s">
        <v>119</v>
      </c>
      <c r="AE237" s="24">
        <v>0</v>
      </c>
      <c r="AF237" s="90">
        <v>0</v>
      </c>
      <c r="AG237" s="24">
        <v>0</v>
      </c>
      <c r="AH237" s="90">
        <v>83225</v>
      </c>
      <c r="AI237" s="24" t="s">
        <v>94</v>
      </c>
      <c r="AJ237" s="24" t="s">
        <v>859</v>
      </c>
      <c r="AK237" s="90" t="s">
        <v>85</v>
      </c>
      <c r="AL237" s="90">
        <v>187414</v>
      </c>
      <c r="AM237" s="90" t="s">
        <v>81</v>
      </c>
      <c r="AN237" s="90" t="s">
        <v>856</v>
      </c>
      <c r="AO237" s="125" t="s">
        <v>791</v>
      </c>
      <c r="AP237" s="24" t="s">
        <v>202</v>
      </c>
      <c r="AQ237" s="90" t="s">
        <v>858</v>
      </c>
      <c r="AR237" s="24" t="s">
        <v>202</v>
      </c>
      <c r="AS237" s="90" t="s">
        <v>119</v>
      </c>
      <c r="AT237" s="24" t="s">
        <v>94</v>
      </c>
      <c r="AU237" s="90" t="s">
        <v>119</v>
      </c>
      <c r="AV237" s="90" t="str">
        <f>IF(ISNUMBER(SEARCH("disagree",AE237)),"N","Y")</f>
        <v>Y</v>
      </c>
      <c r="AW237" s="90" t="s">
        <v>119</v>
      </c>
      <c r="AX237" s="24" t="s">
        <v>119</v>
      </c>
      <c r="AY237" s="90" t="str">
        <f>CONCATENATE(AZ237,BA237,BB237,BC237)</f>
        <v/>
      </c>
      <c r="AZ237" s="90" t="str">
        <f>IF(ISNUMBER(SEARCH("Y",AC237)),"R","")</f>
        <v/>
      </c>
      <c r="BA237" s="90" t="str">
        <f>IF(ISNUMBER(SEARCH("Y",Y237)),"M","")</f>
        <v/>
      </c>
      <c r="BB237" s="90" t="str">
        <f>IF(ISNUMBER(SEARCH("Y",AB237)),"QC","")</f>
        <v/>
      </c>
      <c r="BC237" s="90" t="str">
        <f>IF(ISNUMBER(SEARCH("Y",Z237)),"S","")</f>
        <v/>
      </c>
      <c r="BD237" s="90"/>
      <c r="BE237" s="24" t="s">
        <v>119</v>
      </c>
      <c r="BF237" s="125" t="str">
        <f>IF(AND(AW237&gt;=56543,AW237&lt;=76543,LEN(AW237)&gt;0),"3 Feb 2020",IF(AND(AW237&gt;=66544,AW237&lt;=99999,LEN(AW237)&gt;0),"12 Sep 2020",""))</f>
        <v/>
      </c>
      <c r="BG237" s="125" t="str">
        <f>IF((AND(BF237="3 Feb 2020",LEN(BF237)&gt;0)),"Completed",IF((AND(BF237="12 Sep 2020",LEN(BF237)&gt;0)),"Pending",""))</f>
        <v/>
      </c>
      <c r="BH237" s="90" t="str">
        <f>IF((AND(BF237="3 Feb 2020",LEN(BF237)&gt;0)),"3 Feb 2020","")</f>
        <v/>
      </c>
      <c r="BI237" s="90">
        <v>187414</v>
      </c>
      <c r="BJ237" s="90" t="str">
        <f>L237</f>
        <v>5D75GT86984-53</v>
      </c>
      <c r="BK237" s="127">
        <v>43508</v>
      </c>
      <c r="BL237" s="127">
        <v>44239</v>
      </c>
      <c r="BM237" s="128">
        <f>P237*1.1</f>
        <v>2823550.4000000004</v>
      </c>
      <c r="BN237" s="129">
        <f>P237*0.9</f>
        <v>2310177.6</v>
      </c>
      <c r="BO237" s="130">
        <f>P237*0.8</f>
        <v>2053491.2000000002</v>
      </c>
      <c r="BP237" s="90">
        <f>IF(Z237="Y",BM237*0.4,BM237*1.05)</f>
        <v>2964727.9200000004</v>
      </c>
      <c r="BQ237" s="90">
        <f>BP237*0.8</f>
        <v>2371782.3360000006</v>
      </c>
      <c r="BR237" s="90" t="str">
        <f>IF(ISNUMBER(SEARCH("subrecipient",AI233)),P237*0.6,"")</f>
        <v/>
      </c>
      <c r="BS237" s="90">
        <v>187414</v>
      </c>
      <c r="BT237" s="90" t="str">
        <f>BJ237</f>
        <v>5D75GT86984-53</v>
      </c>
      <c r="BU237" s="127">
        <f>BK237</f>
        <v>43508</v>
      </c>
      <c r="BV237" s="127">
        <f>BL237</f>
        <v>44239</v>
      </c>
      <c r="BW237" s="90" t="str">
        <f>H237</f>
        <v>NIH</v>
      </c>
      <c r="BX237" s="90" t="str">
        <f>IF(H237="NATIONAL HEMOPHILIA FOUNDATION","Non Federal","Federal")</f>
        <v>Federal</v>
      </c>
      <c r="BY237" s="128">
        <f>BM237</f>
        <v>2823550.4000000004</v>
      </c>
      <c r="BZ237" s="90" t="str">
        <f>IF(LEN(BR237)&gt;0,1,"")</f>
        <v/>
      </c>
      <c r="CA237" s="90" t="str">
        <f>IF(LEN(BR237)&gt;0,"VIRAL HEPATITIS PROJECT","")</f>
        <v/>
      </c>
      <c r="CB237" s="129" t="str">
        <f>IF(LEN(BR237)&gt;0,BM237*0.7,"")</f>
        <v/>
      </c>
      <c r="CC237" s="90">
        <f>BP237</f>
        <v>2964727.9200000004</v>
      </c>
      <c r="CD237" s="90" t="str">
        <f>IF(LEN(BR237)&gt;0,"70%","")</f>
        <v/>
      </c>
      <c r="CE237" s="90">
        <f>BS237</f>
        <v>187414</v>
      </c>
      <c r="CF237" s="90" t="str">
        <f>CA237</f>
        <v/>
      </c>
      <c r="CG237" s="90"/>
      <c r="CH237" s="90"/>
      <c r="CI237" s="90"/>
      <c r="CJ237" s="90"/>
      <c r="CK237" s="90"/>
      <c r="CL237" s="90"/>
      <c r="CM237" s="90"/>
      <c r="CN237" s="90"/>
      <c r="CO237" s="90"/>
      <c r="CP237" s="90"/>
      <c r="CQ237" s="90"/>
      <c r="CR237" s="90"/>
      <c r="CS237" s="90"/>
      <c r="CT237" s="137"/>
    </row>
    <row r="238" spans="1:98" ht="45">
      <c r="A238" s="89">
        <v>187414</v>
      </c>
      <c r="B238" s="90">
        <v>2020</v>
      </c>
      <c r="C238" s="90" t="s">
        <v>81</v>
      </c>
      <c r="D238" s="90" t="s">
        <v>856</v>
      </c>
      <c r="E238" s="125" t="s">
        <v>793</v>
      </c>
      <c r="F238" s="24" t="s">
        <v>857</v>
      </c>
      <c r="G238" s="90" t="s">
        <v>85</v>
      </c>
      <c r="H238" s="90" t="s">
        <v>117</v>
      </c>
      <c r="I238" s="90">
        <v>93</v>
      </c>
      <c r="J238" s="90">
        <v>157</v>
      </c>
      <c r="K238" s="90" t="s">
        <v>85</v>
      </c>
      <c r="L238" s="90" t="s">
        <v>858</v>
      </c>
      <c r="M238" s="90" t="s">
        <v>119</v>
      </c>
      <c r="N238" s="24" t="s">
        <v>202</v>
      </c>
      <c r="O238" s="24" t="str">
        <f>IF(ISNUMBER(SEARCH("Cancer",N238)),"Cancer",IF(ISNUMBER(SEARCH("health",N238)),"Public health",IF(ISNUMBER(SEARCH("disabilities",N238)),"Disabilities","Other")))</f>
        <v>Public health</v>
      </c>
      <c r="P238" s="126">
        <v>2566864</v>
      </c>
      <c r="Q238" s="90" t="s">
        <v>85</v>
      </c>
      <c r="R238" s="90" t="str">
        <f>IF(P238&gt;20000000,"B","A")</f>
        <v>A</v>
      </c>
      <c r="S238" s="90" t="s">
        <v>90</v>
      </c>
      <c r="T238" s="90" t="s">
        <v>119</v>
      </c>
      <c r="U238" s="90" t="s">
        <v>119</v>
      </c>
      <c r="V238" s="90" t="s">
        <v>119</v>
      </c>
      <c r="W238" s="90" t="s">
        <v>119</v>
      </c>
      <c r="X238" s="90" t="s">
        <v>119</v>
      </c>
      <c r="Y238" s="90" t="s">
        <v>119</v>
      </c>
      <c r="Z238" s="90" t="s">
        <v>119</v>
      </c>
      <c r="AA238" s="90" t="s">
        <v>119</v>
      </c>
      <c r="AB238" s="90" t="s">
        <v>119</v>
      </c>
      <c r="AC238" s="90" t="s">
        <v>119</v>
      </c>
      <c r="AD238" s="90" t="s">
        <v>119</v>
      </c>
      <c r="AE238" s="24">
        <v>0</v>
      </c>
      <c r="AF238" s="90">
        <v>0</v>
      </c>
      <c r="AG238" s="24">
        <v>0</v>
      </c>
      <c r="AH238" s="90">
        <v>83224</v>
      </c>
      <c r="AI238" s="24" t="s">
        <v>102</v>
      </c>
      <c r="AJ238" s="24" t="s">
        <v>103</v>
      </c>
      <c r="AK238" s="90" t="s">
        <v>85</v>
      </c>
      <c r="AL238" s="90">
        <v>187414</v>
      </c>
      <c r="AM238" s="90" t="s">
        <v>81</v>
      </c>
      <c r="AN238" s="90" t="s">
        <v>856</v>
      </c>
      <c r="AO238" s="125" t="s">
        <v>793</v>
      </c>
      <c r="AP238" s="24" t="s">
        <v>202</v>
      </c>
      <c r="AQ238" s="90" t="s">
        <v>858</v>
      </c>
      <c r="AR238" s="24" t="s">
        <v>202</v>
      </c>
      <c r="AS238" s="90" t="s">
        <v>119</v>
      </c>
      <c r="AT238" s="24" t="s">
        <v>102</v>
      </c>
      <c r="AU238" s="90" t="s">
        <v>119</v>
      </c>
      <c r="AV238" s="90" t="str">
        <f>IF(ISNUMBER(SEARCH("disagree",AE238)),"N","Y")</f>
        <v>Y</v>
      </c>
      <c r="AW238" s="90" t="s">
        <v>119</v>
      </c>
      <c r="AX238" s="24" t="s">
        <v>119</v>
      </c>
      <c r="AY238" s="90" t="str">
        <f>CONCATENATE(AZ238,BA238,BB238,BC238)</f>
        <v/>
      </c>
      <c r="AZ238" s="90" t="str">
        <f>IF(ISNUMBER(SEARCH("Y",AC238)),"R","")</f>
        <v/>
      </c>
      <c r="BA238" s="90" t="str">
        <f>IF(ISNUMBER(SEARCH("Y",Y238)),"M","")</f>
        <v/>
      </c>
      <c r="BB238" s="90" t="str">
        <f>IF(ISNUMBER(SEARCH("Y",AB238)),"QC","")</f>
        <v/>
      </c>
      <c r="BC238" s="90" t="str">
        <f>IF(ISNUMBER(SEARCH("Y",Z238)),"S","")</f>
        <v/>
      </c>
      <c r="BD238" s="90"/>
      <c r="BE238" s="24" t="s">
        <v>119</v>
      </c>
      <c r="BF238" s="125" t="str">
        <f>IF(AND(AW238&gt;=56543,AW238&lt;=76543,LEN(AW238)&gt;0),"3 Feb 2020",IF(AND(AW238&gt;=66544,AW238&lt;=99999,LEN(AW238)&gt;0),"12 Sep 2020",""))</f>
        <v/>
      </c>
      <c r="BG238" s="125" t="str">
        <f>IF((AND(BF238="3 Feb 2020",LEN(BF238)&gt;0)),"Completed",IF((AND(BF238="12 Sep 2020",LEN(BF238)&gt;0)),"Pending",""))</f>
        <v/>
      </c>
      <c r="BH238" s="90" t="str">
        <f>IF((AND(BF238="3 Feb 2020",LEN(BF238)&gt;0)),"3 Feb 2020","")</f>
        <v/>
      </c>
      <c r="BI238" s="90">
        <v>187414</v>
      </c>
      <c r="BJ238" s="90" t="str">
        <f>L238</f>
        <v>5D75GT86984-53</v>
      </c>
      <c r="BK238" s="127">
        <v>43508</v>
      </c>
      <c r="BL238" s="127">
        <v>44239</v>
      </c>
      <c r="BM238" s="128">
        <f>P238*1.1</f>
        <v>2823550.4000000004</v>
      </c>
      <c r="BN238" s="129">
        <f>P238*0.9</f>
        <v>2310177.6</v>
      </c>
      <c r="BO238" s="130">
        <f>P238*0.8</f>
        <v>2053491.2000000002</v>
      </c>
      <c r="BP238" s="90">
        <f>IF(Z238="Y",BM238*0.4,BM238*1.05)</f>
        <v>2964727.9200000004</v>
      </c>
      <c r="BQ238" s="90">
        <f>BP238*0.8</f>
        <v>2371782.3360000006</v>
      </c>
      <c r="BR238" s="90" t="str">
        <f>IF(ISNUMBER(SEARCH("subrecipient",AI234)),P238*0.6,"")</f>
        <v/>
      </c>
      <c r="BS238" s="90">
        <v>187414</v>
      </c>
      <c r="BT238" s="90" t="str">
        <f>BJ238</f>
        <v>5D75GT86984-53</v>
      </c>
      <c r="BU238" s="127">
        <f>BK238</f>
        <v>43508</v>
      </c>
      <c r="BV238" s="127">
        <f>BL238</f>
        <v>44239</v>
      </c>
      <c r="BW238" s="90" t="str">
        <f>H238</f>
        <v>NIH</v>
      </c>
      <c r="BX238" s="90" t="str">
        <f>IF(H238="NATIONAL HEMOPHILIA FOUNDATION","Non Federal","Federal")</f>
        <v>Federal</v>
      </c>
      <c r="BY238" s="128">
        <f>BM238</f>
        <v>2823550.4000000004</v>
      </c>
      <c r="BZ238" s="90" t="str">
        <f>IF(LEN(BR238)&gt;0,1,"")</f>
        <v/>
      </c>
      <c r="CA238" s="90" t="str">
        <f>IF(LEN(BR238)&gt;0,"VIRAL HEPATITIS PROJECT","")</f>
        <v/>
      </c>
      <c r="CB238" s="129" t="str">
        <f>IF(LEN(BR238)&gt;0,BM238*0.7,"")</f>
        <v/>
      </c>
      <c r="CC238" s="90">
        <f>BP238</f>
        <v>2964727.9200000004</v>
      </c>
      <c r="CD238" s="90" t="str">
        <f>IF(LEN(BR238)&gt;0,"70%","")</f>
        <v/>
      </c>
      <c r="CE238" s="90">
        <f>BS238</f>
        <v>187414</v>
      </c>
      <c r="CF238" s="90" t="str">
        <f>CA238</f>
        <v/>
      </c>
      <c r="CG238" s="90"/>
      <c r="CH238" s="90"/>
      <c r="CI238" s="90"/>
      <c r="CJ238" s="90"/>
      <c r="CK238" s="90"/>
      <c r="CL238" s="90"/>
      <c r="CM238" s="90"/>
      <c r="CN238" s="90"/>
      <c r="CO238" s="90"/>
      <c r="CP238" s="90"/>
      <c r="CQ238" s="90"/>
      <c r="CR238" s="90"/>
      <c r="CS238" s="90"/>
      <c r="CT238" s="137"/>
    </row>
    <row r="239" spans="1:98" ht="45">
      <c r="A239" s="89">
        <v>187414</v>
      </c>
      <c r="B239" s="90">
        <v>2020</v>
      </c>
      <c r="C239" s="90" t="s">
        <v>81</v>
      </c>
      <c r="D239" s="90" t="s">
        <v>856</v>
      </c>
      <c r="E239" s="125" t="s">
        <v>780</v>
      </c>
      <c r="F239" s="24" t="s">
        <v>857</v>
      </c>
      <c r="G239" s="90" t="s">
        <v>85</v>
      </c>
      <c r="H239" s="90" t="s">
        <v>117</v>
      </c>
      <c r="I239" s="90">
        <v>93</v>
      </c>
      <c r="J239" s="90">
        <v>157</v>
      </c>
      <c r="K239" s="90" t="s">
        <v>85</v>
      </c>
      <c r="L239" s="90" t="s">
        <v>858</v>
      </c>
      <c r="M239" s="90" t="s">
        <v>119</v>
      </c>
      <c r="N239" s="24" t="s">
        <v>202</v>
      </c>
      <c r="O239" s="24" t="str">
        <f>IF(ISNUMBER(SEARCH("Cancer",N239)),"Cancer",IF(ISNUMBER(SEARCH("health",N239)),"Public health",IF(ISNUMBER(SEARCH("disabilities",N239)),"Disabilities","Other")))</f>
        <v>Public health</v>
      </c>
      <c r="P239" s="126">
        <v>2566864</v>
      </c>
      <c r="Q239" s="90" t="s">
        <v>85</v>
      </c>
      <c r="R239" s="90" t="str">
        <f>IF(P239&gt;20000000,"B","A")</f>
        <v>A</v>
      </c>
      <c r="S239" s="90" t="s">
        <v>90</v>
      </c>
      <c r="T239" s="90" t="s">
        <v>119</v>
      </c>
      <c r="U239" s="90" t="s">
        <v>119</v>
      </c>
      <c r="V239" s="90" t="s">
        <v>119</v>
      </c>
      <c r="W239" s="90" t="s">
        <v>119</v>
      </c>
      <c r="X239" s="90" t="s">
        <v>119</v>
      </c>
      <c r="Y239" s="90" t="s">
        <v>119</v>
      </c>
      <c r="Z239" s="90" t="s">
        <v>119</v>
      </c>
      <c r="AA239" s="90" t="s">
        <v>119</v>
      </c>
      <c r="AB239" s="90" t="s">
        <v>119</v>
      </c>
      <c r="AC239" s="90" t="s">
        <v>119</v>
      </c>
      <c r="AD239" s="90" t="s">
        <v>119</v>
      </c>
      <c r="AE239" s="24">
        <v>0</v>
      </c>
      <c r="AF239" s="90">
        <v>0</v>
      </c>
      <c r="AG239" s="24">
        <v>0</v>
      </c>
      <c r="AH239" s="90">
        <v>83226</v>
      </c>
      <c r="AI239" s="24" t="s">
        <v>110</v>
      </c>
      <c r="AJ239" s="24" t="s">
        <v>860</v>
      </c>
      <c r="AK239" s="90" t="s">
        <v>85</v>
      </c>
      <c r="AL239" s="90">
        <v>187414</v>
      </c>
      <c r="AM239" s="90" t="s">
        <v>81</v>
      </c>
      <c r="AN239" s="90" t="s">
        <v>856</v>
      </c>
      <c r="AO239" s="125" t="s">
        <v>780</v>
      </c>
      <c r="AP239" s="24" t="s">
        <v>202</v>
      </c>
      <c r="AQ239" s="90" t="s">
        <v>858</v>
      </c>
      <c r="AR239" s="24" t="s">
        <v>202</v>
      </c>
      <c r="AS239" s="90" t="s">
        <v>119</v>
      </c>
      <c r="AT239" s="24" t="s">
        <v>110</v>
      </c>
      <c r="AU239" s="90" t="s">
        <v>119</v>
      </c>
      <c r="AV239" s="90" t="str">
        <f>IF(ISNUMBER(SEARCH("disagree",AE239)),"N","Y")</f>
        <v>Y</v>
      </c>
      <c r="AW239" s="90" t="s">
        <v>119</v>
      </c>
      <c r="AX239" s="24" t="s">
        <v>119</v>
      </c>
      <c r="AY239" s="90" t="str">
        <f>CONCATENATE(AZ239,BA239,BB239,BC239)</f>
        <v/>
      </c>
      <c r="AZ239" s="90" t="str">
        <f>IF(ISNUMBER(SEARCH("Y",AC239)),"R","")</f>
        <v/>
      </c>
      <c r="BA239" s="90" t="str">
        <f>IF(ISNUMBER(SEARCH("Y",Y239)),"M","")</f>
        <v/>
      </c>
      <c r="BB239" s="90" t="str">
        <f>IF(ISNUMBER(SEARCH("Y",AB239)),"QC","")</f>
        <v/>
      </c>
      <c r="BC239" s="90" t="str">
        <f>IF(ISNUMBER(SEARCH("Y",Z239)),"S","")</f>
        <v/>
      </c>
      <c r="BD239" s="90"/>
      <c r="BE239" s="24" t="s">
        <v>119</v>
      </c>
      <c r="BF239" s="125" t="str">
        <f>IF(AND(AW239&gt;=56543,AW239&lt;=76543,LEN(AW239)&gt;0),"3 Feb 2020",IF(AND(AW239&gt;=66544,AW239&lt;=99999,LEN(AW239)&gt;0),"12 Sep 2020",""))</f>
        <v/>
      </c>
      <c r="BG239" s="125" t="str">
        <f>IF((AND(BF239="3 Feb 2020",LEN(BF239)&gt;0)),"Completed",IF((AND(BF239="12 Sep 2020",LEN(BF239)&gt;0)),"Pending",""))</f>
        <v/>
      </c>
      <c r="BH239" s="90" t="str">
        <f>IF((AND(BF239="3 Feb 2020",LEN(BF239)&gt;0)),"3 Feb 2020","")</f>
        <v/>
      </c>
      <c r="BI239" s="90">
        <v>187414</v>
      </c>
      <c r="BJ239" s="90" t="str">
        <f>L239</f>
        <v>5D75GT86984-53</v>
      </c>
      <c r="BK239" s="127">
        <v>43508</v>
      </c>
      <c r="BL239" s="127">
        <v>44239</v>
      </c>
      <c r="BM239" s="128">
        <f>P239*1.1</f>
        <v>2823550.4000000004</v>
      </c>
      <c r="BN239" s="129">
        <f>P239*0.9</f>
        <v>2310177.6</v>
      </c>
      <c r="BO239" s="130">
        <f>P239*0.8</f>
        <v>2053491.2000000002</v>
      </c>
      <c r="BP239" s="90">
        <f>IF(Z239="Y",BM239*0.4,BM239*1.05)</f>
        <v>2964727.9200000004</v>
      </c>
      <c r="BQ239" s="90">
        <f>BP239*0.8</f>
        <v>2371782.3360000006</v>
      </c>
      <c r="BR239" s="90" t="str">
        <f>IF(ISNUMBER(SEARCH("subrecipient",AI235)),P239*0.6,"")</f>
        <v/>
      </c>
      <c r="BS239" s="90">
        <v>187414</v>
      </c>
      <c r="BT239" s="90" t="str">
        <f>BJ239</f>
        <v>5D75GT86984-53</v>
      </c>
      <c r="BU239" s="127">
        <f>BK239</f>
        <v>43508</v>
      </c>
      <c r="BV239" s="127">
        <f>BL239</f>
        <v>44239</v>
      </c>
      <c r="BW239" s="90" t="str">
        <f>H239</f>
        <v>NIH</v>
      </c>
      <c r="BX239" s="90" t="str">
        <f>IF(H239="NATIONAL HEMOPHILIA FOUNDATION","Non Federal","Federal")</f>
        <v>Federal</v>
      </c>
      <c r="BY239" s="128">
        <f>BM239</f>
        <v>2823550.4000000004</v>
      </c>
      <c r="BZ239" s="90" t="str">
        <f>IF(LEN(BR239)&gt;0,1,"")</f>
        <v/>
      </c>
      <c r="CA239" s="90" t="str">
        <f>IF(LEN(BR239)&gt;0,"VIRAL HEPATITIS PROJECT","")</f>
        <v/>
      </c>
      <c r="CB239" s="129" t="str">
        <f>IF(LEN(BR239)&gt;0,BM239*0.7,"")</f>
        <v/>
      </c>
      <c r="CC239" s="90">
        <f>BP239</f>
        <v>2964727.9200000004</v>
      </c>
      <c r="CD239" s="90" t="str">
        <f>IF(LEN(BR239)&gt;0,"70%","")</f>
        <v/>
      </c>
      <c r="CE239" s="90">
        <f>BS239</f>
        <v>187414</v>
      </c>
      <c r="CF239" s="90" t="str">
        <f>CA239</f>
        <v/>
      </c>
      <c r="CG239" s="90"/>
      <c r="CH239" s="90"/>
      <c r="CI239" s="90"/>
      <c r="CJ239" s="90"/>
      <c r="CK239" s="90"/>
      <c r="CL239" s="90"/>
      <c r="CM239" s="90"/>
      <c r="CN239" s="90"/>
      <c r="CO239" s="90"/>
      <c r="CP239" s="90"/>
      <c r="CQ239" s="90"/>
      <c r="CR239" s="90"/>
      <c r="CS239" s="90"/>
      <c r="CT239" s="137"/>
    </row>
    <row r="240" spans="1:98" ht="90">
      <c r="A240" s="89">
        <v>187414</v>
      </c>
      <c r="B240" s="90">
        <v>2020</v>
      </c>
      <c r="C240" s="90" t="s">
        <v>81</v>
      </c>
      <c r="D240" s="90" t="s">
        <v>856</v>
      </c>
      <c r="E240" s="125" t="s">
        <v>781</v>
      </c>
      <c r="F240" s="24" t="s">
        <v>857</v>
      </c>
      <c r="G240" s="90" t="s">
        <v>85</v>
      </c>
      <c r="H240" s="90" t="s">
        <v>117</v>
      </c>
      <c r="I240" s="90">
        <v>93</v>
      </c>
      <c r="J240" s="90">
        <v>157</v>
      </c>
      <c r="K240" s="90" t="s">
        <v>85</v>
      </c>
      <c r="L240" s="90" t="s">
        <v>858</v>
      </c>
      <c r="M240" s="90" t="s">
        <v>119</v>
      </c>
      <c r="N240" s="24" t="s">
        <v>202</v>
      </c>
      <c r="O240" s="24" t="str">
        <f>IF(ISNUMBER(SEARCH("Cancer",N240)),"Cancer",IF(ISNUMBER(SEARCH("health",N240)),"Public health",IF(ISNUMBER(SEARCH("disabilities",N240)),"Disabilities","Other")))</f>
        <v>Public health</v>
      </c>
      <c r="P240" s="126">
        <v>2566864</v>
      </c>
      <c r="Q240" s="90" t="s">
        <v>85</v>
      </c>
      <c r="R240" s="90" t="str">
        <f>IF(P240&gt;20000000,"B","A")</f>
        <v>A</v>
      </c>
      <c r="S240" s="90" t="s">
        <v>90</v>
      </c>
      <c r="T240" s="90" t="s">
        <v>119</v>
      </c>
      <c r="U240" s="90" t="s">
        <v>119</v>
      </c>
      <c r="V240" s="90" t="s">
        <v>119</v>
      </c>
      <c r="W240" s="90" t="s">
        <v>119</v>
      </c>
      <c r="X240" s="90" t="s">
        <v>119</v>
      </c>
      <c r="Y240" s="90" t="s">
        <v>119</v>
      </c>
      <c r="Z240" s="90" t="s">
        <v>119</v>
      </c>
      <c r="AA240" s="90" t="s">
        <v>119</v>
      </c>
      <c r="AB240" s="90" t="s">
        <v>119</v>
      </c>
      <c r="AC240" s="90" t="s">
        <v>119</v>
      </c>
      <c r="AD240" s="90" t="s">
        <v>119</v>
      </c>
      <c r="AE240" s="24">
        <v>0</v>
      </c>
      <c r="AF240" s="90">
        <v>0</v>
      </c>
      <c r="AG240" s="24">
        <v>0</v>
      </c>
      <c r="AH240" s="90">
        <v>83223</v>
      </c>
      <c r="AI240" s="24" t="s">
        <v>269</v>
      </c>
      <c r="AJ240" s="24" t="s">
        <v>861</v>
      </c>
      <c r="AK240" s="90" t="s">
        <v>85</v>
      </c>
      <c r="AL240" s="90">
        <v>187414</v>
      </c>
      <c r="AM240" s="90" t="s">
        <v>81</v>
      </c>
      <c r="AN240" s="90" t="s">
        <v>856</v>
      </c>
      <c r="AO240" s="125" t="s">
        <v>781</v>
      </c>
      <c r="AP240" s="24" t="s">
        <v>202</v>
      </c>
      <c r="AQ240" s="90" t="s">
        <v>858</v>
      </c>
      <c r="AR240" s="24" t="s">
        <v>202</v>
      </c>
      <c r="AS240" s="90" t="s">
        <v>119</v>
      </c>
      <c r="AT240" s="24" t="s">
        <v>269</v>
      </c>
      <c r="AU240" s="90" t="s">
        <v>119</v>
      </c>
      <c r="AV240" s="90" t="str">
        <f>IF(ISNUMBER(SEARCH("disagree",AE240)),"N","Y")</f>
        <v>Y</v>
      </c>
      <c r="AW240" s="90" t="s">
        <v>119</v>
      </c>
      <c r="AX240" s="24" t="s">
        <v>119</v>
      </c>
      <c r="AY240" s="90" t="str">
        <f>CONCATENATE(AZ240,BA240,BB240,BC240)</f>
        <v/>
      </c>
      <c r="AZ240" s="90" t="str">
        <f>IF(ISNUMBER(SEARCH("Y",AC240)),"R","")</f>
        <v/>
      </c>
      <c r="BA240" s="90" t="str">
        <f>IF(ISNUMBER(SEARCH("Y",Y240)),"M","")</f>
        <v/>
      </c>
      <c r="BB240" s="90" t="str">
        <f>IF(ISNUMBER(SEARCH("Y",AB240)),"QC","")</f>
        <v/>
      </c>
      <c r="BC240" s="90" t="str">
        <f>IF(ISNUMBER(SEARCH("Y",Z240)),"S","")</f>
        <v/>
      </c>
      <c r="BD240" s="90"/>
      <c r="BE240" s="24" t="s">
        <v>119</v>
      </c>
      <c r="BF240" s="125" t="str">
        <f>IF(AND(AW240&gt;=56543,AW240&lt;=76543,LEN(AW240)&gt;0),"3 Feb 2020",IF(AND(AW240&gt;=66544,AW240&lt;=99999,LEN(AW240)&gt;0),"12 Sep 2020",""))</f>
        <v/>
      </c>
      <c r="BG240" s="125" t="str">
        <f>IF((AND(BF240="3 Feb 2020",LEN(BF240)&gt;0)),"Completed",IF((AND(BF240="12 Sep 2020",LEN(BF240)&gt;0)),"Pending",""))</f>
        <v/>
      </c>
      <c r="BH240" s="90" t="str">
        <f>IF((AND(BF240="3 Feb 2020",LEN(BF240)&gt;0)),"3 Feb 2020","")</f>
        <v/>
      </c>
      <c r="BI240" s="90">
        <v>187414</v>
      </c>
      <c r="BJ240" s="90" t="str">
        <f>L240</f>
        <v>5D75GT86984-53</v>
      </c>
      <c r="BK240" s="127">
        <v>43508</v>
      </c>
      <c r="BL240" s="127">
        <v>44239</v>
      </c>
      <c r="BM240" s="128">
        <f>P240*1.1</f>
        <v>2823550.4000000004</v>
      </c>
      <c r="BN240" s="129">
        <f>P240*0.9</f>
        <v>2310177.6</v>
      </c>
      <c r="BO240" s="130">
        <f>P240*0.8</f>
        <v>2053491.2000000002</v>
      </c>
      <c r="BP240" s="90">
        <f>IF(Z240="Y",BM240*0.4,BM240*1.05)</f>
        <v>2964727.9200000004</v>
      </c>
      <c r="BQ240" s="90">
        <f>BP240*0.8</f>
        <v>2371782.3360000006</v>
      </c>
      <c r="BR240" s="90">
        <f>IF(ISNUMBER(SEARCH("subrecipient",AI236)),P240*0.6,"")</f>
        <v>1540118.4</v>
      </c>
      <c r="BS240" s="90">
        <v>187414</v>
      </c>
      <c r="BT240" s="90" t="str">
        <f>BJ240</f>
        <v>5D75GT86984-53</v>
      </c>
      <c r="BU240" s="127">
        <f>BK240</f>
        <v>43508</v>
      </c>
      <c r="BV240" s="127">
        <f>BL240</f>
        <v>44239</v>
      </c>
      <c r="BW240" s="90" t="str">
        <f>H240</f>
        <v>NIH</v>
      </c>
      <c r="BX240" s="90" t="str">
        <f>IF(H240="NATIONAL HEMOPHILIA FOUNDATION","Non Federal","Federal")</f>
        <v>Federal</v>
      </c>
      <c r="BY240" s="128">
        <f>BM240</f>
        <v>2823550.4000000004</v>
      </c>
      <c r="BZ240" s="90">
        <f>IF(LEN(BR240)&gt;0,1,"")</f>
        <v>1</v>
      </c>
      <c r="CA240" s="90" t="str">
        <f>IF(LEN(BR240)&gt;0,"VIRAL HEPATITIS PROJECT","")</f>
        <v>VIRAL HEPATITIS PROJECT</v>
      </c>
      <c r="CB240" s="129">
        <f>IF(LEN(BR240)&gt;0,BM240*0.7,"")</f>
        <v>1976485.28</v>
      </c>
      <c r="CC240" s="90">
        <f>BP240</f>
        <v>2964727.9200000004</v>
      </c>
      <c r="CD240" s="90" t="str">
        <f>IF(LEN(BR240)&gt;0,"70%","")</f>
        <v>70%</v>
      </c>
      <c r="CE240" s="90">
        <f>BS240</f>
        <v>187414</v>
      </c>
      <c r="CF240" s="90" t="str">
        <f>CA240</f>
        <v>VIRAL HEPATITIS PROJECT</v>
      </c>
      <c r="CG240" s="90" t="s">
        <v>862</v>
      </c>
      <c r="CH240" s="24" t="s">
        <v>208</v>
      </c>
      <c r="CI240" s="129">
        <f>CB240</f>
        <v>1976485.28</v>
      </c>
      <c r="CJ240" s="125" t="s">
        <v>157</v>
      </c>
      <c r="CK240" s="90" t="s">
        <v>158</v>
      </c>
      <c r="CL240" s="90" t="s">
        <v>160</v>
      </c>
      <c r="CM240" s="90" t="s">
        <v>160</v>
      </c>
      <c r="CN240" s="90" t="s">
        <v>160</v>
      </c>
      <c r="CO240" s="24" t="s">
        <v>193</v>
      </c>
      <c r="CP240" s="24" t="s">
        <v>863</v>
      </c>
      <c r="CQ240" s="132">
        <v>0.3</v>
      </c>
      <c r="CR240" s="127">
        <f>BU240+50</f>
        <v>43558</v>
      </c>
      <c r="CS240" s="127">
        <f>BV240-50</f>
        <v>44189</v>
      </c>
      <c r="CT240" s="138">
        <f>CI240*0.4</f>
        <v>790594.11200000008</v>
      </c>
    </row>
    <row r="241" spans="1:98" ht="45">
      <c r="A241" s="89">
        <v>187440</v>
      </c>
      <c r="B241" s="90">
        <v>2020</v>
      </c>
      <c r="C241" s="90" t="s">
        <v>81</v>
      </c>
      <c r="D241" s="90" t="s">
        <v>864</v>
      </c>
      <c r="E241" s="125" t="s">
        <v>784</v>
      </c>
      <c r="F241" s="24" t="s">
        <v>865</v>
      </c>
      <c r="G241" s="90" t="s">
        <v>85</v>
      </c>
      <c r="H241" s="90" t="s">
        <v>132</v>
      </c>
      <c r="I241" s="90">
        <v>93</v>
      </c>
      <c r="J241" s="90">
        <v>157</v>
      </c>
      <c r="K241" s="90" t="s">
        <v>85</v>
      </c>
      <c r="L241" s="90" t="s">
        <v>866</v>
      </c>
      <c r="M241" s="90" t="s">
        <v>119</v>
      </c>
      <c r="N241" s="24" t="s">
        <v>764</v>
      </c>
      <c r="O241" s="24" t="str">
        <f>IF(ISNUMBER(SEARCH("Cancer",N241)),"Cancer",IF(ISNUMBER(SEARCH("health",N241)),"Public health",IF(ISNUMBER(SEARCH("disabilities",N241)),"Disabilities","Other")))</f>
        <v>Other</v>
      </c>
      <c r="P241" s="126">
        <v>2277475</v>
      </c>
      <c r="Q241" s="90" t="s">
        <v>85</v>
      </c>
      <c r="R241" s="90" t="str">
        <f>IF(P241&gt;20000000,"B","A")</f>
        <v>A</v>
      </c>
      <c r="S241" s="90" t="s">
        <v>90</v>
      </c>
      <c r="T241" s="90" t="s">
        <v>119</v>
      </c>
      <c r="U241" s="90" t="s">
        <v>119</v>
      </c>
      <c r="V241" s="90" t="s">
        <v>119</v>
      </c>
      <c r="W241" s="90" t="s">
        <v>119</v>
      </c>
      <c r="X241" s="90" t="s">
        <v>119</v>
      </c>
      <c r="Y241" s="90" t="s">
        <v>119</v>
      </c>
      <c r="Z241" s="90" t="s">
        <v>119</v>
      </c>
      <c r="AA241" s="90" t="s">
        <v>119</v>
      </c>
      <c r="AB241" s="90" t="s">
        <v>119</v>
      </c>
      <c r="AC241" s="90" t="s">
        <v>119</v>
      </c>
      <c r="AD241" s="90" t="s">
        <v>119</v>
      </c>
      <c r="AE241" s="24">
        <v>0</v>
      </c>
      <c r="AF241" s="90">
        <v>0</v>
      </c>
      <c r="AG241" s="24">
        <v>0</v>
      </c>
      <c r="AH241" s="90">
        <v>86248</v>
      </c>
      <c r="AI241" s="24" t="s">
        <v>94</v>
      </c>
      <c r="AJ241" s="24" t="s">
        <v>95</v>
      </c>
      <c r="AK241" s="90" t="s">
        <v>85</v>
      </c>
      <c r="AL241" s="90">
        <v>187440</v>
      </c>
      <c r="AM241" s="90" t="s">
        <v>81</v>
      </c>
      <c r="AN241" s="90" t="s">
        <v>864</v>
      </c>
      <c r="AO241" s="125" t="s">
        <v>784</v>
      </c>
      <c r="AP241" s="24" t="s">
        <v>764</v>
      </c>
      <c r="AQ241" s="90" t="s">
        <v>866</v>
      </c>
      <c r="AR241" s="24" t="s">
        <v>764</v>
      </c>
      <c r="AS241" s="90" t="s">
        <v>119</v>
      </c>
      <c r="AT241" s="24" t="s">
        <v>94</v>
      </c>
      <c r="AU241" s="90" t="s">
        <v>119</v>
      </c>
      <c r="AV241" s="90" t="str">
        <f>IF(ISNUMBER(SEARCH("disagree",AE241)),"N","Y")</f>
        <v>Y</v>
      </c>
      <c r="AW241" s="90" t="s">
        <v>119</v>
      </c>
      <c r="AX241" s="24" t="s">
        <v>119</v>
      </c>
      <c r="AY241" s="90" t="str">
        <f>CONCATENATE(AZ241,BA241,BB241,BC241)</f>
        <v/>
      </c>
      <c r="AZ241" s="90" t="str">
        <f>IF(ISNUMBER(SEARCH("Y",AC241)),"R","")</f>
        <v/>
      </c>
      <c r="BA241" s="90" t="str">
        <f>IF(ISNUMBER(SEARCH("Y",Y241)),"M","")</f>
        <v/>
      </c>
      <c r="BB241" s="90" t="str">
        <f>IF(ISNUMBER(SEARCH("Y",AB241)),"QC","")</f>
        <v/>
      </c>
      <c r="BC241" s="90" t="str">
        <f>IF(ISNUMBER(SEARCH("Y",Z241)),"S","")</f>
        <v/>
      </c>
      <c r="BD241" s="90"/>
      <c r="BE241" s="24" t="s">
        <v>119</v>
      </c>
      <c r="BF241" s="125" t="str">
        <f>IF(AND(AW241&gt;=56543,AW241&lt;=76543,LEN(AW241)&gt;0),"3 Feb 2020",IF(AND(AW241&gt;=66544,AW241&lt;=99999,LEN(AW241)&gt;0),"12 Sep 2020",""))</f>
        <v/>
      </c>
      <c r="BG241" s="125" t="str">
        <f>IF((AND(BF241="3 Feb 2020",LEN(BF241)&gt;0)),"Completed",IF((AND(BF241="12 Sep 2020",LEN(BF241)&gt;0)),"Pending",""))</f>
        <v/>
      </c>
      <c r="BH241" s="90" t="str">
        <f>IF((AND(BF241="3 Feb 2020",LEN(BF241)&gt;0)),"3 Feb 2020","")</f>
        <v/>
      </c>
      <c r="BI241" s="90">
        <v>187440</v>
      </c>
      <c r="BJ241" s="90" t="str">
        <f>L241</f>
        <v>9B40IR89239-22</v>
      </c>
      <c r="BK241" s="127">
        <v>43508</v>
      </c>
      <c r="BL241" s="127">
        <v>44239</v>
      </c>
      <c r="BM241" s="128">
        <f>P241*1.1</f>
        <v>2505222.5</v>
      </c>
      <c r="BN241" s="129">
        <f>P241*0.9</f>
        <v>2049727.5</v>
      </c>
      <c r="BO241" s="130">
        <f>P241*0.8</f>
        <v>1821980</v>
      </c>
      <c r="BP241" s="90">
        <f>IF(Z241="Y",BM241*0.4,BM241*1.05)</f>
        <v>2630483.625</v>
      </c>
      <c r="BQ241" s="90">
        <f>BP241*0.8</f>
        <v>2104386.9</v>
      </c>
      <c r="BR241" s="90" t="str">
        <f>IF(ISNUMBER(SEARCH("subrecipient",AI237)),P241*0.6,"")</f>
        <v/>
      </c>
      <c r="BS241" s="90">
        <v>187440</v>
      </c>
      <c r="BT241" s="90" t="str">
        <f>BJ241</f>
        <v>9B40IR89239-22</v>
      </c>
      <c r="BU241" s="127">
        <f>BK241</f>
        <v>43508</v>
      </c>
      <c r="BV241" s="127">
        <f>BL241</f>
        <v>44239</v>
      </c>
      <c r="BW241" s="90" t="str">
        <f>H241</f>
        <v>FDA</v>
      </c>
      <c r="BX241" s="90" t="str">
        <f>IF(H241="NATIONAL HEMOPHILIA FOUNDATION","Non Federal","Federal")</f>
        <v>Federal</v>
      </c>
      <c r="BY241" s="128">
        <f>BM241</f>
        <v>2505222.5</v>
      </c>
      <c r="BZ241" s="90" t="str">
        <f>IF(LEN(BR241)&gt;0,1,"")</f>
        <v/>
      </c>
      <c r="CA241" s="90" t="str">
        <f>IF(LEN(BR241)&gt;0,"VIRAL HEPATITIS PROJECT","")</f>
        <v/>
      </c>
      <c r="CB241" s="129" t="str">
        <f>IF(LEN(BR241)&gt;0,BM241*0.7,"")</f>
        <v/>
      </c>
      <c r="CC241" s="90">
        <f>BP241</f>
        <v>2630483.625</v>
      </c>
      <c r="CD241" s="90" t="str">
        <f>IF(LEN(BR241)&gt;0,"70%","")</f>
        <v/>
      </c>
      <c r="CE241" s="90">
        <f>BS241</f>
        <v>187440</v>
      </c>
      <c r="CF241" s="90" t="str">
        <f>CA241</f>
        <v/>
      </c>
      <c r="CG241" s="90"/>
      <c r="CH241" s="90"/>
      <c r="CI241" s="90"/>
      <c r="CJ241" s="90"/>
      <c r="CK241" s="90"/>
      <c r="CL241" s="90"/>
      <c r="CM241" s="90"/>
      <c r="CN241" s="90"/>
      <c r="CO241" s="90"/>
      <c r="CP241" s="90"/>
      <c r="CQ241" s="90"/>
      <c r="CR241" s="90"/>
      <c r="CS241" s="90"/>
      <c r="CT241" s="137"/>
    </row>
    <row r="242" spans="1:98" ht="45">
      <c r="A242" s="89">
        <v>187440</v>
      </c>
      <c r="B242" s="90">
        <v>2020</v>
      </c>
      <c r="C242" s="90" t="s">
        <v>81</v>
      </c>
      <c r="D242" s="90" t="s">
        <v>864</v>
      </c>
      <c r="E242" s="125" t="s">
        <v>790</v>
      </c>
      <c r="F242" s="24" t="s">
        <v>865</v>
      </c>
      <c r="G242" s="90" t="s">
        <v>85</v>
      </c>
      <c r="H242" s="90" t="s">
        <v>132</v>
      </c>
      <c r="I242" s="90">
        <v>93</v>
      </c>
      <c r="J242" s="90">
        <v>157</v>
      </c>
      <c r="K242" s="90" t="s">
        <v>85</v>
      </c>
      <c r="L242" s="90" t="s">
        <v>866</v>
      </c>
      <c r="M242" s="90" t="s">
        <v>119</v>
      </c>
      <c r="N242" s="24" t="s">
        <v>764</v>
      </c>
      <c r="O242" s="24" t="str">
        <f>IF(ISNUMBER(SEARCH("Cancer",N242)),"Cancer",IF(ISNUMBER(SEARCH("health",N242)),"Public health",IF(ISNUMBER(SEARCH("disabilities",N242)),"Disabilities","Other")))</f>
        <v>Other</v>
      </c>
      <c r="P242" s="126">
        <v>2277475</v>
      </c>
      <c r="Q242" s="90" t="s">
        <v>85</v>
      </c>
      <c r="R242" s="90" t="str">
        <f>IF(P242&gt;20000000,"B","A")</f>
        <v>A</v>
      </c>
      <c r="S242" s="90" t="s">
        <v>90</v>
      </c>
      <c r="T242" s="90" t="s">
        <v>119</v>
      </c>
      <c r="U242" s="90" t="s">
        <v>119</v>
      </c>
      <c r="V242" s="90" t="s">
        <v>119</v>
      </c>
      <c r="W242" s="90" t="s">
        <v>119</v>
      </c>
      <c r="X242" s="90" t="s">
        <v>119</v>
      </c>
      <c r="Y242" s="90" t="s">
        <v>119</v>
      </c>
      <c r="Z242" s="90" t="s">
        <v>119</v>
      </c>
      <c r="AA242" s="90" t="s">
        <v>119</v>
      </c>
      <c r="AB242" s="90" t="s">
        <v>119</v>
      </c>
      <c r="AC242" s="90" t="s">
        <v>119</v>
      </c>
      <c r="AD242" s="90" t="s">
        <v>119</v>
      </c>
      <c r="AE242" s="24">
        <v>0</v>
      </c>
      <c r="AF242" s="90">
        <v>0</v>
      </c>
      <c r="AG242" s="24">
        <v>0</v>
      </c>
      <c r="AH242" s="90">
        <v>86250</v>
      </c>
      <c r="AI242" s="24" t="s">
        <v>102</v>
      </c>
      <c r="AJ242" s="24" t="s">
        <v>103</v>
      </c>
      <c r="AK242" s="90" t="s">
        <v>85</v>
      </c>
      <c r="AL242" s="90">
        <v>187440</v>
      </c>
      <c r="AM242" s="90" t="s">
        <v>81</v>
      </c>
      <c r="AN242" s="90" t="s">
        <v>864</v>
      </c>
      <c r="AO242" s="125" t="s">
        <v>790</v>
      </c>
      <c r="AP242" s="24" t="s">
        <v>764</v>
      </c>
      <c r="AQ242" s="90" t="s">
        <v>866</v>
      </c>
      <c r="AR242" s="24" t="s">
        <v>764</v>
      </c>
      <c r="AS242" s="90" t="s">
        <v>119</v>
      </c>
      <c r="AT242" s="24" t="s">
        <v>102</v>
      </c>
      <c r="AU242" s="90" t="s">
        <v>119</v>
      </c>
      <c r="AV242" s="90" t="str">
        <f>IF(ISNUMBER(SEARCH("disagree",AE242)),"N","Y")</f>
        <v>Y</v>
      </c>
      <c r="AW242" s="90" t="s">
        <v>119</v>
      </c>
      <c r="AX242" s="24" t="s">
        <v>119</v>
      </c>
      <c r="AY242" s="90" t="str">
        <f>CONCATENATE(AZ242,BA242,BB242,BC242)</f>
        <v/>
      </c>
      <c r="AZ242" s="90" t="str">
        <f>IF(ISNUMBER(SEARCH("Y",AC242)),"R","")</f>
        <v/>
      </c>
      <c r="BA242" s="90" t="str">
        <f>IF(ISNUMBER(SEARCH("Y",Y242)),"M","")</f>
        <v/>
      </c>
      <c r="BB242" s="90" t="str">
        <f>IF(ISNUMBER(SEARCH("Y",AB242)),"QC","")</f>
        <v/>
      </c>
      <c r="BC242" s="90" t="str">
        <f>IF(ISNUMBER(SEARCH("Y",Z242)),"S","")</f>
        <v/>
      </c>
      <c r="BD242" s="90"/>
      <c r="BE242" s="24" t="s">
        <v>119</v>
      </c>
      <c r="BF242" s="125" t="str">
        <f>IF(AND(AW242&gt;=56543,AW242&lt;=76543,LEN(AW242)&gt;0),"3 Feb 2020",IF(AND(AW242&gt;=66544,AW242&lt;=99999,LEN(AW242)&gt;0),"12 Sep 2020",""))</f>
        <v/>
      </c>
      <c r="BG242" s="125" t="str">
        <f>IF((AND(BF242="3 Feb 2020",LEN(BF242)&gt;0)),"Completed",IF((AND(BF242="12 Sep 2020",LEN(BF242)&gt;0)),"Pending",""))</f>
        <v/>
      </c>
      <c r="BH242" s="90" t="str">
        <f>IF((AND(BF242="3 Feb 2020",LEN(BF242)&gt;0)),"3 Feb 2020","")</f>
        <v/>
      </c>
      <c r="BI242" s="90">
        <v>187440</v>
      </c>
      <c r="BJ242" s="90" t="str">
        <f>L242</f>
        <v>9B40IR89239-22</v>
      </c>
      <c r="BK242" s="127">
        <v>43508</v>
      </c>
      <c r="BL242" s="127">
        <v>44239</v>
      </c>
      <c r="BM242" s="128">
        <f>P242*1.1</f>
        <v>2505222.5</v>
      </c>
      <c r="BN242" s="129">
        <f>P242*0.9</f>
        <v>2049727.5</v>
      </c>
      <c r="BO242" s="130">
        <f>P242*0.8</f>
        <v>1821980</v>
      </c>
      <c r="BP242" s="90">
        <f>IF(Z242="Y",BM242*0.4,BM242*1.05)</f>
        <v>2630483.625</v>
      </c>
      <c r="BQ242" s="90">
        <f>BP242*0.8</f>
        <v>2104386.9</v>
      </c>
      <c r="BR242" s="90" t="str">
        <f>IF(ISNUMBER(SEARCH("subrecipient",AI238)),P242*0.6,"")</f>
        <v/>
      </c>
      <c r="BS242" s="90">
        <v>187440</v>
      </c>
      <c r="BT242" s="90" t="str">
        <f>BJ242</f>
        <v>9B40IR89239-22</v>
      </c>
      <c r="BU242" s="127">
        <f>BK242</f>
        <v>43508</v>
      </c>
      <c r="BV242" s="127">
        <f>BL242</f>
        <v>44239</v>
      </c>
      <c r="BW242" s="90" t="str">
        <f>H242</f>
        <v>FDA</v>
      </c>
      <c r="BX242" s="90" t="str">
        <f>IF(H242="NATIONAL HEMOPHILIA FOUNDATION","Non Federal","Federal")</f>
        <v>Federal</v>
      </c>
      <c r="BY242" s="128">
        <f>BM242</f>
        <v>2505222.5</v>
      </c>
      <c r="BZ242" s="90" t="str">
        <f>IF(LEN(BR242)&gt;0,1,"")</f>
        <v/>
      </c>
      <c r="CA242" s="90" t="str">
        <f>IF(LEN(BR242)&gt;0,"VIRAL HEPATITIS PROJECT","")</f>
        <v/>
      </c>
      <c r="CB242" s="129" t="str">
        <f>IF(LEN(BR242)&gt;0,BM242*0.7,"")</f>
        <v/>
      </c>
      <c r="CC242" s="90">
        <f>BP242</f>
        <v>2630483.625</v>
      </c>
      <c r="CD242" s="90" t="str">
        <f>IF(LEN(BR242)&gt;0,"70%","")</f>
        <v/>
      </c>
      <c r="CE242" s="90">
        <f>BS242</f>
        <v>187440</v>
      </c>
      <c r="CF242" s="90" t="str">
        <f>CA242</f>
        <v/>
      </c>
      <c r="CG242" s="90"/>
      <c r="CH242" s="90"/>
      <c r="CI242" s="90"/>
      <c r="CJ242" s="90"/>
      <c r="CK242" s="90"/>
      <c r="CL242" s="90"/>
      <c r="CM242" s="90"/>
      <c r="CN242" s="90"/>
      <c r="CO242" s="90"/>
      <c r="CP242" s="90"/>
      <c r="CQ242" s="90"/>
      <c r="CR242" s="90"/>
      <c r="CS242" s="90"/>
      <c r="CT242" s="137"/>
    </row>
    <row r="243" spans="1:98" ht="45">
      <c r="A243" s="89">
        <v>187440</v>
      </c>
      <c r="B243" s="90">
        <v>2020</v>
      </c>
      <c r="C243" s="90" t="s">
        <v>81</v>
      </c>
      <c r="D243" s="90" t="s">
        <v>864</v>
      </c>
      <c r="E243" s="125" t="s">
        <v>791</v>
      </c>
      <c r="F243" s="24" t="s">
        <v>865</v>
      </c>
      <c r="G243" s="90" t="s">
        <v>85</v>
      </c>
      <c r="H243" s="90" t="s">
        <v>132</v>
      </c>
      <c r="I243" s="90">
        <v>93</v>
      </c>
      <c r="J243" s="90">
        <v>157</v>
      </c>
      <c r="K243" s="90" t="s">
        <v>85</v>
      </c>
      <c r="L243" s="90" t="s">
        <v>866</v>
      </c>
      <c r="M243" s="90" t="s">
        <v>119</v>
      </c>
      <c r="N243" s="24" t="s">
        <v>764</v>
      </c>
      <c r="O243" s="24" t="str">
        <f>IF(ISNUMBER(SEARCH("Cancer",N243)),"Cancer",IF(ISNUMBER(SEARCH("health",N243)),"Public health",IF(ISNUMBER(SEARCH("disabilities",N243)),"Disabilities","Other")))</f>
        <v>Other</v>
      </c>
      <c r="P243" s="126">
        <v>2277475</v>
      </c>
      <c r="Q243" s="90" t="s">
        <v>85</v>
      </c>
      <c r="R243" s="90" t="str">
        <f>IF(P243&gt;20000000,"B","A")</f>
        <v>A</v>
      </c>
      <c r="S243" s="90" t="s">
        <v>90</v>
      </c>
      <c r="T243" s="90" t="s">
        <v>119</v>
      </c>
      <c r="U243" s="90" t="s">
        <v>119</v>
      </c>
      <c r="V243" s="90" t="s">
        <v>119</v>
      </c>
      <c r="W243" s="90" t="s">
        <v>119</v>
      </c>
      <c r="X243" s="90" t="s">
        <v>119</v>
      </c>
      <c r="Y243" s="90" t="s">
        <v>119</v>
      </c>
      <c r="Z243" s="90" t="s">
        <v>119</v>
      </c>
      <c r="AA243" s="90" t="s">
        <v>119</v>
      </c>
      <c r="AB243" s="90" t="s">
        <v>119</v>
      </c>
      <c r="AC243" s="90" t="s">
        <v>119</v>
      </c>
      <c r="AD243" s="90" t="s">
        <v>119</v>
      </c>
      <c r="AE243" s="24">
        <v>0</v>
      </c>
      <c r="AF243" s="90">
        <v>0</v>
      </c>
      <c r="AG243" s="24">
        <v>0</v>
      </c>
      <c r="AH243" s="90">
        <v>86249</v>
      </c>
      <c r="AI243" s="24" t="s">
        <v>110</v>
      </c>
      <c r="AJ243" s="24" t="s">
        <v>867</v>
      </c>
      <c r="AK243" s="90" t="s">
        <v>85</v>
      </c>
      <c r="AL243" s="90">
        <v>187440</v>
      </c>
      <c r="AM243" s="90" t="s">
        <v>81</v>
      </c>
      <c r="AN243" s="90" t="s">
        <v>864</v>
      </c>
      <c r="AO243" s="125" t="s">
        <v>791</v>
      </c>
      <c r="AP243" s="24" t="s">
        <v>764</v>
      </c>
      <c r="AQ243" s="90" t="s">
        <v>866</v>
      </c>
      <c r="AR243" s="24" t="s">
        <v>764</v>
      </c>
      <c r="AS243" s="90" t="s">
        <v>119</v>
      </c>
      <c r="AT243" s="24" t="s">
        <v>110</v>
      </c>
      <c r="AU243" s="90" t="s">
        <v>119</v>
      </c>
      <c r="AV243" s="90" t="str">
        <f>IF(ISNUMBER(SEARCH("disagree",AE243)),"N","Y")</f>
        <v>Y</v>
      </c>
      <c r="AW243" s="90" t="s">
        <v>119</v>
      </c>
      <c r="AX243" s="24" t="s">
        <v>119</v>
      </c>
      <c r="AY243" s="90" t="str">
        <f>CONCATENATE(AZ243,BA243,BB243,BC243)</f>
        <v/>
      </c>
      <c r="AZ243" s="90" t="str">
        <f>IF(ISNUMBER(SEARCH("Y",AC243)),"R","")</f>
        <v/>
      </c>
      <c r="BA243" s="90" t="str">
        <f>IF(ISNUMBER(SEARCH("Y",Y243)),"M","")</f>
        <v/>
      </c>
      <c r="BB243" s="90" t="str">
        <f>IF(ISNUMBER(SEARCH("Y",AB243)),"QC","")</f>
        <v/>
      </c>
      <c r="BC243" s="90" t="str">
        <f>IF(ISNUMBER(SEARCH("Y",Z243)),"S","")</f>
        <v/>
      </c>
      <c r="BD243" s="90"/>
      <c r="BE243" s="24" t="s">
        <v>119</v>
      </c>
      <c r="BF243" s="125" t="str">
        <f>IF(AND(AW243&gt;=56543,AW243&lt;=76543,LEN(AW243)&gt;0),"3 Feb 2020",IF(AND(AW243&gt;=66544,AW243&lt;=99999,LEN(AW243)&gt;0),"12 Sep 2020",""))</f>
        <v/>
      </c>
      <c r="BG243" s="125" t="str">
        <f>IF((AND(BF243="3 Feb 2020",LEN(BF243)&gt;0)),"Completed",IF((AND(BF243="12 Sep 2020",LEN(BF243)&gt;0)),"Pending",""))</f>
        <v/>
      </c>
      <c r="BH243" s="90" t="str">
        <f>IF((AND(BF243="3 Feb 2020",LEN(BF243)&gt;0)),"3 Feb 2020","")</f>
        <v/>
      </c>
      <c r="BI243" s="90">
        <v>187440</v>
      </c>
      <c r="BJ243" s="90" t="str">
        <f>L243</f>
        <v>9B40IR89239-22</v>
      </c>
      <c r="BK243" s="127">
        <v>43508</v>
      </c>
      <c r="BL243" s="127">
        <v>44239</v>
      </c>
      <c r="BM243" s="128">
        <f>P243*1.1</f>
        <v>2505222.5</v>
      </c>
      <c r="BN243" s="129">
        <f>P243*0.9</f>
        <v>2049727.5</v>
      </c>
      <c r="BO243" s="130">
        <f>P243*0.8</f>
        <v>1821980</v>
      </c>
      <c r="BP243" s="90">
        <f>IF(Z243="Y",BM243*0.4,BM243*1.05)</f>
        <v>2630483.625</v>
      </c>
      <c r="BQ243" s="90">
        <f>BP243*0.8</f>
        <v>2104386.9</v>
      </c>
      <c r="BR243" s="90" t="str">
        <f>IF(ISNUMBER(SEARCH("subrecipient",AI239)),P243*0.6,"")</f>
        <v/>
      </c>
      <c r="BS243" s="90">
        <v>187440</v>
      </c>
      <c r="BT243" s="90" t="str">
        <f>BJ243</f>
        <v>9B40IR89239-22</v>
      </c>
      <c r="BU243" s="127">
        <f>BK243</f>
        <v>43508</v>
      </c>
      <c r="BV243" s="127">
        <f>BL243</f>
        <v>44239</v>
      </c>
      <c r="BW243" s="90" t="str">
        <f>H243</f>
        <v>FDA</v>
      </c>
      <c r="BX243" s="90" t="str">
        <f>IF(H243="NATIONAL HEMOPHILIA FOUNDATION","Non Federal","Federal")</f>
        <v>Federal</v>
      </c>
      <c r="BY243" s="128">
        <f>BM243</f>
        <v>2505222.5</v>
      </c>
      <c r="BZ243" s="90" t="str">
        <f>IF(LEN(BR243)&gt;0,1,"")</f>
        <v/>
      </c>
      <c r="CA243" s="90" t="str">
        <f>IF(LEN(BR243)&gt;0,"VIRAL HEPATITIS PROJECT","")</f>
        <v/>
      </c>
      <c r="CB243" s="129" t="str">
        <f>IF(LEN(BR243)&gt;0,BM243*0.7,"")</f>
        <v/>
      </c>
      <c r="CC243" s="90">
        <f>BP243</f>
        <v>2630483.625</v>
      </c>
      <c r="CD243" s="90" t="str">
        <f>IF(LEN(BR243)&gt;0,"70%","")</f>
        <v/>
      </c>
      <c r="CE243" s="90">
        <f>BS243</f>
        <v>187440</v>
      </c>
      <c r="CF243" s="90" t="str">
        <f>CA243</f>
        <v/>
      </c>
      <c r="CG243" s="90"/>
      <c r="CH243" s="90"/>
      <c r="CI243" s="90"/>
      <c r="CJ243" s="90"/>
      <c r="CK243" s="90"/>
      <c r="CL243" s="90"/>
      <c r="CM243" s="90"/>
      <c r="CN243" s="90"/>
      <c r="CO243" s="90"/>
      <c r="CP243" s="90"/>
      <c r="CQ243" s="90"/>
      <c r="CR243" s="90"/>
      <c r="CS243" s="90"/>
      <c r="CT243" s="137"/>
    </row>
    <row r="244" spans="1:98" ht="120">
      <c r="A244" s="89">
        <v>188077</v>
      </c>
      <c r="B244" s="90">
        <v>2020</v>
      </c>
      <c r="C244" s="90" t="s">
        <v>81</v>
      </c>
      <c r="D244" s="90" t="s">
        <v>868</v>
      </c>
      <c r="E244" s="125" t="s">
        <v>793</v>
      </c>
      <c r="F244" s="24" t="s">
        <v>869</v>
      </c>
      <c r="G244" s="90" t="s">
        <v>85</v>
      </c>
      <c r="H244" s="90" t="s">
        <v>150</v>
      </c>
      <c r="I244" s="90">
        <v>93</v>
      </c>
      <c r="J244" s="90">
        <v>157</v>
      </c>
      <c r="K244" s="90" t="s">
        <v>85</v>
      </c>
      <c r="L244" s="90" t="s">
        <v>870</v>
      </c>
      <c r="M244" s="90" t="s">
        <v>119</v>
      </c>
      <c r="N244" s="24" t="s">
        <v>871</v>
      </c>
      <c r="O244" s="24" t="str">
        <f>IF(ISNUMBER(SEARCH("Cancer",N244)),"Cancer",IF(ISNUMBER(SEARCH("health",N244)),"Public health",IF(ISNUMBER(SEARCH("disabilities",N244)),"Disabilities","Other")))</f>
        <v>Other</v>
      </c>
      <c r="P244" s="126">
        <v>2012076</v>
      </c>
      <c r="Q244" s="90" t="s">
        <v>85</v>
      </c>
      <c r="R244" s="90" t="str">
        <f>IF(P244&gt;20000000,"B","A")</f>
        <v>A</v>
      </c>
      <c r="S244" s="90" t="s">
        <v>90</v>
      </c>
      <c r="T244" s="90" t="s">
        <v>119</v>
      </c>
      <c r="U244" s="90" t="s">
        <v>119</v>
      </c>
      <c r="V244" s="90" t="s">
        <v>119</v>
      </c>
      <c r="W244" s="90" t="s">
        <v>119</v>
      </c>
      <c r="X244" s="90" t="s">
        <v>119</v>
      </c>
      <c r="Y244" s="90" t="s">
        <v>119</v>
      </c>
      <c r="Z244" s="90" t="s">
        <v>119</v>
      </c>
      <c r="AA244" s="90" t="s">
        <v>119</v>
      </c>
      <c r="AB244" s="90" t="s">
        <v>119</v>
      </c>
      <c r="AC244" s="90" t="s">
        <v>119</v>
      </c>
      <c r="AD244" s="90" t="s">
        <v>119</v>
      </c>
      <c r="AE244" s="24">
        <v>0</v>
      </c>
      <c r="AF244" s="90">
        <v>0</v>
      </c>
      <c r="AG244" s="24">
        <v>0</v>
      </c>
      <c r="AH244" s="90">
        <v>87174</v>
      </c>
      <c r="AI244" s="24" t="s">
        <v>94</v>
      </c>
      <c r="AJ244" s="24" t="s">
        <v>872</v>
      </c>
      <c r="AK244" s="90" t="s">
        <v>85</v>
      </c>
      <c r="AL244" s="90">
        <v>188077</v>
      </c>
      <c r="AM244" s="90" t="s">
        <v>81</v>
      </c>
      <c r="AN244" s="90" t="s">
        <v>868</v>
      </c>
      <c r="AO244" s="125" t="s">
        <v>793</v>
      </c>
      <c r="AP244" s="24" t="s">
        <v>871</v>
      </c>
      <c r="AQ244" s="90" t="s">
        <v>870</v>
      </c>
      <c r="AR244" s="24" t="s">
        <v>871</v>
      </c>
      <c r="AS244" s="90" t="s">
        <v>119</v>
      </c>
      <c r="AT244" s="24" t="s">
        <v>94</v>
      </c>
      <c r="AU244" s="90" t="s">
        <v>119</v>
      </c>
      <c r="AV244" s="90" t="str">
        <f>IF(ISNUMBER(SEARCH("disagree",AE244)),"N","Y")</f>
        <v>Y</v>
      </c>
      <c r="AW244" s="90" t="s">
        <v>119</v>
      </c>
      <c r="AX244" s="24" t="s">
        <v>119</v>
      </c>
      <c r="AY244" s="90" t="str">
        <f>CONCATENATE(AZ244,BA244,BB244,BC244)</f>
        <v/>
      </c>
      <c r="AZ244" s="90" t="str">
        <f>IF(ISNUMBER(SEARCH("Y",AC244)),"R","")</f>
        <v/>
      </c>
      <c r="BA244" s="90" t="str">
        <f>IF(ISNUMBER(SEARCH("Y",Y244)),"M","")</f>
        <v/>
      </c>
      <c r="BB244" s="90" t="str">
        <f>IF(ISNUMBER(SEARCH("Y",AB244)),"QC","")</f>
        <v/>
      </c>
      <c r="BC244" s="90" t="str">
        <f>IF(ISNUMBER(SEARCH("Y",Z244)),"S","")</f>
        <v/>
      </c>
      <c r="BD244" s="90"/>
      <c r="BE244" s="24" t="s">
        <v>119</v>
      </c>
      <c r="BF244" s="125" t="str">
        <f>IF(AND(AW244&gt;=56543,AW244&lt;=76543,LEN(AW244)&gt;0),"3 Feb 2020",IF(AND(AW244&gt;=66544,AW244&lt;=99999,LEN(AW244)&gt;0),"12 Sep 2020",""))</f>
        <v/>
      </c>
      <c r="BG244" s="125" t="str">
        <f>IF((AND(BF244="3 Feb 2020",LEN(BF244)&gt;0)),"Completed",IF((AND(BF244="12 Sep 2020",LEN(BF244)&gt;0)),"Pending",""))</f>
        <v/>
      </c>
      <c r="BH244" s="90" t="str">
        <f>IF((AND(BF244="3 Feb 2020",LEN(BF244)&gt;0)),"3 Feb 2020","")</f>
        <v/>
      </c>
      <c r="BI244" s="90">
        <v>188077</v>
      </c>
      <c r="BJ244" s="90" t="str">
        <f>L244</f>
        <v>6B44ER89114-20</v>
      </c>
      <c r="BK244" s="127">
        <v>43508</v>
      </c>
      <c r="BL244" s="127">
        <v>44239</v>
      </c>
      <c r="BM244" s="128">
        <f>P244*1.1</f>
        <v>2213283.6</v>
      </c>
      <c r="BN244" s="129">
        <f>P244*0.9</f>
        <v>1810868.4000000001</v>
      </c>
      <c r="BO244" s="130">
        <f>P244*0.8</f>
        <v>1609660.8</v>
      </c>
      <c r="BP244" s="90">
        <f>IF(Z244="Y",BM244*0.4,BM244*1.05)</f>
        <v>2323947.7800000003</v>
      </c>
      <c r="BQ244" s="90">
        <f>BP244*0.8</f>
        <v>1859158.2240000004</v>
      </c>
      <c r="BR244" s="90" t="str">
        <f>IF(ISNUMBER(SEARCH("subrecipient",AI240)),P244*0.6,"")</f>
        <v/>
      </c>
      <c r="BS244" s="90">
        <v>188077</v>
      </c>
      <c r="BT244" s="90" t="str">
        <f>BJ244</f>
        <v>6B44ER89114-20</v>
      </c>
      <c r="BU244" s="127">
        <f>BK244</f>
        <v>43508</v>
      </c>
      <c r="BV244" s="127">
        <f>BL244</f>
        <v>44239</v>
      </c>
      <c r="BW244" s="90" t="str">
        <f>H244</f>
        <v>ACF</v>
      </c>
      <c r="BX244" s="90" t="str">
        <f>IF(H244="NATIONAL HEMOPHILIA FOUNDATION","Non Federal","Federal")</f>
        <v>Federal</v>
      </c>
      <c r="BY244" s="128">
        <f>BM244</f>
        <v>2213283.6</v>
      </c>
      <c r="BZ244" s="90" t="str">
        <f>IF(LEN(BR244)&gt;0,1,"")</f>
        <v/>
      </c>
      <c r="CA244" s="90" t="str">
        <f>IF(LEN(BR244)&gt;0,"VIRAL HEPATITIS PROJECT","")</f>
        <v/>
      </c>
      <c r="CB244" s="129" t="str">
        <f>IF(LEN(BR244)&gt;0,BM244*0.7,"")</f>
        <v/>
      </c>
      <c r="CC244" s="90">
        <f>BP244</f>
        <v>2323947.7800000003</v>
      </c>
      <c r="CD244" s="90" t="str">
        <f>IF(LEN(BR244)&gt;0,"70%","")</f>
        <v/>
      </c>
      <c r="CE244" s="90">
        <f>BS244</f>
        <v>188077</v>
      </c>
      <c r="CF244" s="90" t="str">
        <f>CA244</f>
        <v/>
      </c>
      <c r="CG244" s="90"/>
      <c r="CH244" s="90"/>
      <c r="CI244" s="90"/>
      <c r="CJ244" s="90"/>
      <c r="CK244" s="90"/>
      <c r="CL244" s="90"/>
      <c r="CM244" s="90"/>
      <c r="CN244" s="90"/>
      <c r="CO244" s="90"/>
      <c r="CP244" s="90"/>
      <c r="CQ244" s="90"/>
      <c r="CR244" s="90"/>
      <c r="CS244" s="90"/>
      <c r="CT244" s="137"/>
    </row>
    <row r="245" spans="1:98" ht="60">
      <c r="A245" s="89">
        <v>188077</v>
      </c>
      <c r="B245" s="90">
        <v>2020</v>
      </c>
      <c r="C245" s="90" t="s">
        <v>81</v>
      </c>
      <c r="D245" s="90" t="s">
        <v>868</v>
      </c>
      <c r="E245" s="125" t="s">
        <v>780</v>
      </c>
      <c r="F245" s="24" t="s">
        <v>869</v>
      </c>
      <c r="G245" s="90" t="s">
        <v>85</v>
      </c>
      <c r="H245" s="90" t="s">
        <v>150</v>
      </c>
      <c r="I245" s="90">
        <v>93</v>
      </c>
      <c r="J245" s="90">
        <v>157</v>
      </c>
      <c r="K245" s="90" t="s">
        <v>85</v>
      </c>
      <c r="L245" s="90" t="s">
        <v>870</v>
      </c>
      <c r="M245" s="90" t="s">
        <v>119</v>
      </c>
      <c r="N245" s="24" t="s">
        <v>871</v>
      </c>
      <c r="O245" s="24" t="str">
        <f>IF(ISNUMBER(SEARCH("Cancer",N245)),"Cancer",IF(ISNUMBER(SEARCH("health",N245)),"Public health",IF(ISNUMBER(SEARCH("disabilities",N245)),"Disabilities","Other")))</f>
        <v>Other</v>
      </c>
      <c r="P245" s="126">
        <v>2012076</v>
      </c>
      <c r="Q245" s="90" t="s">
        <v>85</v>
      </c>
      <c r="R245" s="90" t="str">
        <f>IF(P245&gt;20000000,"B","A")</f>
        <v>A</v>
      </c>
      <c r="S245" s="90" t="s">
        <v>90</v>
      </c>
      <c r="T245" s="90" t="s">
        <v>119</v>
      </c>
      <c r="U245" s="90" t="s">
        <v>119</v>
      </c>
      <c r="V245" s="90" t="s">
        <v>119</v>
      </c>
      <c r="W245" s="90" t="s">
        <v>119</v>
      </c>
      <c r="X245" s="90" t="s">
        <v>119</v>
      </c>
      <c r="Y245" s="90" t="s">
        <v>119</v>
      </c>
      <c r="Z245" s="90" t="s">
        <v>119</v>
      </c>
      <c r="AA245" s="90" t="s">
        <v>119</v>
      </c>
      <c r="AB245" s="90" t="s">
        <v>119</v>
      </c>
      <c r="AC245" s="90" t="s">
        <v>119</v>
      </c>
      <c r="AD245" s="90" t="s">
        <v>119</v>
      </c>
      <c r="AE245" s="24">
        <v>0</v>
      </c>
      <c r="AF245" s="90">
        <v>0</v>
      </c>
      <c r="AG245" s="24">
        <v>0</v>
      </c>
      <c r="AH245" s="90">
        <v>87176</v>
      </c>
      <c r="AI245" s="24" t="s">
        <v>102</v>
      </c>
      <c r="AJ245" s="24" t="s">
        <v>103</v>
      </c>
      <c r="AK245" s="90" t="s">
        <v>85</v>
      </c>
      <c r="AL245" s="90">
        <v>188077</v>
      </c>
      <c r="AM245" s="90" t="s">
        <v>81</v>
      </c>
      <c r="AN245" s="90" t="s">
        <v>868</v>
      </c>
      <c r="AO245" s="125" t="s">
        <v>780</v>
      </c>
      <c r="AP245" s="24" t="s">
        <v>871</v>
      </c>
      <c r="AQ245" s="90" t="s">
        <v>870</v>
      </c>
      <c r="AR245" s="24" t="s">
        <v>871</v>
      </c>
      <c r="AS245" s="90" t="s">
        <v>119</v>
      </c>
      <c r="AT245" s="24" t="s">
        <v>102</v>
      </c>
      <c r="AU245" s="90" t="s">
        <v>119</v>
      </c>
      <c r="AV245" s="90" t="str">
        <f>IF(ISNUMBER(SEARCH("disagree",AE245)),"N","Y")</f>
        <v>Y</v>
      </c>
      <c r="AW245" s="90" t="s">
        <v>119</v>
      </c>
      <c r="AX245" s="24" t="s">
        <v>119</v>
      </c>
      <c r="AY245" s="90" t="str">
        <f>CONCATENATE(AZ245,BA245,BB245,BC245)</f>
        <v/>
      </c>
      <c r="AZ245" s="90" t="str">
        <f>IF(ISNUMBER(SEARCH("Y",AC245)),"R","")</f>
        <v/>
      </c>
      <c r="BA245" s="90" t="str">
        <f>IF(ISNUMBER(SEARCH("Y",Y245)),"M","")</f>
        <v/>
      </c>
      <c r="BB245" s="90" t="str">
        <f>IF(ISNUMBER(SEARCH("Y",AB245)),"QC","")</f>
        <v/>
      </c>
      <c r="BC245" s="90" t="str">
        <f>IF(ISNUMBER(SEARCH("Y",Z245)),"S","")</f>
        <v/>
      </c>
      <c r="BD245" s="90"/>
      <c r="BE245" s="24" t="s">
        <v>119</v>
      </c>
      <c r="BF245" s="125" t="str">
        <f>IF(AND(AW245&gt;=56543,AW245&lt;=76543,LEN(AW245)&gt;0),"3 Feb 2020",IF(AND(AW245&gt;=66544,AW245&lt;=99999,LEN(AW245)&gt;0),"12 Sep 2020",""))</f>
        <v/>
      </c>
      <c r="BG245" s="125" t="str">
        <f>IF((AND(BF245="3 Feb 2020",LEN(BF245)&gt;0)),"Completed",IF((AND(BF245="12 Sep 2020",LEN(BF245)&gt;0)),"Pending",""))</f>
        <v/>
      </c>
      <c r="BH245" s="90" t="str">
        <f>IF((AND(BF245="3 Feb 2020",LEN(BF245)&gt;0)),"3 Feb 2020","")</f>
        <v/>
      </c>
      <c r="BI245" s="90">
        <v>188077</v>
      </c>
      <c r="BJ245" s="90" t="str">
        <f>L245</f>
        <v>6B44ER89114-20</v>
      </c>
      <c r="BK245" s="127">
        <v>43508</v>
      </c>
      <c r="BL245" s="127">
        <v>44239</v>
      </c>
      <c r="BM245" s="128">
        <f>P245*1.1</f>
        <v>2213283.6</v>
      </c>
      <c r="BN245" s="129">
        <f>P245*0.9</f>
        <v>1810868.4000000001</v>
      </c>
      <c r="BO245" s="130">
        <f>P245*0.8</f>
        <v>1609660.8</v>
      </c>
      <c r="BP245" s="90">
        <f>IF(Z245="Y",BM245*0.4,BM245*1.05)</f>
        <v>2323947.7800000003</v>
      </c>
      <c r="BQ245" s="90">
        <f>BP245*0.8</f>
        <v>1859158.2240000004</v>
      </c>
      <c r="BR245" s="90" t="str">
        <f>IF(ISNUMBER(SEARCH("subrecipient",AI241)),P245*0.6,"")</f>
        <v/>
      </c>
      <c r="BS245" s="90">
        <v>188077</v>
      </c>
      <c r="BT245" s="90" t="str">
        <f>BJ245</f>
        <v>6B44ER89114-20</v>
      </c>
      <c r="BU245" s="127">
        <f>BK245</f>
        <v>43508</v>
      </c>
      <c r="BV245" s="127">
        <f>BL245</f>
        <v>44239</v>
      </c>
      <c r="BW245" s="90" t="str">
        <f>H245</f>
        <v>ACF</v>
      </c>
      <c r="BX245" s="90" t="str">
        <f>IF(H245="NATIONAL HEMOPHILIA FOUNDATION","Non Federal","Federal")</f>
        <v>Federal</v>
      </c>
      <c r="BY245" s="128">
        <f>BM245</f>
        <v>2213283.6</v>
      </c>
      <c r="BZ245" s="90" t="str">
        <f>IF(LEN(BR245)&gt;0,1,"")</f>
        <v/>
      </c>
      <c r="CA245" s="90" t="str">
        <f>IF(LEN(BR245)&gt;0,"VIRAL HEPATITIS PROJECT","")</f>
        <v/>
      </c>
      <c r="CB245" s="129" t="str">
        <f>IF(LEN(BR245)&gt;0,BM245*0.7,"")</f>
        <v/>
      </c>
      <c r="CC245" s="90">
        <f>BP245</f>
        <v>2323947.7800000003</v>
      </c>
      <c r="CD245" s="90" t="str">
        <f>IF(LEN(BR245)&gt;0,"70%","")</f>
        <v/>
      </c>
      <c r="CE245" s="90">
        <f>BS245</f>
        <v>188077</v>
      </c>
      <c r="CF245" s="90" t="str">
        <f>CA245</f>
        <v/>
      </c>
      <c r="CG245" s="90"/>
      <c r="CH245" s="90"/>
      <c r="CI245" s="90"/>
      <c r="CJ245" s="90"/>
      <c r="CK245" s="90"/>
      <c r="CL245" s="90"/>
      <c r="CM245" s="90"/>
      <c r="CN245" s="90"/>
      <c r="CO245" s="90"/>
      <c r="CP245" s="90"/>
      <c r="CQ245" s="90"/>
      <c r="CR245" s="90"/>
      <c r="CS245" s="90"/>
      <c r="CT245" s="137"/>
    </row>
    <row r="246" spans="1:98" ht="60">
      <c r="A246" s="89">
        <v>188077</v>
      </c>
      <c r="B246" s="90">
        <v>2020</v>
      </c>
      <c r="C246" s="90" t="s">
        <v>81</v>
      </c>
      <c r="D246" s="90" t="s">
        <v>868</v>
      </c>
      <c r="E246" s="125" t="s">
        <v>781</v>
      </c>
      <c r="F246" s="24" t="s">
        <v>869</v>
      </c>
      <c r="G246" s="90" t="s">
        <v>85</v>
      </c>
      <c r="H246" s="90" t="s">
        <v>150</v>
      </c>
      <c r="I246" s="90">
        <v>93</v>
      </c>
      <c r="J246" s="90">
        <v>157</v>
      </c>
      <c r="K246" s="90" t="s">
        <v>85</v>
      </c>
      <c r="L246" s="90" t="s">
        <v>870</v>
      </c>
      <c r="M246" s="90" t="s">
        <v>119</v>
      </c>
      <c r="N246" s="24" t="s">
        <v>871</v>
      </c>
      <c r="O246" s="24" t="str">
        <f>IF(ISNUMBER(SEARCH("Cancer",N246)),"Cancer",IF(ISNUMBER(SEARCH("health",N246)),"Public health",IF(ISNUMBER(SEARCH("disabilities",N246)),"Disabilities","Other")))</f>
        <v>Other</v>
      </c>
      <c r="P246" s="126">
        <v>2012076</v>
      </c>
      <c r="Q246" s="90" t="s">
        <v>85</v>
      </c>
      <c r="R246" s="90" t="str">
        <f>IF(P246&gt;20000000,"B","A")</f>
        <v>A</v>
      </c>
      <c r="S246" s="90" t="s">
        <v>90</v>
      </c>
      <c r="T246" s="90" t="s">
        <v>119</v>
      </c>
      <c r="U246" s="90" t="s">
        <v>119</v>
      </c>
      <c r="V246" s="90" t="s">
        <v>119</v>
      </c>
      <c r="W246" s="90" t="s">
        <v>119</v>
      </c>
      <c r="X246" s="90" t="s">
        <v>119</v>
      </c>
      <c r="Y246" s="90" t="s">
        <v>119</v>
      </c>
      <c r="Z246" s="90" t="s">
        <v>119</v>
      </c>
      <c r="AA246" s="90" t="s">
        <v>119</v>
      </c>
      <c r="AB246" s="90" t="s">
        <v>119</v>
      </c>
      <c r="AC246" s="90" t="s">
        <v>119</v>
      </c>
      <c r="AD246" s="90" t="s">
        <v>119</v>
      </c>
      <c r="AE246" s="24">
        <v>0</v>
      </c>
      <c r="AF246" s="90">
        <v>0</v>
      </c>
      <c r="AG246" s="24">
        <v>0</v>
      </c>
      <c r="AH246" s="90">
        <v>87175</v>
      </c>
      <c r="AI246" s="24" t="s">
        <v>124</v>
      </c>
      <c r="AJ246" s="24" t="s">
        <v>873</v>
      </c>
      <c r="AK246" s="90" t="s">
        <v>85</v>
      </c>
      <c r="AL246" s="90">
        <v>188077</v>
      </c>
      <c r="AM246" s="90" t="s">
        <v>81</v>
      </c>
      <c r="AN246" s="90" t="s">
        <v>868</v>
      </c>
      <c r="AO246" s="125" t="s">
        <v>781</v>
      </c>
      <c r="AP246" s="24" t="s">
        <v>871</v>
      </c>
      <c r="AQ246" s="90" t="s">
        <v>870</v>
      </c>
      <c r="AR246" s="24" t="s">
        <v>871</v>
      </c>
      <c r="AS246" s="90" t="s">
        <v>119</v>
      </c>
      <c r="AT246" s="24" t="s">
        <v>124</v>
      </c>
      <c r="AU246" s="90" t="s">
        <v>119</v>
      </c>
      <c r="AV246" s="90" t="str">
        <f>IF(ISNUMBER(SEARCH("disagree",AE246)),"N","Y")</f>
        <v>Y</v>
      </c>
      <c r="AW246" s="90" t="s">
        <v>119</v>
      </c>
      <c r="AX246" s="24" t="s">
        <v>119</v>
      </c>
      <c r="AY246" s="90" t="str">
        <f>CONCATENATE(AZ246,BA246,BB246,BC246)</f>
        <v/>
      </c>
      <c r="AZ246" s="90" t="str">
        <f>IF(ISNUMBER(SEARCH("Y",AC246)),"R","")</f>
        <v/>
      </c>
      <c r="BA246" s="90" t="str">
        <f>IF(ISNUMBER(SEARCH("Y",Y246)),"M","")</f>
        <v/>
      </c>
      <c r="BB246" s="90" t="str">
        <f>IF(ISNUMBER(SEARCH("Y",AB246)),"QC","")</f>
        <v/>
      </c>
      <c r="BC246" s="90" t="str">
        <f>IF(ISNUMBER(SEARCH("Y",Z246)),"S","")</f>
        <v/>
      </c>
      <c r="BD246" s="90"/>
      <c r="BE246" s="24" t="s">
        <v>119</v>
      </c>
      <c r="BF246" s="125" t="str">
        <f>IF(AND(AW246&gt;=56543,AW246&lt;=76543,LEN(AW246)&gt;0),"3 Feb 2020",IF(AND(AW246&gt;=66544,AW246&lt;=99999,LEN(AW246)&gt;0),"12 Sep 2020",""))</f>
        <v/>
      </c>
      <c r="BG246" s="125" t="str">
        <f>IF((AND(BF246="3 Feb 2020",LEN(BF246)&gt;0)),"Completed",IF((AND(BF246="12 Sep 2020",LEN(BF246)&gt;0)),"Pending",""))</f>
        <v/>
      </c>
      <c r="BH246" s="90" t="str">
        <f>IF((AND(BF246="3 Feb 2020",LEN(BF246)&gt;0)),"3 Feb 2020","")</f>
        <v/>
      </c>
      <c r="BI246" s="90">
        <v>188077</v>
      </c>
      <c r="BJ246" s="90" t="str">
        <f>L246</f>
        <v>6B44ER89114-20</v>
      </c>
      <c r="BK246" s="127">
        <v>43508</v>
      </c>
      <c r="BL246" s="127">
        <v>44239</v>
      </c>
      <c r="BM246" s="128">
        <f>P246*1.1</f>
        <v>2213283.6</v>
      </c>
      <c r="BN246" s="129">
        <f>P246*0.9</f>
        <v>1810868.4000000001</v>
      </c>
      <c r="BO246" s="130">
        <f>P246*0.8</f>
        <v>1609660.8</v>
      </c>
      <c r="BP246" s="90">
        <f>IF(Z246="Y",BM246*0.4,BM246*1.05)</f>
        <v>2323947.7800000003</v>
      </c>
      <c r="BQ246" s="90">
        <f>BP246*0.8</f>
        <v>1859158.2240000004</v>
      </c>
      <c r="BR246" s="90" t="str">
        <f>IF(ISNUMBER(SEARCH("subrecipient",AI242)),P246*0.6,"")</f>
        <v/>
      </c>
      <c r="BS246" s="90">
        <v>188077</v>
      </c>
      <c r="BT246" s="90" t="str">
        <f>BJ246</f>
        <v>6B44ER89114-20</v>
      </c>
      <c r="BU246" s="127">
        <f>BK246</f>
        <v>43508</v>
      </c>
      <c r="BV246" s="127">
        <f>BL246</f>
        <v>44239</v>
      </c>
      <c r="BW246" s="90" t="str">
        <f>H246</f>
        <v>ACF</v>
      </c>
      <c r="BX246" s="90" t="str">
        <f>IF(H246="NATIONAL HEMOPHILIA FOUNDATION","Non Federal","Federal")</f>
        <v>Federal</v>
      </c>
      <c r="BY246" s="128">
        <f>BM246</f>
        <v>2213283.6</v>
      </c>
      <c r="BZ246" s="90" t="str">
        <f>IF(LEN(BR246)&gt;0,1,"")</f>
        <v/>
      </c>
      <c r="CA246" s="90" t="str">
        <f>IF(LEN(BR246)&gt;0,"VIRAL HEPATITIS PROJECT","")</f>
        <v/>
      </c>
      <c r="CB246" s="129" t="str">
        <f>IF(LEN(BR246)&gt;0,BM246*0.7,"")</f>
        <v/>
      </c>
      <c r="CC246" s="90">
        <f>BP246</f>
        <v>2323947.7800000003</v>
      </c>
      <c r="CD246" s="90" t="str">
        <f>IF(LEN(BR246)&gt;0,"70%","")</f>
        <v/>
      </c>
      <c r="CE246" s="90">
        <f>BS246</f>
        <v>188077</v>
      </c>
      <c r="CF246" s="90" t="str">
        <f>CA246</f>
        <v/>
      </c>
      <c r="CG246" s="90"/>
      <c r="CH246" s="90"/>
      <c r="CI246" s="90"/>
      <c r="CJ246" s="90"/>
      <c r="CK246" s="90"/>
      <c r="CL246" s="90"/>
      <c r="CM246" s="90"/>
      <c r="CN246" s="90"/>
      <c r="CO246" s="90"/>
      <c r="CP246" s="90"/>
      <c r="CQ246" s="90"/>
      <c r="CR246" s="90"/>
      <c r="CS246" s="90"/>
      <c r="CT246" s="137"/>
    </row>
    <row r="247" spans="1:98" ht="105">
      <c r="A247" s="89">
        <v>188543</v>
      </c>
      <c r="B247" s="90">
        <v>2020</v>
      </c>
      <c r="C247" s="90" t="s">
        <v>81</v>
      </c>
      <c r="D247" s="90" t="s">
        <v>874</v>
      </c>
      <c r="E247" s="125" t="s">
        <v>784</v>
      </c>
      <c r="F247" s="24" t="s">
        <v>875</v>
      </c>
      <c r="G247" s="90" t="s">
        <v>85</v>
      </c>
      <c r="H247" s="90" t="s">
        <v>86</v>
      </c>
      <c r="I247" s="90">
        <v>93</v>
      </c>
      <c r="J247" s="90">
        <v>157</v>
      </c>
      <c r="K247" s="90" t="s">
        <v>85</v>
      </c>
      <c r="L247" s="90" t="s">
        <v>876</v>
      </c>
      <c r="M247" s="90" t="s">
        <v>119</v>
      </c>
      <c r="N247" s="24" t="s">
        <v>877</v>
      </c>
      <c r="O247" s="24" t="str">
        <f>IF(ISNUMBER(SEARCH("Cancer",N247)),"Cancer",IF(ISNUMBER(SEARCH("health",N247)),"Public health",IF(ISNUMBER(SEARCH("disabilities",N247)),"Disabilities","Other")))</f>
        <v>Other</v>
      </c>
      <c r="P247" s="126">
        <v>2435718</v>
      </c>
      <c r="Q247" s="90" t="s">
        <v>85</v>
      </c>
      <c r="R247" s="90" t="str">
        <f>IF(P247&gt;20000000,"B","A")</f>
        <v>A</v>
      </c>
      <c r="S247" s="90" t="s">
        <v>90</v>
      </c>
      <c r="T247" s="90" t="s">
        <v>119</v>
      </c>
      <c r="U247" s="90" t="s">
        <v>119</v>
      </c>
      <c r="V247" s="90" t="s">
        <v>119</v>
      </c>
      <c r="W247" s="90" t="s">
        <v>119</v>
      </c>
      <c r="X247" s="90" t="s">
        <v>119</v>
      </c>
      <c r="Y247" s="90" t="s">
        <v>119</v>
      </c>
      <c r="Z247" s="90" t="s">
        <v>119</v>
      </c>
      <c r="AA247" s="90" t="s">
        <v>119</v>
      </c>
      <c r="AB247" s="90" t="s">
        <v>119</v>
      </c>
      <c r="AC247" s="90" t="s">
        <v>119</v>
      </c>
      <c r="AD247" s="90" t="s">
        <v>119</v>
      </c>
      <c r="AE247" s="24">
        <v>0</v>
      </c>
      <c r="AF247" s="90">
        <v>0</v>
      </c>
      <c r="AG247" s="24">
        <v>0</v>
      </c>
      <c r="AH247" s="90">
        <v>84044</v>
      </c>
      <c r="AI247" s="24" t="s">
        <v>94</v>
      </c>
      <c r="AJ247" s="24" t="s">
        <v>878</v>
      </c>
      <c r="AK247" s="90" t="s">
        <v>85</v>
      </c>
      <c r="AL247" s="90">
        <v>188543</v>
      </c>
      <c r="AM247" s="90" t="s">
        <v>81</v>
      </c>
      <c r="AN247" s="90" t="s">
        <v>874</v>
      </c>
      <c r="AO247" s="125" t="s">
        <v>784</v>
      </c>
      <c r="AP247" s="24" t="s">
        <v>877</v>
      </c>
      <c r="AQ247" s="90" t="s">
        <v>876</v>
      </c>
      <c r="AR247" s="24" t="s">
        <v>877</v>
      </c>
      <c r="AS247" s="90" t="s">
        <v>119</v>
      </c>
      <c r="AT247" s="24" t="s">
        <v>94</v>
      </c>
      <c r="AU247" s="90" t="s">
        <v>119</v>
      </c>
      <c r="AV247" s="90" t="str">
        <f>IF(ISNUMBER(SEARCH("disagree",AE247)),"N","Y")</f>
        <v>Y</v>
      </c>
      <c r="AW247" s="90" t="s">
        <v>119</v>
      </c>
      <c r="AX247" s="24" t="s">
        <v>119</v>
      </c>
      <c r="AY247" s="90" t="str">
        <f>CONCATENATE(AZ247,BA247,BB247,BC247)</f>
        <v/>
      </c>
      <c r="AZ247" s="90" t="str">
        <f>IF(ISNUMBER(SEARCH("Y",AC247)),"R","")</f>
        <v/>
      </c>
      <c r="BA247" s="90" t="str">
        <f>IF(ISNUMBER(SEARCH("Y",Y247)),"M","")</f>
        <v/>
      </c>
      <c r="BB247" s="90" t="str">
        <f>IF(ISNUMBER(SEARCH("Y",AB247)),"QC","")</f>
        <v/>
      </c>
      <c r="BC247" s="90" t="str">
        <f>IF(ISNUMBER(SEARCH("Y",Z247)),"S","")</f>
        <v/>
      </c>
      <c r="BD247" s="90"/>
      <c r="BE247" s="24" t="s">
        <v>119</v>
      </c>
      <c r="BF247" s="125" t="str">
        <f>IF(AND(AW247&gt;=56543,AW247&lt;=76543,LEN(AW247)&gt;0),"3 Feb 2020",IF(AND(AW247&gt;=66544,AW247&lt;=99999,LEN(AW247)&gt;0),"12 Sep 2020",""))</f>
        <v/>
      </c>
      <c r="BG247" s="125" t="str">
        <f>IF((AND(BF247="3 Feb 2020",LEN(BF247)&gt;0)),"Completed",IF((AND(BF247="12 Sep 2020",LEN(BF247)&gt;0)),"Pending",""))</f>
        <v/>
      </c>
      <c r="BH247" s="90" t="str">
        <f>IF((AND(BF247="3 Feb 2020",LEN(BF247)&gt;0)),"3 Feb 2020","")</f>
        <v/>
      </c>
      <c r="BI247" s="90">
        <v>188543</v>
      </c>
      <c r="BJ247" s="90" t="str">
        <f>L247</f>
        <v>2B94CR89539-33</v>
      </c>
      <c r="BK247" s="127">
        <v>43508</v>
      </c>
      <c r="BL247" s="127">
        <v>44239</v>
      </c>
      <c r="BM247" s="128">
        <f>P247*1.1</f>
        <v>2679289.8000000003</v>
      </c>
      <c r="BN247" s="129">
        <f>P247*0.9</f>
        <v>2192146.2000000002</v>
      </c>
      <c r="BO247" s="130">
        <f>P247*0.8</f>
        <v>1948574.4000000001</v>
      </c>
      <c r="BP247" s="90">
        <f>IF(Z247="Y",BM247*0.4,BM247*1.05)</f>
        <v>2813254.2900000005</v>
      </c>
      <c r="BQ247" s="90">
        <f>BP247*0.8</f>
        <v>2250603.4320000005</v>
      </c>
      <c r="BR247" s="90" t="str">
        <f>IF(ISNUMBER(SEARCH("subrecipient",AI243)),P247*0.6,"")</f>
        <v/>
      </c>
      <c r="BS247" s="90">
        <v>188543</v>
      </c>
      <c r="BT247" s="90" t="str">
        <f>BJ247</f>
        <v>2B94CR89539-33</v>
      </c>
      <c r="BU247" s="127">
        <f>BK247</f>
        <v>43508</v>
      </c>
      <c r="BV247" s="127">
        <f>BL247</f>
        <v>44239</v>
      </c>
      <c r="BW247" s="90" t="str">
        <f>H247</f>
        <v>CDC</v>
      </c>
      <c r="BX247" s="90" t="str">
        <f>IF(H247="NATIONAL HEMOPHILIA FOUNDATION","Non Federal","Federal")</f>
        <v>Federal</v>
      </c>
      <c r="BY247" s="128">
        <f>BM247</f>
        <v>2679289.8000000003</v>
      </c>
      <c r="BZ247" s="90" t="str">
        <f>IF(LEN(BR247)&gt;0,1,"")</f>
        <v/>
      </c>
      <c r="CA247" s="90" t="str">
        <f>IF(LEN(BR247)&gt;0,"VIRAL HEPATITIS PROJECT","")</f>
        <v/>
      </c>
      <c r="CB247" s="129" t="str">
        <f>IF(LEN(BR247)&gt;0,BM247*0.7,"")</f>
        <v/>
      </c>
      <c r="CC247" s="90">
        <f>BP247</f>
        <v>2813254.2900000005</v>
      </c>
      <c r="CD247" s="90" t="str">
        <f>IF(LEN(BR247)&gt;0,"70%","")</f>
        <v/>
      </c>
      <c r="CE247" s="90">
        <f>BS247</f>
        <v>188543</v>
      </c>
      <c r="CF247" s="90" t="str">
        <f>CA247</f>
        <v/>
      </c>
      <c r="CG247" s="90"/>
      <c r="CH247" s="90"/>
      <c r="CI247" s="90"/>
      <c r="CJ247" s="90"/>
      <c r="CK247" s="90"/>
      <c r="CL247" s="90"/>
      <c r="CM247" s="90"/>
      <c r="CN247" s="90"/>
      <c r="CO247" s="90"/>
      <c r="CP247" s="90"/>
      <c r="CQ247" s="90"/>
      <c r="CR247" s="90"/>
      <c r="CS247" s="90"/>
      <c r="CT247" s="137"/>
    </row>
    <row r="248" spans="1:98" ht="90">
      <c r="A248" s="89">
        <v>188543</v>
      </c>
      <c r="B248" s="90">
        <v>2020</v>
      </c>
      <c r="C248" s="90" t="s">
        <v>81</v>
      </c>
      <c r="D248" s="90" t="s">
        <v>874</v>
      </c>
      <c r="E248" s="125" t="s">
        <v>790</v>
      </c>
      <c r="F248" s="24" t="s">
        <v>875</v>
      </c>
      <c r="G248" s="90" t="s">
        <v>85</v>
      </c>
      <c r="H248" s="90" t="s">
        <v>86</v>
      </c>
      <c r="I248" s="90">
        <v>93</v>
      </c>
      <c r="J248" s="90">
        <v>157</v>
      </c>
      <c r="K248" s="90" t="s">
        <v>85</v>
      </c>
      <c r="L248" s="90" t="s">
        <v>876</v>
      </c>
      <c r="M248" s="90" t="s">
        <v>119</v>
      </c>
      <c r="N248" s="24" t="s">
        <v>877</v>
      </c>
      <c r="O248" s="24" t="str">
        <f>IF(ISNUMBER(SEARCH("Cancer",N248)),"Cancer",IF(ISNUMBER(SEARCH("health",N248)),"Public health",IF(ISNUMBER(SEARCH("disabilities",N248)),"Disabilities","Other")))</f>
        <v>Other</v>
      </c>
      <c r="P248" s="126">
        <v>2435718</v>
      </c>
      <c r="Q248" s="90" t="s">
        <v>85</v>
      </c>
      <c r="R248" s="90" t="str">
        <f>IF(P248&gt;20000000,"B","A")</f>
        <v>A</v>
      </c>
      <c r="S248" s="90" t="s">
        <v>90</v>
      </c>
      <c r="T248" s="90" t="s">
        <v>119</v>
      </c>
      <c r="U248" s="90" t="s">
        <v>119</v>
      </c>
      <c r="V248" s="90" t="s">
        <v>119</v>
      </c>
      <c r="W248" s="90" t="s">
        <v>119</v>
      </c>
      <c r="X248" s="90" t="s">
        <v>119</v>
      </c>
      <c r="Y248" s="90" t="s">
        <v>119</v>
      </c>
      <c r="Z248" s="90" t="s">
        <v>119</v>
      </c>
      <c r="AA248" s="90" t="s">
        <v>119</v>
      </c>
      <c r="AB248" s="90" t="s">
        <v>119</v>
      </c>
      <c r="AC248" s="90" t="s">
        <v>119</v>
      </c>
      <c r="AD248" s="90" t="s">
        <v>119</v>
      </c>
      <c r="AE248" s="24">
        <v>0</v>
      </c>
      <c r="AF248" s="90">
        <v>0</v>
      </c>
      <c r="AG248" s="24">
        <v>0</v>
      </c>
      <c r="AH248" s="90">
        <v>84045</v>
      </c>
      <c r="AI248" s="24" t="s">
        <v>102</v>
      </c>
      <c r="AJ248" s="24" t="s">
        <v>103</v>
      </c>
      <c r="AK248" s="90" t="s">
        <v>85</v>
      </c>
      <c r="AL248" s="90">
        <v>188543</v>
      </c>
      <c r="AM248" s="90" t="s">
        <v>81</v>
      </c>
      <c r="AN248" s="90" t="s">
        <v>874</v>
      </c>
      <c r="AO248" s="125" t="s">
        <v>790</v>
      </c>
      <c r="AP248" s="24" t="s">
        <v>877</v>
      </c>
      <c r="AQ248" s="90" t="s">
        <v>876</v>
      </c>
      <c r="AR248" s="24" t="s">
        <v>877</v>
      </c>
      <c r="AS248" s="90" t="s">
        <v>119</v>
      </c>
      <c r="AT248" s="24" t="s">
        <v>102</v>
      </c>
      <c r="AU248" s="90" t="s">
        <v>119</v>
      </c>
      <c r="AV248" s="90" t="str">
        <f>IF(ISNUMBER(SEARCH("disagree",AE248)),"N","Y")</f>
        <v>Y</v>
      </c>
      <c r="AW248" s="90" t="s">
        <v>119</v>
      </c>
      <c r="AX248" s="24" t="s">
        <v>119</v>
      </c>
      <c r="AY248" s="90" t="str">
        <f>CONCATENATE(AZ248,BA248,BB248,BC248)</f>
        <v/>
      </c>
      <c r="AZ248" s="90" t="str">
        <f>IF(ISNUMBER(SEARCH("Y",AC248)),"R","")</f>
        <v/>
      </c>
      <c r="BA248" s="90" t="str">
        <f>IF(ISNUMBER(SEARCH("Y",Y248)),"M","")</f>
        <v/>
      </c>
      <c r="BB248" s="90" t="str">
        <f>IF(ISNUMBER(SEARCH("Y",AB248)),"QC","")</f>
        <v/>
      </c>
      <c r="BC248" s="90" t="str">
        <f>IF(ISNUMBER(SEARCH("Y",Z248)),"S","")</f>
        <v/>
      </c>
      <c r="BD248" s="90"/>
      <c r="BE248" s="24" t="s">
        <v>119</v>
      </c>
      <c r="BF248" s="125" t="str">
        <f>IF(AND(AW248&gt;=56543,AW248&lt;=76543,LEN(AW248)&gt;0),"3 Feb 2020",IF(AND(AW248&gt;=66544,AW248&lt;=99999,LEN(AW248)&gt;0),"12 Sep 2020",""))</f>
        <v/>
      </c>
      <c r="BG248" s="125" t="str">
        <f>IF((AND(BF248="3 Feb 2020",LEN(BF248)&gt;0)),"Completed",IF((AND(BF248="12 Sep 2020",LEN(BF248)&gt;0)),"Pending",""))</f>
        <v/>
      </c>
      <c r="BH248" s="90" t="str">
        <f>IF((AND(BF248="3 Feb 2020",LEN(BF248)&gt;0)),"3 Feb 2020","")</f>
        <v/>
      </c>
      <c r="BI248" s="90">
        <v>188543</v>
      </c>
      <c r="BJ248" s="90" t="str">
        <f>L248</f>
        <v>2B94CR89539-33</v>
      </c>
      <c r="BK248" s="127">
        <v>43508</v>
      </c>
      <c r="BL248" s="127">
        <v>44239</v>
      </c>
      <c r="BM248" s="128">
        <f>P248*1.1</f>
        <v>2679289.8000000003</v>
      </c>
      <c r="BN248" s="129">
        <f>P248*0.9</f>
        <v>2192146.2000000002</v>
      </c>
      <c r="BO248" s="130">
        <f>P248*0.8</f>
        <v>1948574.4000000001</v>
      </c>
      <c r="BP248" s="90">
        <f>IF(Z248="Y",BM248*0.4,BM248*1.05)</f>
        <v>2813254.2900000005</v>
      </c>
      <c r="BQ248" s="90">
        <f>BP248*0.8</f>
        <v>2250603.4320000005</v>
      </c>
      <c r="BR248" s="90" t="str">
        <f>IF(ISNUMBER(SEARCH("subrecipient",AI244)),P248*0.6,"")</f>
        <v/>
      </c>
      <c r="BS248" s="90">
        <v>188543</v>
      </c>
      <c r="BT248" s="90" t="str">
        <f>BJ248</f>
        <v>2B94CR89539-33</v>
      </c>
      <c r="BU248" s="127">
        <f>BK248</f>
        <v>43508</v>
      </c>
      <c r="BV248" s="127">
        <f>BL248</f>
        <v>44239</v>
      </c>
      <c r="BW248" s="90" t="str">
        <f>H248</f>
        <v>CDC</v>
      </c>
      <c r="BX248" s="90" t="str">
        <f>IF(H248="NATIONAL HEMOPHILIA FOUNDATION","Non Federal","Federal")</f>
        <v>Federal</v>
      </c>
      <c r="BY248" s="128">
        <f>BM248</f>
        <v>2679289.8000000003</v>
      </c>
      <c r="BZ248" s="90" t="str">
        <f>IF(LEN(BR248)&gt;0,1,"")</f>
        <v/>
      </c>
      <c r="CA248" s="90" t="str">
        <f>IF(LEN(BR248)&gt;0,"VIRAL HEPATITIS PROJECT","")</f>
        <v/>
      </c>
      <c r="CB248" s="129" t="str">
        <f>IF(LEN(BR248)&gt;0,BM248*0.7,"")</f>
        <v/>
      </c>
      <c r="CC248" s="90">
        <f>BP248</f>
        <v>2813254.2900000005</v>
      </c>
      <c r="CD248" s="90" t="str">
        <f>IF(LEN(BR248)&gt;0,"70%","")</f>
        <v/>
      </c>
      <c r="CE248" s="90">
        <f>BS248</f>
        <v>188543</v>
      </c>
      <c r="CF248" s="90" t="str">
        <f>CA248</f>
        <v/>
      </c>
      <c r="CG248" s="90"/>
      <c r="CH248" s="90"/>
      <c r="CI248" s="90"/>
      <c r="CJ248" s="90"/>
      <c r="CK248" s="90"/>
      <c r="CL248" s="90"/>
      <c r="CM248" s="90"/>
      <c r="CN248" s="90"/>
      <c r="CO248" s="90"/>
      <c r="CP248" s="90"/>
      <c r="CQ248" s="90"/>
      <c r="CR248" s="90"/>
      <c r="CS248" s="90"/>
      <c r="CT248" s="137"/>
    </row>
    <row r="249" spans="1:98" ht="165">
      <c r="A249" s="89">
        <v>194098</v>
      </c>
      <c r="B249" s="90">
        <v>2020</v>
      </c>
      <c r="C249" s="90" t="s">
        <v>81</v>
      </c>
      <c r="D249" s="90" t="s">
        <v>879</v>
      </c>
      <c r="E249" s="125" t="s">
        <v>791</v>
      </c>
      <c r="F249" s="24" t="s">
        <v>880</v>
      </c>
      <c r="G249" s="90" t="s">
        <v>85</v>
      </c>
      <c r="H249" s="90" t="s">
        <v>117</v>
      </c>
      <c r="I249" s="90">
        <v>93</v>
      </c>
      <c r="J249" s="90">
        <v>157</v>
      </c>
      <c r="K249" s="90" t="s">
        <v>85</v>
      </c>
      <c r="L249" s="90" t="s">
        <v>881</v>
      </c>
      <c r="M249" s="90" t="s">
        <v>119</v>
      </c>
      <c r="N249" s="24" t="s">
        <v>882</v>
      </c>
      <c r="O249" s="24" t="str">
        <f>IF(ISNUMBER(SEARCH("Cancer",N249)),"Cancer",IF(ISNUMBER(SEARCH("health",N249)),"Public health",IF(ISNUMBER(SEARCH("disabilities",N249)),"Disabilities","Other")))</f>
        <v>Other</v>
      </c>
      <c r="P249" s="126">
        <v>2100086</v>
      </c>
      <c r="Q249" s="90" t="s">
        <v>85</v>
      </c>
      <c r="R249" s="90" t="str">
        <f>IF(P249&gt;20000000,"B","A")</f>
        <v>A</v>
      </c>
      <c r="S249" s="90" t="s">
        <v>90</v>
      </c>
      <c r="T249" s="90" t="s">
        <v>119</v>
      </c>
      <c r="U249" s="90" t="s">
        <v>119</v>
      </c>
      <c r="V249" s="90" t="s">
        <v>119</v>
      </c>
      <c r="W249" s="90" t="s">
        <v>119</v>
      </c>
      <c r="X249" s="90" t="s">
        <v>119</v>
      </c>
      <c r="Y249" s="90" t="s">
        <v>119</v>
      </c>
      <c r="Z249" s="90" t="s">
        <v>119</v>
      </c>
      <c r="AA249" s="90" t="s">
        <v>119</v>
      </c>
      <c r="AB249" s="90" t="s">
        <v>119</v>
      </c>
      <c r="AC249" s="90" t="s">
        <v>119</v>
      </c>
      <c r="AD249" s="90" t="s">
        <v>119</v>
      </c>
      <c r="AE249" s="24">
        <v>0</v>
      </c>
      <c r="AF249" s="90">
        <v>0</v>
      </c>
      <c r="AG249" s="24">
        <v>0</v>
      </c>
      <c r="AH249" s="90">
        <v>89365</v>
      </c>
      <c r="AI249" s="24" t="s">
        <v>94</v>
      </c>
      <c r="AJ249" s="24" t="s">
        <v>883</v>
      </c>
      <c r="AK249" s="90" t="s">
        <v>85</v>
      </c>
      <c r="AL249" s="90">
        <v>194098</v>
      </c>
      <c r="AM249" s="90" t="s">
        <v>81</v>
      </c>
      <c r="AN249" s="90" t="s">
        <v>879</v>
      </c>
      <c r="AO249" s="125" t="s">
        <v>791</v>
      </c>
      <c r="AP249" s="24" t="s">
        <v>882</v>
      </c>
      <c r="AQ249" s="90" t="s">
        <v>881</v>
      </c>
      <c r="AR249" s="24" t="s">
        <v>882</v>
      </c>
      <c r="AS249" s="90" t="s">
        <v>119</v>
      </c>
      <c r="AT249" s="24" t="s">
        <v>94</v>
      </c>
      <c r="AU249" s="90" t="s">
        <v>119</v>
      </c>
      <c r="AV249" s="90" t="str">
        <f>IF(ISNUMBER(SEARCH("disagree",AE249)),"N","Y")</f>
        <v>Y</v>
      </c>
      <c r="AW249" s="90" t="s">
        <v>119</v>
      </c>
      <c r="AX249" s="24" t="s">
        <v>119</v>
      </c>
      <c r="AY249" s="90" t="str">
        <f>CONCATENATE(AZ249,BA249,BB249,BC249)</f>
        <v/>
      </c>
      <c r="AZ249" s="90" t="str">
        <f>IF(ISNUMBER(SEARCH("Y",AC249)),"R","")</f>
        <v/>
      </c>
      <c r="BA249" s="90" t="str">
        <f>IF(ISNUMBER(SEARCH("Y",Y249)),"M","")</f>
        <v/>
      </c>
      <c r="BB249" s="90" t="str">
        <f>IF(ISNUMBER(SEARCH("Y",AB249)),"QC","")</f>
        <v/>
      </c>
      <c r="BC249" s="90" t="str">
        <f>IF(ISNUMBER(SEARCH("Y",Z249)),"S","")</f>
        <v/>
      </c>
      <c r="BD249" s="90"/>
      <c r="BE249" s="24" t="s">
        <v>119</v>
      </c>
      <c r="BF249" s="125" t="str">
        <f>IF(AND(AW249&gt;=56543,AW249&lt;=76543,LEN(AW249)&gt;0),"3 Feb 2020",IF(AND(AW249&gt;=66544,AW249&lt;=99999,LEN(AW249)&gt;0),"12 Sep 2020",""))</f>
        <v/>
      </c>
      <c r="BG249" s="125" t="str">
        <f>IF((AND(BF249="3 Feb 2020",LEN(BF249)&gt;0)),"Completed",IF((AND(BF249="12 Sep 2020",LEN(BF249)&gt;0)),"Pending",""))</f>
        <v/>
      </c>
      <c r="BH249" s="90" t="str">
        <f>IF((AND(BF249="3 Feb 2020",LEN(BF249)&gt;0)),"3 Feb 2020","")</f>
        <v/>
      </c>
      <c r="BI249" s="90">
        <v>194098</v>
      </c>
      <c r="BJ249" s="90" t="str">
        <f>L249</f>
        <v>3B65DR83224-52</v>
      </c>
      <c r="BK249" s="127">
        <v>43508</v>
      </c>
      <c r="BL249" s="127">
        <v>44239</v>
      </c>
      <c r="BM249" s="128">
        <f>P249*1.1</f>
        <v>2310094.6</v>
      </c>
      <c r="BN249" s="129">
        <f>P249*0.9</f>
        <v>1890077.4000000001</v>
      </c>
      <c r="BO249" s="130">
        <f>P249*0.8</f>
        <v>1680068.8</v>
      </c>
      <c r="BP249" s="90">
        <f>IF(Z249="Y",BM249*0.4,BM249*1.05)</f>
        <v>2425599.33</v>
      </c>
      <c r="BQ249" s="90">
        <f>BP249*0.8</f>
        <v>1940479.4640000002</v>
      </c>
      <c r="BR249" s="90" t="str">
        <f>IF(ISNUMBER(SEARCH("subrecipient",AI245)),P249*0.6,"")</f>
        <v/>
      </c>
      <c r="BS249" s="90">
        <v>194098</v>
      </c>
      <c r="BT249" s="90" t="str">
        <f>BJ249</f>
        <v>3B65DR83224-52</v>
      </c>
      <c r="BU249" s="127">
        <f>BK249</f>
        <v>43508</v>
      </c>
      <c r="BV249" s="127">
        <f>BL249</f>
        <v>44239</v>
      </c>
      <c r="BW249" s="90" t="str">
        <f>H249</f>
        <v>NIH</v>
      </c>
      <c r="BX249" s="90" t="str">
        <f>IF(H249="NATIONAL HEMOPHILIA FOUNDATION","Non Federal","Federal")</f>
        <v>Federal</v>
      </c>
      <c r="BY249" s="128">
        <f>BM249</f>
        <v>2310094.6</v>
      </c>
      <c r="BZ249" s="90" t="str">
        <f>IF(LEN(BR249)&gt;0,1,"")</f>
        <v/>
      </c>
      <c r="CA249" s="90" t="str">
        <f>IF(LEN(BR249)&gt;0,"VIRAL HEPATITIS PROJECT","")</f>
        <v/>
      </c>
      <c r="CB249" s="129" t="str">
        <f>IF(LEN(BR249)&gt;0,BM249*0.7,"")</f>
        <v/>
      </c>
      <c r="CC249" s="90">
        <f>BP249</f>
        <v>2425599.33</v>
      </c>
      <c r="CD249" s="90" t="str">
        <f>IF(LEN(BR249)&gt;0,"70%","")</f>
        <v/>
      </c>
      <c r="CE249" s="90">
        <f>BS249</f>
        <v>194098</v>
      </c>
      <c r="CF249" s="90" t="str">
        <f>CA249</f>
        <v/>
      </c>
      <c r="CG249" s="90"/>
      <c r="CH249" s="90"/>
      <c r="CI249" s="90"/>
      <c r="CJ249" s="90"/>
      <c r="CK249" s="90"/>
      <c r="CL249" s="90"/>
      <c r="CM249" s="90"/>
      <c r="CN249" s="90"/>
      <c r="CO249" s="90"/>
      <c r="CP249" s="90"/>
      <c r="CQ249" s="90"/>
      <c r="CR249" s="90"/>
      <c r="CS249" s="90"/>
      <c r="CT249" s="137"/>
    </row>
    <row r="250" spans="1:98" ht="60">
      <c r="A250" s="89">
        <v>194098</v>
      </c>
      <c r="B250" s="90">
        <v>2020</v>
      </c>
      <c r="C250" s="90" t="s">
        <v>81</v>
      </c>
      <c r="D250" s="90" t="s">
        <v>879</v>
      </c>
      <c r="E250" s="125" t="s">
        <v>793</v>
      </c>
      <c r="F250" s="24" t="s">
        <v>880</v>
      </c>
      <c r="G250" s="90" t="s">
        <v>85</v>
      </c>
      <c r="H250" s="90" t="s">
        <v>117</v>
      </c>
      <c r="I250" s="90">
        <v>93</v>
      </c>
      <c r="J250" s="90">
        <v>157</v>
      </c>
      <c r="K250" s="90" t="s">
        <v>85</v>
      </c>
      <c r="L250" s="90" t="s">
        <v>881</v>
      </c>
      <c r="M250" s="90" t="s">
        <v>119</v>
      </c>
      <c r="N250" s="24" t="s">
        <v>882</v>
      </c>
      <c r="O250" s="24" t="str">
        <f>IF(ISNUMBER(SEARCH("Cancer",N250)),"Cancer",IF(ISNUMBER(SEARCH("health",N250)),"Public health",IF(ISNUMBER(SEARCH("disabilities",N250)),"Disabilities","Other")))</f>
        <v>Other</v>
      </c>
      <c r="P250" s="126">
        <v>2100086</v>
      </c>
      <c r="Q250" s="90" t="s">
        <v>85</v>
      </c>
      <c r="R250" s="90" t="str">
        <f>IF(P250&gt;20000000,"B","A")</f>
        <v>A</v>
      </c>
      <c r="S250" s="90" t="s">
        <v>90</v>
      </c>
      <c r="T250" s="90" t="s">
        <v>119</v>
      </c>
      <c r="U250" s="90" t="s">
        <v>119</v>
      </c>
      <c r="V250" s="90" t="s">
        <v>119</v>
      </c>
      <c r="W250" s="90" t="s">
        <v>119</v>
      </c>
      <c r="X250" s="90" t="s">
        <v>119</v>
      </c>
      <c r="Y250" s="90" t="s">
        <v>119</v>
      </c>
      <c r="Z250" s="90" t="s">
        <v>119</v>
      </c>
      <c r="AA250" s="90" t="s">
        <v>119</v>
      </c>
      <c r="AB250" s="90" t="s">
        <v>119</v>
      </c>
      <c r="AC250" s="90" t="s">
        <v>119</v>
      </c>
      <c r="AD250" s="90" t="s">
        <v>119</v>
      </c>
      <c r="AE250" s="24">
        <v>0</v>
      </c>
      <c r="AF250" s="90">
        <v>0</v>
      </c>
      <c r="AG250" s="24">
        <v>0</v>
      </c>
      <c r="AH250" s="90">
        <v>89363</v>
      </c>
      <c r="AI250" s="24" t="s">
        <v>102</v>
      </c>
      <c r="AJ250" s="24" t="s">
        <v>884</v>
      </c>
      <c r="AK250" s="90" t="s">
        <v>85</v>
      </c>
      <c r="AL250" s="90">
        <v>194098</v>
      </c>
      <c r="AM250" s="90" t="s">
        <v>81</v>
      </c>
      <c r="AN250" s="90" t="s">
        <v>879</v>
      </c>
      <c r="AO250" s="125" t="s">
        <v>793</v>
      </c>
      <c r="AP250" s="24" t="s">
        <v>882</v>
      </c>
      <c r="AQ250" s="90" t="s">
        <v>881</v>
      </c>
      <c r="AR250" s="24" t="s">
        <v>882</v>
      </c>
      <c r="AS250" s="90" t="s">
        <v>119</v>
      </c>
      <c r="AT250" s="24" t="s">
        <v>102</v>
      </c>
      <c r="AU250" s="90" t="s">
        <v>119</v>
      </c>
      <c r="AV250" s="90" t="str">
        <f>IF(ISNUMBER(SEARCH("disagree",AE250)),"N","Y")</f>
        <v>Y</v>
      </c>
      <c r="AW250" s="90" t="s">
        <v>119</v>
      </c>
      <c r="AX250" s="24" t="s">
        <v>119</v>
      </c>
      <c r="AY250" s="90" t="str">
        <f>CONCATENATE(AZ250,BA250,BB250,BC250)</f>
        <v/>
      </c>
      <c r="AZ250" s="90" t="str">
        <f>IF(ISNUMBER(SEARCH("Y",AC250)),"R","")</f>
        <v/>
      </c>
      <c r="BA250" s="90" t="str">
        <f>IF(ISNUMBER(SEARCH("Y",Y250)),"M","")</f>
        <v/>
      </c>
      <c r="BB250" s="90" t="str">
        <f>IF(ISNUMBER(SEARCH("Y",AB250)),"QC","")</f>
        <v/>
      </c>
      <c r="BC250" s="90" t="str">
        <f>IF(ISNUMBER(SEARCH("Y",Z250)),"S","")</f>
        <v/>
      </c>
      <c r="BD250" s="90"/>
      <c r="BE250" s="24" t="s">
        <v>119</v>
      </c>
      <c r="BF250" s="125" t="str">
        <f>IF(AND(AW250&gt;=56543,AW250&lt;=76543,LEN(AW250)&gt;0),"3 Feb 2020",IF(AND(AW250&gt;=66544,AW250&lt;=99999,LEN(AW250)&gt;0),"12 Sep 2020",""))</f>
        <v/>
      </c>
      <c r="BG250" s="125" t="str">
        <f>IF((AND(BF250="3 Feb 2020",LEN(BF250)&gt;0)),"Completed",IF((AND(BF250="12 Sep 2020",LEN(BF250)&gt;0)),"Pending",""))</f>
        <v/>
      </c>
      <c r="BH250" s="90" t="str">
        <f>IF((AND(BF250="3 Feb 2020",LEN(BF250)&gt;0)),"3 Feb 2020","")</f>
        <v/>
      </c>
      <c r="BI250" s="90">
        <v>194098</v>
      </c>
      <c r="BJ250" s="90" t="str">
        <f>L250</f>
        <v>3B65DR83224-52</v>
      </c>
      <c r="BK250" s="127">
        <v>43508</v>
      </c>
      <c r="BL250" s="127">
        <v>44239</v>
      </c>
      <c r="BM250" s="128">
        <f>P250*1.1</f>
        <v>2310094.6</v>
      </c>
      <c r="BN250" s="129">
        <f>P250*0.9</f>
        <v>1890077.4000000001</v>
      </c>
      <c r="BO250" s="130">
        <f>P250*0.8</f>
        <v>1680068.8</v>
      </c>
      <c r="BP250" s="90">
        <f>IF(Z250="Y",BM250*0.4,BM250*1.05)</f>
        <v>2425599.33</v>
      </c>
      <c r="BQ250" s="90">
        <f>BP250*0.8</f>
        <v>1940479.4640000002</v>
      </c>
      <c r="BR250" s="90" t="str">
        <f>IF(ISNUMBER(SEARCH("subrecipient",AI246)),P250*0.6,"")</f>
        <v/>
      </c>
      <c r="BS250" s="90">
        <v>194098</v>
      </c>
      <c r="BT250" s="90" t="str">
        <f>BJ250</f>
        <v>3B65DR83224-52</v>
      </c>
      <c r="BU250" s="127">
        <f>BK250</f>
        <v>43508</v>
      </c>
      <c r="BV250" s="127">
        <f>BL250</f>
        <v>44239</v>
      </c>
      <c r="BW250" s="90" t="str">
        <f>H250</f>
        <v>NIH</v>
      </c>
      <c r="BX250" s="90" t="str">
        <f>IF(H250="NATIONAL HEMOPHILIA FOUNDATION","Non Federal","Federal")</f>
        <v>Federal</v>
      </c>
      <c r="BY250" s="128">
        <f>BM250</f>
        <v>2310094.6</v>
      </c>
      <c r="BZ250" s="90" t="str">
        <f>IF(LEN(BR250)&gt;0,1,"")</f>
        <v/>
      </c>
      <c r="CA250" s="90" t="str">
        <f>IF(LEN(BR250)&gt;0,"VIRAL HEPATITIS PROJECT","")</f>
        <v/>
      </c>
      <c r="CB250" s="129" t="str">
        <f>IF(LEN(BR250)&gt;0,BM250*0.7,"")</f>
        <v/>
      </c>
      <c r="CC250" s="90">
        <f>BP250</f>
        <v>2425599.33</v>
      </c>
      <c r="CD250" s="90" t="str">
        <f>IF(LEN(BR250)&gt;0,"70%","")</f>
        <v/>
      </c>
      <c r="CE250" s="90">
        <f>BS250</f>
        <v>194098</v>
      </c>
      <c r="CF250" s="90" t="str">
        <f>CA250</f>
        <v/>
      </c>
      <c r="CG250" s="90"/>
      <c r="CH250" s="90"/>
      <c r="CI250" s="90"/>
      <c r="CJ250" s="90"/>
      <c r="CK250" s="90"/>
      <c r="CL250" s="90"/>
      <c r="CM250" s="90"/>
      <c r="CN250" s="90"/>
      <c r="CO250" s="90"/>
      <c r="CP250" s="90"/>
      <c r="CQ250" s="90"/>
      <c r="CR250" s="90"/>
      <c r="CS250" s="90"/>
      <c r="CT250" s="137"/>
    </row>
    <row r="251" spans="1:98" ht="90">
      <c r="A251" s="89">
        <v>194098</v>
      </c>
      <c r="B251" s="90">
        <v>2020</v>
      </c>
      <c r="C251" s="90" t="s">
        <v>81</v>
      </c>
      <c r="D251" s="90" t="s">
        <v>879</v>
      </c>
      <c r="E251" s="125" t="s">
        <v>780</v>
      </c>
      <c r="F251" s="24" t="s">
        <v>880</v>
      </c>
      <c r="G251" s="90" t="s">
        <v>85</v>
      </c>
      <c r="H251" s="90" t="s">
        <v>117</v>
      </c>
      <c r="I251" s="90">
        <v>93</v>
      </c>
      <c r="J251" s="90">
        <v>157</v>
      </c>
      <c r="K251" s="90" t="s">
        <v>85</v>
      </c>
      <c r="L251" s="90" t="s">
        <v>881</v>
      </c>
      <c r="M251" s="90" t="s">
        <v>119</v>
      </c>
      <c r="N251" s="24" t="s">
        <v>882</v>
      </c>
      <c r="O251" s="24" t="str">
        <f>IF(ISNUMBER(SEARCH("Cancer",N251)),"Cancer",IF(ISNUMBER(SEARCH("health",N251)),"Public health",IF(ISNUMBER(SEARCH("disabilities",N251)),"Disabilities","Other")))</f>
        <v>Other</v>
      </c>
      <c r="P251" s="126">
        <v>2100086</v>
      </c>
      <c r="Q251" s="90" t="s">
        <v>85</v>
      </c>
      <c r="R251" s="90" t="str">
        <f>IF(P251&gt;20000000,"B","A")</f>
        <v>A</v>
      </c>
      <c r="S251" s="90" t="s">
        <v>90</v>
      </c>
      <c r="T251" s="90" t="s">
        <v>119</v>
      </c>
      <c r="U251" s="90" t="s">
        <v>119</v>
      </c>
      <c r="V251" s="90" t="s">
        <v>119</v>
      </c>
      <c r="W251" s="90" t="s">
        <v>119</v>
      </c>
      <c r="X251" s="90" t="s">
        <v>119</v>
      </c>
      <c r="Y251" s="90" t="s">
        <v>119</v>
      </c>
      <c r="Z251" s="90" t="s">
        <v>119</v>
      </c>
      <c r="AA251" s="90" t="s">
        <v>119</v>
      </c>
      <c r="AB251" s="90" t="s">
        <v>119</v>
      </c>
      <c r="AC251" s="90" t="s">
        <v>119</v>
      </c>
      <c r="AD251" s="90" t="s">
        <v>119</v>
      </c>
      <c r="AE251" s="24">
        <v>0</v>
      </c>
      <c r="AF251" s="90">
        <v>0</v>
      </c>
      <c r="AG251" s="24">
        <v>0</v>
      </c>
      <c r="AH251" s="90">
        <v>89364</v>
      </c>
      <c r="AI251" s="24" t="s">
        <v>885</v>
      </c>
      <c r="AJ251" s="24" t="s">
        <v>886</v>
      </c>
      <c r="AK251" s="90" t="s">
        <v>85</v>
      </c>
      <c r="AL251" s="90">
        <v>194098</v>
      </c>
      <c r="AM251" s="90" t="s">
        <v>81</v>
      </c>
      <c r="AN251" s="90" t="s">
        <v>879</v>
      </c>
      <c r="AO251" s="125" t="s">
        <v>780</v>
      </c>
      <c r="AP251" s="24" t="s">
        <v>882</v>
      </c>
      <c r="AQ251" s="90" t="s">
        <v>881</v>
      </c>
      <c r="AR251" s="24" t="s">
        <v>882</v>
      </c>
      <c r="AS251" s="90" t="s">
        <v>119</v>
      </c>
      <c r="AT251" s="24" t="s">
        <v>885</v>
      </c>
      <c r="AU251" s="90" t="s">
        <v>119</v>
      </c>
      <c r="AV251" s="90" t="str">
        <f>IF(ISNUMBER(SEARCH("disagree",AE251)),"N","Y")</f>
        <v>Y</v>
      </c>
      <c r="AW251" s="90" t="s">
        <v>119</v>
      </c>
      <c r="AX251" s="24" t="s">
        <v>119</v>
      </c>
      <c r="AY251" s="90" t="str">
        <f>CONCATENATE(AZ251,BA251,BB251,BC251)</f>
        <v/>
      </c>
      <c r="AZ251" s="90" t="str">
        <f>IF(ISNUMBER(SEARCH("Y",AC251)),"R","")</f>
        <v/>
      </c>
      <c r="BA251" s="90" t="str">
        <f>IF(ISNUMBER(SEARCH("Y",Y251)),"M","")</f>
        <v/>
      </c>
      <c r="BB251" s="90" t="str">
        <f>IF(ISNUMBER(SEARCH("Y",AB251)),"QC","")</f>
        <v/>
      </c>
      <c r="BC251" s="90" t="str">
        <f>IF(ISNUMBER(SEARCH("Y",Z251)),"S","")</f>
        <v/>
      </c>
      <c r="BD251" s="90"/>
      <c r="BE251" s="24" t="s">
        <v>119</v>
      </c>
      <c r="BF251" s="125" t="str">
        <f>IF(AND(AW251&gt;=56543,AW251&lt;=76543,LEN(AW251)&gt;0),"3 Feb 2020",IF(AND(AW251&gt;=66544,AW251&lt;=99999,LEN(AW251)&gt;0),"12 Sep 2020",""))</f>
        <v/>
      </c>
      <c r="BG251" s="125" t="str">
        <f>IF((AND(BF251="3 Feb 2020",LEN(BF251)&gt;0)),"Completed",IF((AND(BF251="12 Sep 2020",LEN(BF251)&gt;0)),"Pending",""))</f>
        <v/>
      </c>
      <c r="BH251" s="90" t="str">
        <f>IF((AND(BF251="3 Feb 2020",LEN(BF251)&gt;0)),"3 Feb 2020","")</f>
        <v/>
      </c>
      <c r="BI251" s="90">
        <v>194098</v>
      </c>
      <c r="BJ251" s="90" t="str">
        <f>L251</f>
        <v>3B65DR83224-52</v>
      </c>
      <c r="BK251" s="127">
        <v>43508</v>
      </c>
      <c r="BL251" s="127">
        <v>44239</v>
      </c>
      <c r="BM251" s="128">
        <f>P251*1.1</f>
        <v>2310094.6</v>
      </c>
      <c r="BN251" s="129">
        <f>P251*0.9</f>
        <v>1890077.4000000001</v>
      </c>
      <c r="BO251" s="130">
        <f>P251*0.8</f>
        <v>1680068.8</v>
      </c>
      <c r="BP251" s="90">
        <f>IF(Z251="Y",BM251*0.4,BM251*1.05)</f>
        <v>2425599.33</v>
      </c>
      <c r="BQ251" s="90">
        <f>BP251*0.8</f>
        <v>1940479.4640000002</v>
      </c>
      <c r="BR251" s="90" t="str">
        <f>IF(ISNUMBER(SEARCH("subrecipient",AI247)),P251*0.6,"")</f>
        <v/>
      </c>
      <c r="BS251" s="90">
        <v>194098</v>
      </c>
      <c r="BT251" s="90" t="str">
        <f>BJ251</f>
        <v>3B65DR83224-52</v>
      </c>
      <c r="BU251" s="127">
        <f>BK251</f>
        <v>43508</v>
      </c>
      <c r="BV251" s="127">
        <f>BL251</f>
        <v>44239</v>
      </c>
      <c r="BW251" s="90" t="str">
        <f>H251</f>
        <v>NIH</v>
      </c>
      <c r="BX251" s="90" t="str">
        <f>IF(H251="NATIONAL HEMOPHILIA FOUNDATION","Non Federal","Federal")</f>
        <v>Federal</v>
      </c>
      <c r="BY251" s="128">
        <f>BM251</f>
        <v>2310094.6</v>
      </c>
      <c r="BZ251" s="90" t="str">
        <f>IF(LEN(BR251)&gt;0,1,"")</f>
        <v/>
      </c>
      <c r="CA251" s="90" t="str">
        <f>IF(LEN(BR251)&gt;0,"VIRAL HEPATITIS PROJECT","")</f>
        <v/>
      </c>
      <c r="CB251" s="129" t="str">
        <f>IF(LEN(BR251)&gt;0,BM251*0.7,"")</f>
        <v/>
      </c>
      <c r="CC251" s="90">
        <f>BP251</f>
        <v>2425599.33</v>
      </c>
      <c r="CD251" s="90" t="str">
        <f>IF(LEN(BR251)&gt;0,"70%","")</f>
        <v/>
      </c>
      <c r="CE251" s="90">
        <f>BS251</f>
        <v>194098</v>
      </c>
      <c r="CF251" s="90" t="str">
        <f>CA251</f>
        <v/>
      </c>
      <c r="CG251" s="90"/>
      <c r="CH251" s="90"/>
      <c r="CI251" s="90"/>
      <c r="CJ251" s="90"/>
      <c r="CK251" s="90"/>
      <c r="CL251" s="90"/>
      <c r="CM251" s="90"/>
      <c r="CN251" s="90"/>
      <c r="CO251" s="90"/>
      <c r="CP251" s="90"/>
      <c r="CQ251" s="90"/>
      <c r="CR251" s="90"/>
      <c r="CS251" s="90"/>
      <c r="CT251" s="137"/>
    </row>
    <row r="252" spans="1:98" ht="195">
      <c r="A252" s="89">
        <v>194589</v>
      </c>
      <c r="B252" s="90">
        <v>2020</v>
      </c>
      <c r="C252" s="90" t="s">
        <v>81</v>
      </c>
      <c r="D252" s="90" t="s">
        <v>887</v>
      </c>
      <c r="E252" s="125" t="s">
        <v>781</v>
      </c>
      <c r="F252" s="24" t="s">
        <v>888</v>
      </c>
      <c r="G252" s="90" t="s">
        <v>85</v>
      </c>
      <c r="H252" s="90" t="s">
        <v>132</v>
      </c>
      <c r="I252" s="90">
        <v>93</v>
      </c>
      <c r="J252" s="90">
        <v>157</v>
      </c>
      <c r="K252" s="90" t="s">
        <v>85</v>
      </c>
      <c r="L252" s="90" t="s">
        <v>889</v>
      </c>
      <c r="M252" s="90" t="s">
        <v>119</v>
      </c>
      <c r="N252" s="24" t="s">
        <v>890</v>
      </c>
      <c r="O252" s="24" t="str">
        <f>IF(ISNUMBER(SEARCH("Cancer",N252)),"Cancer",IF(ISNUMBER(SEARCH("health",N252)),"Public health",IF(ISNUMBER(SEARCH("disabilities",N252)),"Disabilities","Other")))</f>
        <v>Other</v>
      </c>
      <c r="P252" s="126">
        <v>2284754</v>
      </c>
      <c r="Q252" s="90" t="s">
        <v>85</v>
      </c>
      <c r="R252" s="90" t="str">
        <f>IF(P252&gt;20000000,"B","A")</f>
        <v>A</v>
      </c>
      <c r="S252" s="90" t="s">
        <v>90</v>
      </c>
      <c r="T252" s="90" t="s">
        <v>119</v>
      </c>
      <c r="U252" s="90" t="s">
        <v>119</v>
      </c>
      <c r="V252" s="90" t="s">
        <v>119</v>
      </c>
      <c r="W252" s="90" t="s">
        <v>119</v>
      </c>
      <c r="X252" s="90" t="s">
        <v>119</v>
      </c>
      <c r="Y252" s="90" t="s">
        <v>119</v>
      </c>
      <c r="Z252" s="90" t="s">
        <v>119</v>
      </c>
      <c r="AA252" s="90" t="s">
        <v>119</v>
      </c>
      <c r="AB252" s="90" t="s">
        <v>119</v>
      </c>
      <c r="AC252" s="90" t="s">
        <v>119</v>
      </c>
      <c r="AD252" s="90" t="s">
        <v>119</v>
      </c>
      <c r="AE252" s="24">
        <v>0</v>
      </c>
      <c r="AF252" s="90">
        <v>0</v>
      </c>
      <c r="AG252" s="24">
        <v>0</v>
      </c>
      <c r="AH252" s="90">
        <v>89526</v>
      </c>
      <c r="AI252" s="24" t="s">
        <v>94</v>
      </c>
      <c r="AJ252" s="24" t="s">
        <v>891</v>
      </c>
      <c r="AK252" s="90" t="s">
        <v>85</v>
      </c>
      <c r="AL252" s="90">
        <v>194589</v>
      </c>
      <c r="AM252" s="90" t="s">
        <v>81</v>
      </c>
      <c r="AN252" s="90" t="s">
        <v>887</v>
      </c>
      <c r="AO252" s="125" t="s">
        <v>781</v>
      </c>
      <c r="AP252" s="24" t="s">
        <v>890</v>
      </c>
      <c r="AQ252" s="90" t="s">
        <v>889</v>
      </c>
      <c r="AR252" s="24" t="s">
        <v>890</v>
      </c>
      <c r="AS252" s="90" t="s">
        <v>119</v>
      </c>
      <c r="AT252" s="24" t="s">
        <v>94</v>
      </c>
      <c r="AU252" s="90" t="s">
        <v>119</v>
      </c>
      <c r="AV252" s="90" t="str">
        <f>IF(ISNUMBER(SEARCH("disagree",AE252)),"N","Y")</f>
        <v>Y</v>
      </c>
      <c r="AW252" s="90" t="s">
        <v>119</v>
      </c>
      <c r="AX252" s="24" t="s">
        <v>119</v>
      </c>
      <c r="AY252" s="90" t="str">
        <f>CONCATENATE(AZ252,BA252,BB252,BC252)</f>
        <v/>
      </c>
      <c r="AZ252" s="90" t="str">
        <f>IF(ISNUMBER(SEARCH("Y",AC252)),"R","")</f>
        <v/>
      </c>
      <c r="BA252" s="90" t="str">
        <f>IF(ISNUMBER(SEARCH("Y",Y252)),"M","")</f>
        <v/>
      </c>
      <c r="BB252" s="90" t="str">
        <f>IF(ISNUMBER(SEARCH("Y",AB252)),"QC","")</f>
        <v/>
      </c>
      <c r="BC252" s="90" t="str">
        <f>IF(ISNUMBER(SEARCH("Y",Z252)),"S","")</f>
        <v/>
      </c>
      <c r="BD252" s="90"/>
      <c r="BE252" s="24" t="s">
        <v>119</v>
      </c>
      <c r="BF252" s="125" t="str">
        <f>IF(AND(AW252&gt;=56543,AW252&lt;=76543,LEN(AW252)&gt;0),"3 Feb 2020",IF(AND(AW252&gt;=66544,AW252&lt;=99999,LEN(AW252)&gt;0),"12 Sep 2020",""))</f>
        <v/>
      </c>
      <c r="BG252" s="125" t="str">
        <f>IF((AND(BF252="3 Feb 2020",LEN(BF252)&gt;0)),"Completed",IF((AND(BF252="12 Sep 2020",LEN(BF252)&gt;0)),"Pending",""))</f>
        <v/>
      </c>
      <c r="BH252" s="90" t="str">
        <f>IF((AND(BF252="3 Feb 2020",LEN(BF252)&gt;0)),"3 Feb 2020","")</f>
        <v/>
      </c>
      <c r="BI252" s="90">
        <v>194589</v>
      </c>
      <c r="BJ252" s="90" t="str">
        <f>L252</f>
        <v>5C59FS86250-77</v>
      </c>
      <c r="BK252" s="127">
        <v>43508</v>
      </c>
      <c r="BL252" s="127">
        <v>44239</v>
      </c>
      <c r="BM252" s="128">
        <f>P252*1.1</f>
        <v>2513229.4000000004</v>
      </c>
      <c r="BN252" s="129">
        <f>P252*0.9</f>
        <v>2056278.6</v>
      </c>
      <c r="BO252" s="130">
        <f>P252*0.8</f>
        <v>1827803.2000000002</v>
      </c>
      <c r="BP252" s="90">
        <f>IF(Z252="Y",BM252*0.4,BM252*1.05)</f>
        <v>2638890.8700000006</v>
      </c>
      <c r="BQ252" s="90">
        <f>BP252*0.8</f>
        <v>2111112.6960000005</v>
      </c>
      <c r="BR252" s="90" t="str">
        <f>IF(ISNUMBER(SEARCH("subrecipient",AI248)),P252*0.6,"")</f>
        <v/>
      </c>
      <c r="BS252" s="90">
        <v>194589</v>
      </c>
      <c r="BT252" s="90" t="str">
        <f>BJ252</f>
        <v>5C59FS86250-77</v>
      </c>
      <c r="BU252" s="127">
        <f>BK252</f>
        <v>43508</v>
      </c>
      <c r="BV252" s="127">
        <f>BL252</f>
        <v>44239</v>
      </c>
      <c r="BW252" s="90" t="str">
        <f>H252</f>
        <v>FDA</v>
      </c>
      <c r="BX252" s="90" t="str">
        <f>IF(H252="NATIONAL HEMOPHILIA FOUNDATION","Non Federal","Federal")</f>
        <v>Federal</v>
      </c>
      <c r="BY252" s="128">
        <f>BM252</f>
        <v>2513229.4000000004</v>
      </c>
      <c r="BZ252" s="90" t="str">
        <f>IF(LEN(BR252)&gt;0,1,"")</f>
        <v/>
      </c>
      <c r="CA252" s="90" t="str">
        <f>IF(LEN(BR252)&gt;0,"VIRAL HEPATITIS PROJECT","")</f>
        <v/>
      </c>
      <c r="CB252" s="129" t="str">
        <f>IF(LEN(BR252)&gt;0,BM252*0.7,"")</f>
        <v/>
      </c>
      <c r="CC252" s="90">
        <f>BP252</f>
        <v>2638890.8700000006</v>
      </c>
      <c r="CD252" s="90" t="str">
        <f>IF(LEN(BR252)&gt;0,"70%","")</f>
        <v/>
      </c>
      <c r="CE252" s="90">
        <f>BS252</f>
        <v>194589</v>
      </c>
      <c r="CF252" s="90" t="str">
        <f>CA252</f>
        <v/>
      </c>
      <c r="CG252" s="90"/>
      <c r="CH252" s="90"/>
      <c r="CI252" s="90"/>
      <c r="CJ252" s="90"/>
      <c r="CK252" s="90"/>
      <c r="CL252" s="90"/>
      <c r="CM252" s="90"/>
      <c r="CN252" s="90"/>
      <c r="CO252" s="90"/>
      <c r="CP252" s="90"/>
      <c r="CQ252" s="90"/>
      <c r="CR252" s="90"/>
      <c r="CS252" s="90"/>
      <c r="CT252" s="137"/>
    </row>
    <row r="253" spans="1:98" ht="195">
      <c r="A253" s="89">
        <v>194589</v>
      </c>
      <c r="B253" s="90">
        <v>2020</v>
      </c>
      <c r="C253" s="90" t="s">
        <v>81</v>
      </c>
      <c r="D253" s="90" t="s">
        <v>887</v>
      </c>
      <c r="E253" s="125" t="s">
        <v>784</v>
      </c>
      <c r="F253" s="24" t="s">
        <v>888</v>
      </c>
      <c r="G253" s="90" t="s">
        <v>85</v>
      </c>
      <c r="H253" s="90" t="s">
        <v>132</v>
      </c>
      <c r="I253" s="90">
        <v>93</v>
      </c>
      <c r="J253" s="90">
        <v>157</v>
      </c>
      <c r="K253" s="90" t="s">
        <v>85</v>
      </c>
      <c r="L253" s="90" t="s">
        <v>889</v>
      </c>
      <c r="M253" s="90" t="s">
        <v>119</v>
      </c>
      <c r="N253" s="24" t="s">
        <v>890</v>
      </c>
      <c r="O253" s="24" t="str">
        <f>IF(ISNUMBER(SEARCH("Cancer",N253)),"Cancer",IF(ISNUMBER(SEARCH("health",N253)),"Public health",IF(ISNUMBER(SEARCH("disabilities",N253)),"Disabilities","Other")))</f>
        <v>Other</v>
      </c>
      <c r="P253" s="126">
        <v>2284754</v>
      </c>
      <c r="Q253" s="90" t="s">
        <v>85</v>
      </c>
      <c r="R253" s="90" t="str">
        <f>IF(P253&gt;20000000,"B","A")</f>
        <v>A</v>
      </c>
      <c r="S253" s="90" t="s">
        <v>90</v>
      </c>
      <c r="T253" s="90" t="s">
        <v>119</v>
      </c>
      <c r="U253" s="90" t="s">
        <v>119</v>
      </c>
      <c r="V253" s="90" t="s">
        <v>119</v>
      </c>
      <c r="W253" s="90" t="s">
        <v>119</v>
      </c>
      <c r="X253" s="90" t="s">
        <v>119</v>
      </c>
      <c r="Y253" s="90" t="s">
        <v>119</v>
      </c>
      <c r="Z253" s="90" t="s">
        <v>119</v>
      </c>
      <c r="AA253" s="90" t="s">
        <v>119</v>
      </c>
      <c r="AB253" s="90" t="s">
        <v>119</v>
      </c>
      <c r="AC253" s="90" t="s">
        <v>119</v>
      </c>
      <c r="AD253" s="90" t="s">
        <v>119</v>
      </c>
      <c r="AE253" s="24">
        <v>0</v>
      </c>
      <c r="AF253" s="90">
        <v>0</v>
      </c>
      <c r="AG253" s="24">
        <v>0</v>
      </c>
      <c r="AH253" s="90">
        <v>89525</v>
      </c>
      <c r="AI253" s="24" t="s">
        <v>102</v>
      </c>
      <c r="AJ253" s="24" t="s">
        <v>103</v>
      </c>
      <c r="AK253" s="90" t="s">
        <v>85</v>
      </c>
      <c r="AL253" s="90">
        <v>194589</v>
      </c>
      <c r="AM253" s="90" t="s">
        <v>81</v>
      </c>
      <c r="AN253" s="90" t="s">
        <v>887</v>
      </c>
      <c r="AO253" s="125" t="s">
        <v>784</v>
      </c>
      <c r="AP253" s="24" t="s">
        <v>890</v>
      </c>
      <c r="AQ253" s="90" t="s">
        <v>889</v>
      </c>
      <c r="AR253" s="24" t="s">
        <v>890</v>
      </c>
      <c r="AS253" s="90" t="s">
        <v>119</v>
      </c>
      <c r="AT253" s="24" t="s">
        <v>102</v>
      </c>
      <c r="AU253" s="90" t="s">
        <v>119</v>
      </c>
      <c r="AV253" s="90" t="str">
        <f>IF(ISNUMBER(SEARCH("disagree",AE253)),"N","Y")</f>
        <v>Y</v>
      </c>
      <c r="AW253" s="90" t="s">
        <v>119</v>
      </c>
      <c r="AX253" s="24" t="s">
        <v>119</v>
      </c>
      <c r="AY253" s="90" t="str">
        <f>CONCATENATE(AZ253,BA253,BB253,BC253)</f>
        <v/>
      </c>
      <c r="AZ253" s="90" t="str">
        <f>IF(ISNUMBER(SEARCH("Y",AC253)),"R","")</f>
        <v/>
      </c>
      <c r="BA253" s="90" t="str">
        <f>IF(ISNUMBER(SEARCH("Y",Y253)),"M","")</f>
        <v/>
      </c>
      <c r="BB253" s="90" t="str">
        <f>IF(ISNUMBER(SEARCH("Y",AB253)),"QC","")</f>
        <v/>
      </c>
      <c r="BC253" s="90" t="str">
        <f>IF(ISNUMBER(SEARCH("Y",Z253)),"S","")</f>
        <v/>
      </c>
      <c r="BD253" s="90"/>
      <c r="BE253" s="24" t="s">
        <v>119</v>
      </c>
      <c r="BF253" s="125" t="str">
        <f>IF(AND(AW253&gt;=56543,AW253&lt;=76543,LEN(AW253)&gt;0),"3 Feb 2020",IF(AND(AW253&gt;=66544,AW253&lt;=99999,LEN(AW253)&gt;0),"12 Sep 2020",""))</f>
        <v/>
      </c>
      <c r="BG253" s="125" t="str">
        <f>IF((AND(BF253="3 Feb 2020",LEN(BF253)&gt;0)),"Completed",IF((AND(BF253="12 Sep 2020",LEN(BF253)&gt;0)),"Pending",""))</f>
        <v/>
      </c>
      <c r="BH253" s="90" t="str">
        <f>IF((AND(BF253="3 Feb 2020",LEN(BF253)&gt;0)),"3 Feb 2020","")</f>
        <v/>
      </c>
      <c r="BI253" s="90">
        <v>194589</v>
      </c>
      <c r="BJ253" s="90" t="str">
        <f>L253</f>
        <v>5C59FS86250-77</v>
      </c>
      <c r="BK253" s="127">
        <v>43508</v>
      </c>
      <c r="BL253" s="127">
        <v>44239</v>
      </c>
      <c r="BM253" s="128">
        <f>P253*1.1</f>
        <v>2513229.4000000004</v>
      </c>
      <c r="BN253" s="129">
        <f>P253*0.9</f>
        <v>2056278.6</v>
      </c>
      <c r="BO253" s="130">
        <f>P253*0.8</f>
        <v>1827803.2000000002</v>
      </c>
      <c r="BP253" s="90">
        <f>IF(Z253="Y",BM253*0.4,BM253*1.05)</f>
        <v>2638890.8700000006</v>
      </c>
      <c r="BQ253" s="90">
        <f>BP253*0.8</f>
        <v>2111112.6960000005</v>
      </c>
      <c r="BR253" s="90" t="str">
        <f>IF(ISNUMBER(SEARCH("subrecipient",AI249)),P253*0.6,"")</f>
        <v/>
      </c>
      <c r="BS253" s="90">
        <v>194589</v>
      </c>
      <c r="BT253" s="90" t="str">
        <f>BJ253</f>
        <v>5C59FS86250-77</v>
      </c>
      <c r="BU253" s="127">
        <f>BK253</f>
        <v>43508</v>
      </c>
      <c r="BV253" s="127">
        <f>BL253</f>
        <v>44239</v>
      </c>
      <c r="BW253" s="90" t="str">
        <f>H253</f>
        <v>FDA</v>
      </c>
      <c r="BX253" s="90" t="str">
        <f>IF(H253="NATIONAL HEMOPHILIA FOUNDATION","Non Federal","Federal")</f>
        <v>Federal</v>
      </c>
      <c r="BY253" s="128">
        <f>BM253</f>
        <v>2513229.4000000004</v>
      </c>
      <c r="BZ253" s="90" t="str">
        <f>IF(LEN(BR253)&gt;0,1,"")</f>
        <v/>
      </c>
      <c r="CA253" s="90" t="str">
        <f>IF(LEN(BR253)&gt;0,"VIRAL HEPATITIS PROJECT","")</f>
        <v/>
      </c>
      <c r="CB253" s="129" t="str">
        <f>IF(LEN(BR253)&gt;0,BM253*0.7,"")</f>
        <v/>
      </c>
      <c r="CC253" s="90">
        <f>BP253</f>
        <v>2638890.8700000006</v>
      </c>
      <c r="CD253" s="90" t="str">
        <f>IF(LEN(BR253)&gt;0,"70%","")</f>
        <v/>
      </c>
      <c r="CE253" s="90">
        <f>BS253</f>
        <v>194589</v>
      </c>
      <c r="CF253" s="90" t="str">
        <f>CA253</f>
        <v/>
      </c>
      <c r="CG253" s="90"/>
      <c r="CH253" s="90"/>
      <c r="CI253" s="90"/>
      <c r="CJ253" s="90"/>
      <c r="CK253" s="90"/>
      <c r="CL253" s="90"/>
      <c r="CM253" s="90"/>
      <c r="CN253" s="90"/>
      <c r="CO253" s="90"/>
      <c r="CP253" s="90"/>
      <c r="CQ253" s="90"/>
      <c r="CR253" s="90"/>
      <c r="CS253" s="90"/>
      <c r="CT253" s="137"/>
    </row>
    <row r="254" spans="1:98" ht="195">
      <c r="A254" s="89">
        <v>194589</v>
      </c>
      <c r="B254" s="90">
        <v>2020</v>
      </c>
      <c r="C254" s="90" t="s">
        <v>81</v>
      </c>
      <c r="D254" s="90" t="s">
        <v>887</v>
      </c>
      <c r="E254" s="125" t="s">
        <v>790</v>
      </c>
      <c r="F254" s="24" t="s">
        <v>888</v>
      </c>
      <c r="G254" s="90" t="s">
        <v>85</v>
      </c>
      <c r="H254" s="90" t="s">
        <v>132</v>
      </c>
      <c r="I254" s="90">
        <v>93</v>
      </c>
      <c r="J254" s="90">
        <v>157</v>
      </c>
      <c r="K254" s="90" t="s">
        <v>85</v>
      </c>
      <c r="L254" s="90" t="s">
        <v>889</v>
      </c>
      <c r="M254" s="90" t="s">
        <v>119</v>
      </c>
      <c r="N254" s="24" t="s">
        <v>890</v>
      </c>
      <c r="O254" s="24" t="str">
        <f>IF(ISNUMBER(SEARCH("Cancer",N254)),"Cancer",IF(ISNUMBER(SEARCH("health",N254)),"Public health",IF(ISNUMBER(SEARCH("disabilities",N254)),"Disabilities","Other")))</f>
        <v>Other</v>
      </c>
      <c r="P254" s="126">
        <v>2284754</v>
      </c>
      <c r="Q254" s="90" t="s">
        <v>85</v>
      </c>
      <c r="R254" s="90" t="str">
        <f>IF(P254&gt;20000000,"B","A")</f>
        <v>A</v>
      </c>
      <c r="S254" s="90" t="s">
        <v>90</v>
      </c>
      <c r="T254" s="90" t="s">
        <v>119</v>
      </c>
      <c r="U254" s="90" t="s">
        <v>119</v>
      </c>
      <c r="V254" s="90" t="s">
        <v>119</v>
      </c>
      <c r="W254" s="90" t="s">
        <v>119</v>
      </c>
      <c r="X254" s="90" t="s">
        <v>119</v>
      </c>
      <c r="Y254" s="90" t="s">
        <v>119</v>
      </c>
      <c r="Z254" s="90" t="s">
        <v>119</v>
      </c>
      <c r="AA254" s="90" t="s">
        <v>119</v>
      </c>
      <c r="AB254" s="90" t="s">
        <v>119</v>
      </c>
      <c r="AC254" s="90" t="s">
        <v>119</v>
      </c>
      <c r="AD254" s="90" t="s">
        <v>119</v>
      </c>
      <c r="AE254" s="24">
        <v>0</v>
      </c>
      <c r="AF254" s="90">
        <v>0</v>
      </c>
      <c r="AG254" s="24">
        <v>0</v>
      </c>
      <c r="AH254" s="90">
        <v>89527</v>
      </c>
      <c r="AI254" s="24" t="s">
        <v>110</v>
      </c>
      <c r="AJ254" s="24" t="s">
        <v>892</v>
      </c>
      <c r="AK254" s="90" t="s">
        <v>85</v>
      </c>
      <c r="AL254" s="90">
        <v>194589</v>
      </c>
      <c r="AM254" s="90" t="s">
        <v>81</v>
      </c>
      <c r="AN254" s="90" t="s">
        <v>887</v>
      </c>
      <c r="AO254" s="125" t="s">
        <v>790</v>
      </c>
      <c r="AP254" s="24" t="s">
        <v>890</v>
      </c>
      <c r="AQ254" s="90" t="s">
        <v>889</v>
      </c>
      <c r="AR254" s="24" t="s">
        <v>890</v>
      </c>
      <c r="AS254" s="90" t="s">
        <v>119</v>
      </c>
      <c r="AT254" s="24" t="s">
        <v>110</v>
      </c>
      <c r="AU254" s="90" t="s">
        <v>119</v>
      </c>
      <c r="AV254" s="90" t="str">
        <f>IF(ISNUMBER(SEARCH("disagree",AE254)),"N","Y")</f>
        <v>Y</v>
      </c>
      <c r="AW254" s="90" t="s">
        <v>119</v>
      </c>
      <c r="AX254" s="24" t="s">
        <v>119</v>
      </c>
      <c r="AY254" s="90" t="str">
        <f>CONCATENATE(AZ254,BA254,BB254,BC254)</f>
        <v/>
      </c>
      <c r="AZ254" s="90" t="str">
        <f>IF(ISNUMBER(SEARCH("Y",AC254)),"R","")</f>
        <v/>
      </c>
      <c r="BA254" s="90" t="str">
        <f>IF(ISNUMBER(SEARCH("Y",Y254)),"M","")</f>
        <v/>
      </c>
      <c r="BB254" s="90" t="str">
        <f>IF(ISNUMBER(SEARCH("Y",AB254)),"QC","")</f>
        <v/>
      </c>
      <c r="BC254" s="90" t="str">
        <f>IF(ISNUMBER(SEARCH("Y",Z254)),"S","")</f>
        <v/>
      </c>
      <c r="BD254" s="90"/>
      <c r="BE254" s="24" t="s">
        <v>119</v>
      </c>
      <c r="BF254" s="125" t="str">
        <f>IF(AND(AW254&gt;=56543,AW254&lt;=76543,LEN(AW254)&gt;0),"3 Feb 2020",IF(AND(AW254&gt;=66544,AW254&lt;=99999,LEN(AW254)&gt;0),"12 Sep 2020",""))</f>
        <v/>
      </c>
      <c r="BG254" s="125" t="str">
        <f>IF((AND(BF254="3 Feb 2020",LEN(BF254)&gt;0)),"Completed",IF((AND(BF254="12 Sep 2020",LEN(BF254)&gt;0)),"Pending",""))</f>
        <v/>
      </c>
      <c r="BH254" s="90" t="str">
        <f>IF((AND(BF254="3 Feb 2020",LEN(BF254)&gt;0)),"3 Feb 2020","")</f>
        <v/>
      </c>
      <c r="BI254" s="90">
        <v>194589</v>
      </c>
      <c r="BJ254" s="90" t="str">
        <f>L254</f>
        <v>5C59FS86250-77</v>
      </c>
      <c r="BK254" s="127">
        <v>43508</v>
      </c>
      <c r="BL254" s="127">
        <v>44239</v>
      </c>
      <c r="BM254" s="128">
        <f>P254*1.1</f>
        <v>2513229.4000000004</v>
      </c>
      <c r="BN254" s="129">
        <f>P254*0.9</f>
        <v>2056278.6</v>
      </c>
      <c r="BO254" s="130">
        <f>P254*0.8</f>
        <v>1827803.2000000002</v>
      </c>
      <c r="BP254" s="90">
        <f>IF(Z254="Y",BM254*0.4,BM254*1.05)</f>
        <v>2638890.8700000006</v>
      </c>
      <c r="BQ254" s="90">
        <f>BP254*0.8</f>
        <v>2111112.6960000005</v>
      </c>
      <c r="BR254" s="90" t="str">
        <f>IF(ISNUMBER(SEARCH("subrecipient",AI250)),P254*0.6,"")</f>
        <v/>
      </c>
      <c r="BS254" s="90">
        <v>194589</v>
      </c>
      <c r="BT254" s="90" t="str">
        <f>BJ254</f>
        <v>5C59FS86250-77</v>
      </c>
      <c r="BU254" s="127">
        <f>BK254</f>
        <v>43508</v>
      </c>
      <c r="BV254" s="127">
        <f>BL254</f>
        <v>44239</v>
      </c>
      <c r="BW254" s="90" t="str">
        <f>H254</f>
        <v>FDA</v>
      </c>
      <c r="BX254" s="90" t="str">
        <f>IF(H254="NATIONAL HEMOPHILIA FOUNDATION","Non Federal","Federal")</f>
        <v>Federal</v>
      </c>
      <c r="BY254" s="128">
        <f>BM254</f>
        <v>2513229.4000000004</v>
      </c>
      <c r="BZ254" s="90" t="str">
        <f>IF(LEN(BR254)&gt;0,1,"")</f>
        <v/>
      </c>
      <c r="CA254" s="90" t="str">
        <f>IF(LEN(BR254)&gt;0,"VIRAL HEPATITIS PROJECT","")</f>
        <v/>
      </c>
      <c r="CB254" s="129" t="str">
        <f>IF(LEN(BR254)&gt;0,BM254*0.7,"")</f>
        <v/>
      </c>
      <c r="CC254" s="90">
        <f>BP254</f>
        <v>2638890.8700000006</v>
      </c>
      <c r="CD254" s="90" t="str">
        <f>IF(LEN(BR254)&gt;0,"70%","")</f>
        <v/>
      </c>
      <c r="CE254" s="90">
        <f>BS254</f>
        <v>194589</v>
      </c>
      <c r="CF254" s="90" t="str">
        <f>CA254</f>
        <v/>
      </c>
      <c r="CG254" s="90"/>
      <c r="CH254" s="90"/>
      <c r="CI254" s="90"/>
      <c r="CJ254" s="90"/>
      <c r="CK254" s="90"/>
      <c r="CL254" s="90"/>
      <c r="CM254" s="90"/>
      <c r="CN254" s="90"/>
      <c r="CO254" s="90"/>
      <c r="CP254" s="90"/>
      <c r="CQ254" s="90"/>
      <c r="CR254" s="90"/>
      <c r="CS254" s="90"/>
      <c r="CT254" s="137"/>
    </row>
    <row r="255" spans="1:98" ht="75">
      <c r="A255" s="89">
        <v>194597</v>
      </c>
      <c r="B255" s="90">
        <v>2020</v>
      </c>
      <c r="C255" s="90" t="s">
        <v>81</v>
      </c>
      <c r="D255" s="90" t="s">
        <v>893</v>
      </c>
      <c r="E255" s="125" t="s">
        <v>791</v>
      </c>
      <c r="F255" s="24" t="s">
        <v>894</v>
      </c>
      <c r="G255" s="90" t="s">
        <v>85</v>
      </c>
      <c r="H255" s="90" t="s">
        <v>150</v>
      </c>
      <c r="I255" s="90">
        <v>93</v>
      </c>
      <c r="J255" s="90">
        <v>157</v>
      </c>
      <c r="K255" s="90" t="s">
        <v>85</v>
      </c>
      <c r="L255" s="90" t="s">
        <v>895</v>
      </c>
      <c r="M255" s="90" t="s">
        <v>119</v>
      </c>
      <c r="N255" s="24" t="s">
        <v>896</v>
      </c>
      <c r="O255" s="24" t="str">
        <f>IF(ISNUMBER(SEARCH("Cancer",N255)),"Cancer",IF(ISNUMBER(SEARCH("health",N255)),"Public health",IF(ISNUMBER(SEARCH("disabilities",N255)),"Disabilities","Other")))</f>
        <v>Other</v>
      </c>
      <c r="P255" s="126">
        <v>2569841</v>
      </c>
      <c r="Q255" s="90" t="s">
        <v>85</v>
      </c>
      <c r="R255" s="90" t="str">
        <f>IF(P255&gt;20000000,"B","A")</f>
        <v>A</v>
      </c>
      <c r="S255" s="90" t="s">
        <v>90</v>
      </c>
      <c r="T255" s="90" t="s">
        <v>119</v>
      </c>
      <c r="U255" s="90" t="s">
        <v>119</v>
      </c>
      <c r="V255" s="90" t="s">
        <v>119</v>
      </c>
      <c r="W255" s="90" t="s">
        <v>119</v>
      </c>
      <c r="X255" s="90" t="s">
        <v>119</v>
      </c>
      <c r="Y255" s="90" t="s">
        <v>119</v>
      </c>
      <c r="Z255" s="90" t="s">
        <v>119</v>
      </c>
      <c r="AA255" s="90" t="s">
        <v>119</v>
      </c>
      <c r="AB255" s="90" t="s">
        <v>119</v>
      </c>
      <c r="AC255" s="90" t="s">
        <v>119</v>
      </c>
      <c r="AD255" s="90" t="s">
        <v>119</v>
      </c>
      <c r="AE255" s="24">
        <v>0</v>
      </c>
      <c r="AF255" s="90">
        <v>0</v>
      </c>
      <c r="AG255" s="24">
        <v>0</v>
      </c>
      <c r="AH255" s="90">
        <v>90192</v>
      </c>
      <c r="AI255" s="24" t="s">
        <v>94</v>
      </c>
      <c r="AJ255" s="24" t="s">
        <v>897</v>
      </c>
      <c r="AK255" s="90" t="s">
        <v>85</v>
      </c>
      <c r="AL255" s="90">
        <v>194597</v>
      </c>
      <c r="AM255" s="90" t="s">
        <v>81</v>
      </c>
      <c r="AN255" s="90" t="s">
        <v>893</v>
      </c>
      <c r="AO255" s="125" t="s">
        <v>791</v>
      </c>
      <c r="AP255" s="24" t="s">
        <v>896</v>
      </c>
      <c r="AQ255" s="90" t="s">
        <v>895</v>
      </c>
      <c r="AR255" s="24" t="s">
        <v>896</v>
      </c>
      <c r="AS255" s="90" t="s">
        <v>119</v>
      </c>
      <c r="AT255" s="24" t="s">
        <v>94</v>
      </c>
      <c r="AU255" s="90" t="s">
        <v>119</v>
      </c>
      <c r="AV255" s="90" t="str">
        <f>IF(ISNUMBER(SEARCH("disagree",AE255)),"N","Y")</f>
        <v>Y</v>
      </c>
      <c r="AW255" s="90" t="s">
        <v>119</v>
      </c>
      <c r="AX255" s="24" t="s">
        <v>119</v>
      </c>
      <c r="AY255" s="90" t="str">
        <f>CONCATENATE(AZ255,BA255,BB255,BC255)</f>
        <v/>
      </c>
      <c r="AZ255" s="90" t="str">
        <f>IF(ISNUMBER(SEARCH("Y",AC255)),"R","")</f>
        <v/>
      </c>
      <c r="BA255" s="90" t="str">
        <f>IF(ISNUMBER(SEARCH("Y",Y255)),"M","")</f>
        <v/>
      </c>
      <c r="BB255" s="90" t="str">
        <f>IF(ISNUMBER(SEARCH("Y",AB255)),"QC","")</f>
        <v/>
      </c>
      <c r="BC255" s="90" t="str">
        <f>IF(ISNUMBER(SEARCH("Y",Z255)),"S","")</f>
        <v/>
      </c>
      <c r="BD255" s="90"/>
      <c r="BE255" s="24" t="s">
        <v>119</v>
      </c>
      <c r="BF255" s="125" t="str">
        <f>IF(AND(AW255&gt;=56543,AW255&lt;=76543,LEN(AW255)&gt;0),"3 Feb 2020",IF(AND(AW255&gt;=66544,AW255&lt;=99999,LEN(AW255)&gt;0),"12 Sep 2020",""))</f>
        <v/>
      </c>
      <c r="BG255" s="125" t="str">
        <f>IF((AND(BF255="3 Feb 2020",LEN(BF255)&gt;0)),"Completed",IF((AND(BF255="12 Sep 2020",LEN(BF255)&gt;0)),"Pending",""))</f>
        <v/>
      </c>
      <c r="BH255" s="90" t="str">
        <f>IF((AND(BF255="3 Feb 2020",LEN(BF255)&gt;0)),"3 Feb 2020","")</f>
        <v/>
      </c>
      <c r="BI255" s="90">
        <v>194597</v>
      </c>
      <c r="BJ255" s="90" t="str">
        <f>L255</f>
        <v>6C64HS87176-58</v>
      </c>
      <c r="BK255" s="127">
        <v>43508</v>
      </c>
      <c r="BL255" s="127">
        <v>44239</v>
      </c>
      <c r="BM255" s="128">
        <f>P255*1.1</f>
        <v>2826825.1</v>
      </c>
      <c r="BN255" s="129">
        <f>P255*0.9</f>
        <v>2312856.9</v>
      </c>
      <c r="BO255" s="130">
        <f>P255*0.8</f>
        <v>2055872.8</v>
      </c>
      <c r="BP255" s="90">
        <f>IF(Z255="Y",BM255*0.4,BM255*1.05)</f>
        <v>2968166.3550000004</v>
      </c>
      <c r="BQ255" s="90">
        <f>BP255*0.8</f>
        <v>2374533.0840000003</v>
      </c>
      <c r="BR255" s="90" t="str">
        <f>IF(ISNUMBER(SEARCH("subrecipient",AI251)),P255*0.6,"")</f>
        <v/>
      </c>
      <c r="BS255" s="90">
        <v>194597</v>
      </c>
      <c r="BT255" s="90" t="str">
        <f>BJ255</f>
        <v>6C64HS87176-58</v>
      </c>
      <c r="BU255" s="127">
        <f>BK255</f>
        <v>43508</v>
      </c>
      <c r="BV255" s="127">
        <f>BL255</f>
        <v>44239</v>
      </c>
      <c r="BW255" s="90" t="str">
        <f>H255</f>
        <v>ACF</v>
      </c>
      <c r="BX255" s="90" t="str">
        <f>IF(H255="NATIONAL HEMOPHILIA FOUNDATION","Non Federal","Federal")</f>
        <v>Federal</v>
      </c>
      <c r="BY255" s="128">
        <f>BM255</f>
        <v>2826825.1</v>
      </c>
      <c r="BZ255" s="90" t="str">
        <f>IF(LEN(BR255)&gt;0,1,"")</f>
        <v/>
      </c>
      <c r="CA255" s="90" t="str">
        <f>IF(LEN(BR255)&gt;0,"VIRAL HEPATITIS PROJECT","")</f>
        <v/>
      </c>
      <c r="CB255" s="129" t="str">
        <f>IF(LEN(BR255)&gt;0,BM255*0.7,"")</f>
        <v/>
      </c>
      <c r="CC255" s="90">
        <f>BP255</f>
        <v>2968166.3550000004</v>
      </c>
      <c r="CD255" s="90" t="str">
        <f>IF(LEN(BR255)&gt;0,"70%","")</f>
        <v/>
      </c>
      <c r="CE255" s="90">
        <f>BS255</f>
        <v>194597</v>
      </c>
      <c r="CF255" s="90" t="str">
        <f>CA255</f>
        <v/>
      </c>
      <c r="CG255" s="90"/>
      <c r="CH255" s="90"/>
      <c r="CI255" s="90"/>
      <c r="CJ255" s="90"/>
      <c r="CK255" s="90"/>
      <c r="CL255" s="90"/>
      <c r="CM255" s="90"/>
      <c r="CN255" s="90"/>
      <c r="CO255" s="90"/>
      <c r="CP255" s="90"/>
      <c r="CQ255" s="90"/>
      <c r="CR255" s="90"/>
      <c r="CS255" s="90"/>
      <c r="CT255" s="137"/>
    </row>
    <row r="256" spans="1:98" ht="30">
      <c r="A256" s="89">
        <v>194597</v>
      </c>
      <c r="B256" s="90">
        <v>2020</v>
      </c>
      <c r="C256" s="90" t="s">
        <v>81</v>
      </c>
      <c r="D256" s="90" t="s">
        <v>893</v>
      </c>
      <c r="E256" s="125" t="s">
        <v>793</v>
      </c>
      <c r="F256" s="24" t="s">
        <v>894</v>
      </c>
      <c r="G256" s="90" t="s">
        <v>85</v>
      </c>
      <c r="H256" s="90" t="s">
        <v>150</v>
      </c>
      <c r="I256" s="90">
        <v>93</v>
      </c>
      <c r="J256" s="90">
        <v>157</v>
      </c>
      <c r="K256" s="90" t="s">
        <v>85</v>
      </c>
      <c r="L256" s="90" t="s">
        <v>895</v>
      </c>
      <c r="M256" s="90" t="s">
        <v>119</v>
      </c>
      <c r="N256" s="24" t="s">
        <v>896</v>
      </c>
      <c r="O256" s="24" t="str">
        <f>IF(ISNUMBER(SEARCH("Cancer",N256)),"Cancer",IF(ISNUMBER(SEARCH("health",N256)),"Public health",IF(ISNUMBER(SEARCH("disabilities",N256)),"Disabilities","Other")))</f>
        <v>Other</v>
      </c>
      <c r="P256" s="126">
        <v>2569841</v>
      </c>
      <c r="Q256" s="90" t="s">
        <v>85</v>
      </c>
      <c r="R256" s="90" t="str">
        <f>IF(P256&gt;20000000,"B","A")</f>
        <v>A</v>
      </c>
      <c r="S256" s="90" t="s">
        <v>90</v>
      </c>
      <c r="T256" s="90" t="s">
        <v>119</v>
      </c>
      <c r="U256" s="90" t="s">
        <v>119</v>
      </c>
      <c r="V256" s="90" t="s">
        <v>119</v>
      </c>
      <c r="W256" s="90" t="s">
        <v>119</v>
      </c>
      <c r="X256" s="90" t="s">
        <v>119</v>
      </c>
      <c r="Y256" s="90" t="s">
        <v>119</v>
      </c>
      <c r="Z256" s="90" t="s">
        <v>119</v>
      </c>
      <c r="AA256" s="90" t="s">
        <v>119</v>
      </c>
      <c r="AB256" s="90" t="s">
        <v>119</v>
      </c>
      <c r="AC256" s="90" t="s">
        <v>119</v>
      </c>
      <c r="AD256" s="90" t="s">
        <v>119</v>
      </c>
      <c r="AE256" s="24">
        <v>0</v>
      </c>
      <c r="AF256" s="90">
        <v>0</v>
      </c>
      <c r="AG256" s="24">
        <v>0</v>
      </c>
      <c r="AH256" s="90">
        <v>90191</v>
      </c>
      <c r="AI256" s="24" t="s">
        <v>102</v>
      </c>
      <c r="AJ256" s="24" t="s">
        <v>103</v>
      </c>
      <c r="AK256" s="90" t="s">
        <v>85</v>
      </c>
      <c r="AL256" s="90">
        <v>194597</v>
      </c>
      <c r="AM256" s="90" t="s">
        <v>81</v>
      </c>
      <c r="AN256" s="90" t="s">
        <v>893</v>
      </c>
      <c r="AO256" s="125" t="s">
        <v>793</v>
      </c>
      <c r="AP256" s="24" t="s">
        <v>896</v>
      </c>
      <c r="AQ256" s="90" t="s">
        <v>895</v>
      </c>
      <c r="AR256" s="24" t="s">
        <v>896</v>
      </c>
      <c r="AS256" s="90" t="s">
        <v>119</v>
      </c>
      <c r="AT256" s="24" t="s">
        <v>102</v>
      </c>
      <c r="AU256" s="90" t="s">
        <v>119</v>
      </c>
      <c r="AV256" s="90" t="str">
        <f>IF(ISNUMBER(SEARCH("disagree",AE256)),"N","Y")</f>
        <v>Y</v>
      </c>
      <c r="AW256" s="90" t="s">
        <v>119</v>
      </c>
      <c r="AX256" s="24" t="s">
        <v>119</v>
      </c>
      <c r="AY256" s="90" t="str">
        <f>CONCATENATE(AZ256,BA256,BB256,BC256)</f>
        <v/>
      </c>
      <c r="AZ256" s="90" t="str">
        <f>IF(ISNUMBER(SEARCH("Y",AC256)),"R","")</f>
        <v/>
      </c>
      <c r="BA256" s="90" t="str">
        <f>IF(ISNUMBER(SEARCH("Y",Y256)),"M","")</f>
        <v/>
      </c>
      <c r="BB256" s="90" t="str">
        <f>IF(ISNUMBER(SEARCH("Y",AB256)),"QC","")</f>
        <v/>
      </c>
      <c r="BC256" s="90" t="str">
        <f>IF(ISNUMBER(SEARCH("Y",Z256)),"S","")</f>
        <v/>
      </c>
      <c r="BD256" s="90"/>
      <c r="BE256" s="24" t="s">
        <v>119</v>
      </c>
      <c r="BF256" s="125" t="str">
        <f>IF(AND(AW256&gt;=56543,AW256&lt;=76543,LEN(AW256)&gt;0),"3 Feb 2020",IF(AND(AW256&gt;=66544,AW256&lt;=99999,LEN(AW256)&gt;0),"12 Sep 2020",""))</f>
        <v/>
      </c>
      <c r="BG256" s="125" t="str">
        <f>IF((AND(BF256="3 Feb 2020",LEN(BF256)&gt;0)),"Completed",IF((AND(BF256="12 Sep 2020",LEN(BF256)&gt;0)),"Pending",""))</f>
        <v/>
      </c>
      <c r="BH256" s="90" t="str">
        <f>IF((AND(BF256="3 Feb 2020",LEN(BF256)&gt;0)),"3 Feb 2020","")</f>
        <v/>
      </c>
      <c r="BI256" s="90">
        <v>194597</v>
      </c>
      <c r="BJ256" s="90" t="str">
        <f>L256</f>
        <v>6C64HS87176-58</v>
      </c>
      <c r="BK256" s="127">
        <v>43508</v>
      </c>
      <c r="BL256" s="127">
        <v>44239</v>
      </c>
      <c r="BM256" s="128">
        <f>P256*1.1</f>
        <v>2826825.1</v>
      </c>
      <c r="BN256" s="129">
        <f>P256*0.9</f>
        <v>2312856.9</v>
      </c>
      <c r="BO256" s="130">
        <f>P256*0.8</f>
        <v>2055872.8</v>
      </c>
      <c r="BP256" s="90">
        <f>IF(Z256="Y",BM256*0.4,BM256*1.05)</f>
        <v>2968166.3550000004</v>
      </c>
      <c r="BQ256" s="90">
        <f>BP256*0.8</f>
        <v>2374533.0840000003</v>
      </c>
      <c r="BR256" s="90" t="str">
        <f>IF(ISNUMBER(SEARCH("subrecipient",AI252)),P256*0.6,"")</f>
        <v/>
      </c>
      <c r="BS256" s="90">
        <v>194597</v>
      </c>
      <c r="BT256" s="90" t="str">
        <f>BJ256</f>
        <v>6C64HS87176-58</v>
      </c>
      <c r="BU256" s="127">
        <f>BK256</f>
        <v>43508</v>
      </c>
      <c r="BV256" s="127">
        <f>BL256</f>
        <v>44239</v>
      </c>
      <c r="BW256" s="90" t="str">
        <f>H256</f>
        <v>ACF</v>
      </c>
      <c r="BX256" s="90" t="str">
        <f>IF(H256="NATIONAL HEMOPHILIA FOUNDATION","Non Federal","Federal")</f>
        <v>Federal</v>
      </c>
      <c r="BY256" s="128">
        <f>BM256</f>
        <v>2826825.1</v>
      </c>
      <c r="BZ256" s="90" t="str">
        <f>IF(LEN(BR256)&gt;0,1,"")</f>
        <v/>
      </c>
      <c r="CA256" s="90" t="str">
        <f>IF(LEN(BR256)&gt;0,"VIRAL HEPATITIS PROJECT","")</f>
        <v/>
      </c>
      <c r="CB256" s="129" t="str">
        <f>IF(LEN(BR256)&gt;0,BM256*0.7,"")</f>
        <v/>
      </c>
      <c r="CC256" s="90">
        <f>BP256</f>
        <v>2968166.3550000004</v>
      </c>
      <c r="CD256" s="90" t="str">
        <f>IF(LEN(BR256)&gt;0,"70%","")</f>
        <v/>
      </c>
      <c r="CE256" s="90">
        <f>BS256</f>
        <v>194597</v>
      </c>
      <c r="CF256" s="90" t="str">
        <f>CA256</f>
        <v/>
      </c>
      <c r="CG256" s="90"/>
      <c r="CH256" s="90"/>
      <c r="CI256" s="90"/>
      <c r="CJ256" s="90"/>
      <c r="CK256" s="90"/>
      <c r="CL256" s="90"/>
      <c r="CM256" s="90"/>
      <c r="CN256" s="90"/>
      <c r="CO256" s="90"/>
      <c r="CP256" s="90"/>
      <c r="CQ256" s="90"/>
      <c r="CR256" s="90"/>
      <c r="CS256" s="90"/>
      <c r="CT256" s="137"/>
    </row>
    <row r="257" spans="1:98" ht="90">
      <c r="A257" s="89">
        <v>194599</v>
      </c>
      <c r="B257" s="90">
        <v>2020</v>
      </c>
      <c r="C257" s="90" t="s">
        <v>81</v>
      </c>
      <c r="D257" s="90" t="s">
        <v>898</v>
      </c>
      <c r="E257" s="125" t="s">
        <v>780</v>
      </c>
      <c r="F257" s="24" t="s">
        <v>899</v>
      </c>
      <c r="G257" s="90" t="s">
        <v>85</v>
      </c>
      <c r="H257" s="90" t="s">
        <v>86</v>
      </c>
      <c r="I257" s="90">
        <v>93</v>
      </c>
      <c r="J257" s="90">
        <v>157</v>
      </c>
      <c r="K257" s="90" t="s">
        <v>85</v>
      </c>
      <c r="L257" s="90" t="s">
        <v>900</v>
      </c>
      <c r="M257" s="90" t="s">
        <v>119</v>
      </c>
      <c r="N257" s="24" t="s">
        <v>410</v>
      </c>
      <c r="O257" s="24" t="str">
        <f>IF(ISNUMBER(SEARCH("Cancer",N257)),"Cancer",IF(ISNUMBER(SEARCH("health",N257)),"Public health",IF(ISNUMBER(SEARCH("disabilities",N257)),"Disabilities","Other")))</f>
        <v>Public health</v>
      </c>
      <c r="P257" s="126">
        <v>2351356</v>
      </c>
      <c r="Q257" s="90" t="s">
        <v>85</v>
      </c>
      <c r="R257" s="90" t="str">
        <f>IF(P257&gt;20000000,"B","A")</f>
        <v>A</v>
      </c>
      <c r="S257" s="90" t="s">
        <v>90</v>
      </c>
      <c r="T257" s="90" t="s">
        <v>119</v>
      </c>
      <c r="U257" s="90" t="s">
        <v>119</v>
      </c>
      <c r="V257" s="90" t="s">
        <v>119</v>
      </c>
      <c r="W257" s="90" t="s">
        <v>119</v>
      </c>
      <c r="X257" s="90" t="s">
        <v>119</v>
      </c>
      <c r="Y257" s="90" t="s">
        <v>119</v>
      </c>
      <c r="Z257" s="90" t="s">
        <v>119</v>
      </c>
      <c r="AA257" s="90" t="s">
        <v>119</v>
      </c>
      <c r="AB257" s="90" t="s">
        <v>119</v>
      </c>
      <c r="AC257" s="90" t="s">
        <v>119</v>
      </c>
      <c r="AD257" s="90" t="s">
        <v>119</v>
      </c>
      <c r="AE257" s="24">
        <v>0</v>
      </c>
      <c r="AF257" s="90">
        <v>0</v>
      </c>
      <c r="AG257" s="24">
        <v>0</v>
      </c>
      <c r="AH257" s="90">
        <v>90164</v>
      </c>
      <c r="AI257" s="24" t="s">
        <v>94</v>
      </c>
      <c r="AJ257" s="24" t="s">
        <v>901</v>
      </c>
      <c r="AK257" s="90" t="s">
        <v>85</v>
      </c>
      <c r="AL257" s="90">
        <v>194599</v>
      </c>
      <c r="AM257" s="90" t="s">
        <v>81</v>
      </c>
      <c r="AN257" s="90" t="s">
        <v>898</v>
      </c>
      <c r="AO257" s="125" t="s">
        <v>780</v>
      </c>
      <c r="AP257" s="24" t="s">
        <v>410</v>
      </c>
      <c r="AQ257" s="90" t="s">
        <v>900</v>
      </c>
      <c r="AR257" s="24" t="s">
        <v>410</v>
      </c>
      <c r="AS257" s="90" t="s">
        <v>119</v>
      </c>
      <c r="AT257" s="24" t="s">
        <v>94</v>
      </c>
      <c r="AU257" s="90" t="s">
        <v>119</v>
      </c>
      <c r="AV257" s="90" t="str">
        <f>IF(ISNUMBER(SEARCH("disagree",AE257)),"N","Y")</f>
        <v>Y</v>
      </c>
      <c r="AW257" s="90" t="s">
        <v>119</v>
      </c>
      <c r="AX257" s="24" t="s">
        <v>119</v>
      </c>
      <c r="AY257" s="90" t="str">
        <f>CONCATENATE(AZ257,BA257,BB257,BC257)</f>
        <v/>
      </c>
      <c r="AZ257" s="90" t="str">
        <f>IF(ISNUMBER(SEARCH("Y",AC257)),"R","")</f>
        <v/>
      </c>
      <c r="BA257" s="90" t="str">
        <f>IF(ISNUMBER(SEARCH("Y",Y257)),"M","")</f>
        <v/>
      </c>
      <c r="BB257" s="90" t="str">
        <f>IF(ISNUMBER(SEARCH("Y",AB257)),"QC","")</f>
        <v/>
      </c>
      <c r="BC257" s="90" t="str">
        <f>IF(ISNUMBER(SEARCH("Y",Z257)),"S","")</f>
        <v/>
      </c>
      <c r="BD257" s="90"/>
      <c r="BE257" s="24" t="s">
        <v>119</v>
      </c>
      <c r="BF257" s="125" t="str">
        <f>IF(AND(AW257&gt;=56543,AW257&lt;=76543,LEN(AW257)&gt;0),"3 Feb 2020",IF(AND(AW257&gt;=66544,AW257&lt;=99999,LEN(AW257)&gt;0),"12 Sep 2020",""))</f>
        <v/>
      </c>
      <c r="BG257" s="125" t="str">
        <f>IF((AND(BF257="3 Feb 2020",LEN(BF257)&gt;0)),"Completed",IF((AND(BF257="12 Sep 2020",LEN(BF257)&gt;0)),"Pending",""))</f>
        <v/>
      </c>
      <c r="BH257" s="90" t="str">
        <f>IF((AND(BF257="3 Feb 2020",LEN(BF257)&gt;0)),"3 Feb 2020","")</f>
        <v/>
      </c>
      <c r="BI257" s="90">
        <v>194599</v>
      </c>
      <c r="BJ257" s="90" t="str">
        <f>L257</f>
        <v>6D84AT89365-47</v>
      </c>
      <c r="BK257" s="127">
        <v>43508</v>
      </c>
      <c r="BL257" s="127">
        <v>44239</v>
      </c>
      <c r="BM257" s="128">
        <f>P257*1.1</f>
        <v>2586491.6</v>
      </c>
      <c r="BN257" s="129">
        <f>P257*0.9</f>
        <v>2116220.4</v>
      </c>
      <c r="BO257" s="130">
        <f>P257*0.8</f>
        <v>1881084.8</v>
      </c>
      <c r="BP257" s="90">
        <f>IF(Z257="Y",BM257*0.4,BM257*1.05)</f>
        <v>2715816.18</v>
      </c>
      <c r="BQ257" s="90">
        <f>BP257*0.8</f>
        <v>2172652.9440000001</v>
      </c>
      <c r="BR257" s="90" t="str">
        <f>IF(ISNUMBER(SEARCH("subrecipient",AI253)),P257*0.6,"")</f>
        <v/>
      </c>
      <c r="BS257" s="90">
        <v>194599</v>
      </c>
      <c r="BT257" s="90" t="str">
        <f>BJ257</f>
        <v>6D84AT89365-47</v>
      </c>
      <c r="BU257" s="127">
        <f>BK257</f>
        <v>43508</v>
      </c>
      <c r="BV257" s="127">
        <f>BL257</f>
        <v>44239</v>
      </c>
      <c r="BW257" s="90" t="str">
        <f>H257</f>
        <v>CDC</v>
      </c>
      <c r="BX257" s="90" t="str">
        <f>IF(H257="NATIONAL HEMOPHILIA FOUNDATION","Non Federal","Federal")</f>
        <v>Federal</v>
      </c>
      <c r="BY257" s="128">
        <f>BM257</f>
        <v>2586491.6</v>
      </c>
      <c r="BZ257" s="90" t="str">
        <f>IF(LEN(BR257)&gt;0,1,"")</f>
        <v/>
      </c>
      <c r="CA257" s="90" t="str">
        <f>IF(LEN(BR257)&gt;0,"VIRAL HEPATITIS PROJECT","")</f>
        <v/>
      </c>
      <c r="CB257" s="129" t="str">
        <f>IF(LEN(BR257)&gt;0,BM257*0.7,"")</f>
        <v/>
      </c>
      <c r="CC257" s="90">
        <f>BP257</f>
        <v>2715816.18</v>
      </c>
      <c r="CD257" s="90" t="str">
        <f>IF(LEN(BR257)&gt;0,"70%","")</f>
        <v/>
      </c>
      <c r="CE257" s="90">
        <f>BS257</f>
        <v>194599</v>
      </c>
      <c r="CF257" s="90" t="str">
        <f>CA257</f>
        <v/>
      </c>
      <c r="CG257" s="90"/>
      <c r="CH257" s="90"/>
      <c r="CI257" s="90"/>
      <c r="CJ257" s="90"/>
      <c r="CK257" s="90"/>
      <c r="CL257" s="90"/>
      <c r="CM257" s="90"/>
      <c r="CN257" s="90"/>
      <c r="CO257" s="90"/>
      <c r="CP257" s="90"/>
      <c r="CQ257" s="90"/>
      <c r="CR257" s="90"/>
      <c r="CS257" s="90"/>
      <c r="CT257" s="137"/>
    </row>
    <row r="258" spans="1:98" ht="90">
      <c r="A258" s="89">
        <v>194599</v>
      </c>
      <c r="B258" s="90">
        <v>2020</v>
      </c>
      <c r="C258" s="90" t="s">
        <v>81</v>
      </c>
      <c r="D258" s="90" t="s">
        <v>898</v>
      </c>
      <c r="E258" s="125" t="s">
        <v>781</v>
      </c>
      <c r="F258" s="24" t="s">
        <v>899</v>
      </c>
      <c r="G258" s="90" t="s">
        <v>85</v>
      </c>
      <c r="H258" s="90" t="s">
        <v>86</v>
      </c>
      <c r="I258" s="90">
        <v>93</v>
      </c>
      <c r="J258" s="90">
        <v>157</v>
      </c>
      <c r="K258" s="90" t="s">
        <v>85</v>
      </c>
      <c r="L258" s="90" t="s">
        <v>900</v>
      </c>
      <c r="M258" s="90" t="s">
        <v>119</v>
      </c>
      <c r="N258" s="24" t="s">
        <v>410</v>
      </c>
      <c r="O258" s="24" t="str">
        <f>IF(ISNUMBER(SEARCH("Cancer",N258)),"Cancer",IF(ISNUMBER(SEARCH("health",N258)),"Public health",IF(ISNUMBER(SEARCH("disabilities",N258)),"Disabilities","Other")))</f>
        <v>Public health</v>
      </c>
      <c r="P258" s="126">
        <v>2351356</v>
      </c>
      <c r="Q258" s="90" t="s">
        <v>85</v>
      </c>
      <c r="R258" s="90" t="str">
        <f>IF(P258&gt;20000000,"B","A")</f>
        <v>A</v>
      </c>
      <c r="S258" s="90" t="s">
        <v>90</v>
      </c>
      <c r="T258" s="90" t="s">
        <v>119</v>
      </c>
      <c r="U258" s="90" t="s">
        <v>119</v>
      </c>
      <c r="V258" s="90" t="s">
        <v>119</v>
      </c>
      <c r="W258" s="90" t="s">
        <v>119</v>
      </c>
      <c r="X258" s="90" t="s">
        <v>119</v>
      </c>
      <c r="Y258" s="90" t="s">
        <v>119</v>
      </c>
      <c r="Z258" s="90" t="s">
        <v>119</v>
      </c>
      <c r="AA258" s="90" t="s">
        <v>119</v>
      </c>
      <c r="AB258" s="90" t="s">
        <v>119</v>
      </c>
      <c r="AC258" s="90" t="s">
        <v>119</v>
      </c>
      <c r="AD258" s="90" t="s">
        <v>119</v>
      </c>
      <c r="AE258" s="24">
        <v>0</v>
      </c>
      <c r="AF258" s="90">
        <v>0</v>
      </c>
      <c r="AG258" s="24">
        <v>0</v>
      </c>
      <c r="AH258" s="90">
        <v>90165</v>
      </c>
      <c r="AI258" s="24" t="s">
        <v>102</v>
      </c>
      <c r="AJ258" s="24" t="s">
        <v>103</v>
      </c>
      <c r="AK258" s="90" t="s">
        <v>85</v>
      </c>
      <c r="AL258" s="90">
        <v>194599</v>
      </c>
      <c r="AM258" s="90" t="s">
        <v>81</v>
      </c>
      <c r="AN258" s="90" t="s">
        <v>898</v>
      </c>
      <c r="AO258" s="125" t="s">
        <v>781</v>
      </c>
      <c r="AP258" s="24" t="s">
        <v>410</v>
      </c>
      <c r="AQ258" s="90" t="s">
        <v>900</v>
      </c>
      <c r="AR258" s="24" t="s">
        <v>410</v>
      </c>
      <c r="AS258" s="90" t="s">
        <v>119</v>
      </c>
      <c r="AT258" s="24" t="s">
        <v>102</v>
      </c>
      <c r="AU258" s="90" t="s">
        <v>119</v>
      </c>
      <c r="AV258" s="90" t="str">
        <f>IF(ISNUMBER(SEARCH("disagree",AE258)),"N","Y")</f>
        <v>Y</v>
      </c>
      <c r="AW258" s="90" t="s">
        <v>119</v>
      </c>
      <c r="AX258" s="24" t="s">
        <v>119</v>
      </c>
      <c r="AY258" s="90" t="str">
        <f>CONCATENATE(AZ258,BA258,BB258,BC258)</f>
        <v/>
      </c>
      <c r="AZ258" s="90" t="str">
        <f>IF(ISNUMBER(SEARCH("Y",AC258)),"R","")</f>
        <v/>
      </c>
      <c r="BA258" s="90" t="str">
        <f>IF(ISNUMBER(SEARCH("Y",Y258)),"M","")</f>
        <v/>
      </c>
      <c r="BB258" s="90" t="str">
        <f>IF(ISNUMBER(SEARCH("Y",AB258)),"QC","")</f>
        <v/>
      </c>
      <c r="BC258" s="90" t="str">
        <f>IF(ISNUMBER(SEARCH("Y",Z258)),"S","")</f>
        <v/>
      </c>
      <c r="BD258" s="90"/>
      <c r="BE258" s="24" t="s">
        <v>119</v>
      </c>
      <c r="BF258" s="125" t="str">
        <f>IF(AND(AW258&gt;=56543,AW258&lt;=76543,LEN(AW258)&gt;0),"3 Feb 2020",IF(AND(AW258&gt;=66544,AW258&lt;=99999,LEN(AW258)&gt;0),"12 Sep 2020",""))</f>
        <v/>
      </c>
      <c r="BG258" s="125" t="str">
        <f>IF((AND(BF258="3 Feb 2020",LEN(BF258)&gt;0)),"Completed",IF((AND(BF258="12 Sep 2020",LEN(BF258)&gt;0)),"Pending",""))</f>
        <v/>
      </c>
      <c r="BH258" s="90" t="str">
        <f>IF((AND(BF258="3 Feb 2020",LEN(BF258)&gt;0)),"3 Feb 2020","")</f>
        <v/>
      </c>
      <c r="BI258" s="90">
        <v>194599</v>
      </c>
      <c r="BJ258" s="90" t="str">
        <f>L258</f>
        <v>6D84AT89365-47</v>
      </c>
      <c r="BK258" s="127">
        <v>43508</v>
      </c>
      <c r="BL258" s="127">
        <v>44239</v>
      </c>
      <c r="BM258" s="128">
        <f>P258*1.1</f>
        <v>2586491.6</v>
      </c>
      <c r="BN258" s="129">
        <f>P258*0.9</f>
        <v>2116220.4</v>
      </c>
      <c r="BO258" s="130">
        <f>P258*0.8</f>
        <v>1881084.8</v>
      </c>
      <c r="BP258" s="90">
        <f>IF(Z258="Y",BM258*0.4,BM258*1.05)</f>
        <v>2715816.18</v>
      </c>
      <c r="BQ258" s="90">
        <f>BP258*0.8</f>
        <v>2172652.9440000001</v>
      </c>
      <c r="BR258" s="90" t="str">
        <f>IF(ISNUMBER(SEARCH("subrecipient",AI254)),P258*0.6,"")</f>
        <v/>
      </c>
      <c r="BS258" s="90">
        <v>194599</v>
      </c>
      <c r="BT258" s="90" t="str">
        <f>BJ258</f>
        <v>6D84AT89365-47</v>
      </c>
      <c r="BU258" s="127">
        <f>BK258</f>
        <v>43508</v>
      </c>
      <c r="BV258" s="127">
        <f>BL258</f>
        <v>44239</v>
      </c>
      <c r="BW258" s="90" t="str">
        <f>H258</f>
        <v>CDC</v>
      </c>
      <c r="BX258" s="90" t="str">
        <f>IF(H258="NATIONAL HEMOPHILIA FOUNDATION","Non Federal","Federal")</f>
        <v>Federal</v>
      </c>
      <c r="BY258" s="128">
        <f>BM258</f>
        <v>2586491.6</v>
      </c>
      <c r="BZ258" s="90" t="str">
        <f>IF(LEN(BR258)&gt;0,1,"")</f>
        <v/>
      </c>
      <c r="CA258" s="90" t="str">
        <f>IF(LEN(BR258)&gt;0,"VIRAL HEPATITIS PROJECT","")</f>
        <v/>
      </c>
      <c r="CB258" s="129" t="str">
        <f>IF(LEN(BR258)&gt;0,BM258*0.7,"")</f>
        <v/>
      </c>
      <c r="CC258" s="90">
        <f>BP258</f>
        <v>2715816.18</v>
      </c>
      <c r="CD258" s="90" t="str">
        <f>IF(LEN(BR258)&gt;0,"70%","")</f>
        <v/>
      </c>
      <c r="CE258" s="90">
        <f>BS258</f>
        <v>194599</v>
      </c>
      <c r="CF258" s="90" t="str">
        <f>CA258</f>
        <v/>
      </c>
      <c r="CG258" s="90"/>
      <c r="CH258" s="90"/>
      <c r="CI258" s="90"/>
      <c r="CJ258" s="90"/>
      <c r="CK258" s="90"/>
      <c r="CL258" s="90"/>
      <c r="CM258" s="90"/>
      <c r="CN258" s="90"/>
      <c r="CO258" s="90"/>
      <c r="CP258" s="90"/>
      <c r="CQ258" s="90"/>
      <c r="CR258" s="90"/>
      <c r="CS258" s="90"/>
      <c r="CT258" s="137"/>
    </row>
    <row r="259" spans="1:98" ht="75">
      <c r="A259" s="89">
        <v>194600</v>
      </c>
      <c r="B259" s="90">
        <v>2020</v>
      </c>
      <c r="C259" s="90" t="s">
        <v>81</v>
      </c>
      <c r="D259" s="90" t="s">
        <v>902</v>
      </c>
      <c r="E259" s="125" t="s">
        <v>784</v>
      </c>
      <c r="F259" s="24" t="s">
        <v>903</v>
      </c>
      <c r="G259" s="90" t="s">
        <v>85</v>
      </c>
      <c r="H259" s="90" t="s">
        <v>117</v>
      </c>
      <c r="I259" s="90">
        <v>93</v>
      </c>
      <c r="J259" s="90">
        <v>157</v>
      </c>
      <c r="K259" s="90" t="s">
        <v>85</v>
      </c>
      <c r="L259" s="90" t="s">
        <v>904</v>
      </c>
      <c r="M259" s="90" t="s">
        <v>119</v>
      </c>
      <c r="N259" s="24" t="s">
        <v>764</v>
      </c>
      <c r="O259" s="24" t="str">
        <f>IF(ISNUMBER(SEARCH("Cancer",N259)),"Cancer",IF(ISNUMBER(SEARCH("health",N259)),"Public health",IF(ISNUMBER(SEARCH("disabilities",N259)),"Disabilities","Other")))</f>
        <v>Other</v>
      </c>
      <c r="P259" s="126">
        <v>2902404</v>
      </c>
      <c r="Q259" s="90" t="s">
        <v>85</v>
      </c>
      <c r="R259" s="90" t="str">
        <f>IF(P259&gt;20000000,"B","A")</f>
        <v>A</v>
      </c>
      <c r="S259" s="90" t="s">
        <v>90</v>
      </c>
      <c r="T259" s="90" t="s">
        <v>119</v>
      </c>
      <c r="U259" s="90" t="s">
        <v>119</v>
      </c>
      <c r="V259" s="90" t="s">
        <v>119</v>
      </c>
      <c r="W259" s="90" t="s">
        <v>119</v>
      </c>
      <c r="X259" s="90" t="s">
        <v>119</v>
      </c>
      <c r="Y259" s="90" t="s">
        <v>119</v>
      </c>
      <c r="Z259" s="90" t="s">
        <v>119</v>
      </c>
      <c r="AA259" s="90" t="s">
        <v>119</v>
      </c>
      <c r="AB259" s="90" t="s">
        <v>119</v>
      </c>
      <c r="AC259" s="90" t="s">
        <v>119</v>
      </c>
      <c r="AD259" s="90" t="s">
        <v>119</v>
      </c>
      <c r="AE259" s="24">
        <v>0</v>
      </c>
      <c r="AF259" s="90">
        <v>0</v>
      </c>
      <c r="AG259" s="24">
        <v>0</v>
      </c>
      <c r="AH259" s="90">
        <v>90159</v>
      </c>
      <c r="AI259" s="24" t="s">
        <v>94</v>
      </c>
      <c r="AJ259" s="24" t="s">
        <v>905</v>
      </c>
      <c r="AK259" s="90" t="s">
        <v>85</v>
      </c>
      <c r="AL259" s="90">
        <v>194600</v>
      </c>
      <c r="AM259" s="90" t="s">
        <v>81</v>
      </c>
      <c r="AN259" s="90" t="s">
        <v>902</v>
      </c>
      <c r="AO259" s="125" t="s">
        <v>784</v>
      </c>
      <c r="AP259" s="24" t="s">
        <v>764</v>
      </c>
      <c r="AQ259" s="90" t="s">
        <v>904</v>
      </c>
      <c r="AR259" s="24" t="s">
        <v>764</v>
      </c>
      <c r="AS259" s="90" t="s">
        <v>119</v>
      </c>
      <c r="AT259" s="24" t="s">
        <v>94</v>
      </c>
      <c r="AU259" s="90" t="s">
        <v>119</v>
      </c>
      <c r="AV259" s="90" t="str">
        <f>IF(ISNUMBER(SEARCH("disagree",AE259)),"N","Y")</f>
        <v>Y</v>
      </c>
      <c r="AW259" s="90" t="s">
        <v>119</v>
      </c>
      <c r="AX259" s="24" t="s">
        <v>119</v>
      </c>
      <c r="AY259" s="90" t="str">
        <f>CONCATENATE(AZ259,BA259,BB259,BC259)</f>
        <v/>
      </c>
      <c r="AZ259" s="90" t="str">
        <f>IF(ISNUMBER(SEARCH("Y",AC259)),"R","")</f>
        <v/>
      </c>
      <c r="BA259" s="90" t="str">
        <f>IF(ISNUMBER(SEARCH("Y",Y259)),"M","")</f>
        <v/>
      </c>
      <c r="BB259" s="90" t="str">
        <f>IF(ISNUMBER(SEARCH("Y",AB259)),"QC","")</f>
        <v/>
      </c>
      <c r="BC259" s="90" t="str">
        <f>IF(ISNUMBER(SEARCH("Y",Z259)),"S","")</f>
        <v/>
      </c>
      <c r="BD259" s="90"/>
      <c r="BE259" s="24" t="s">
        <v>119</v>
      </c>
      <c r="BF259" s="125" t="str">
        <f>IF(AND(AW259&gt;=56543,AW259&lt;=76543,LEN(AW259)&gt;0),"3 Feb 2020",IF(AND(AW259&gt;=66544,AW259&lt;=99999,LEN(AW259)&gt;0),"12 Sep 2020",""))</f>
        <v/>
      </c>
      <c r="BG259" s="125" t="str">
        <f>IF((AND(BF259="3 Feb 2020",LEN(BF259)&gt;0)),"Completed",IF((AND(BF259="12 Sep 2020",LEN(BF259)&gt;0)),"Pending",""))</f>
        <v/>
      </c>
      <c r="BH259" s="90" t="str">
        <f>IF((AND(BF259="3 Feb 2020",LEN(BF259)&gt;0)),"3 Feb 2020","")</f>
        <v/>
      </c>
      <c r="BI259" s="90">
        <v>194600</v>
      </c>
      <c r="BJ259" s="90" t="str">
        <f>L259</f>
        <v>9D24FT89526-50</v>
      </c>
      <c r="BK259" s="127">
        <v>43508</v>
      </c>
      <c r="BL259" s="127">
        <v>44239</v>
      </c>
      <c r="BM259" s="128">
        <f>P259*1.1</f>
        <v>3192644.4000000004</v>
      </c>
      <c r="BN259" s="129">
        <f>P259*0.9</f>
        <v>2612163.6</v>
      </c>
      <c r="BO259" s="130">
        <f>P259*0.8</f>
        <v>2321923.2000000002</v>
      </c>
      <c r="BP259" s="90">
        <f>IF(Z259="Y",BM259*0.4,BM259*1.05)</f>
        <v>3352276.6200000006</v>
      </c>
      <c r="BQ259" s="90">
        <f>BP259*0.8</f>
        <v>2681821.2960000006</v>
      </c>
      <c r="BR259" s="90" t="str">
        <f>IF(ISNUMBER(SEARCH("subrecipient",AI255)),P259*0.6,"")</f>
        <v/>
      </c>
      <c r="BS259" s="90">
        <v>194600</v>
      </c>
      <c r="BT259" s="90" t="str">
        <f>BJ259</f>
        <v>9D24FT89526-50</v>
      </c>
      <c r="BU259" s="127">
        <f>BK259</f>
        <v>43508</v>
      </c>
      <c r="BV259" s="127">
        <f>BL259</f>
        <v>44239</v>
      </c>
      <c r="BW259" s="90" t="str">
        <f>H259</f>
        <v>NIH</v>
      </c>
      <c r="BX259" s="90" t="str">
        <f>IF(H259="NATIONAL HEMOPHILIA FOUNDATION","Non Federal","Federal")</f>
        <v>Federal</v>
      </c>
      <c r="BY259" s="128">
        <f>BM259</f>
        <v>3192644.4000000004</v>
      </c>
      <c r="BZ259" s="90" t="str">
        <f>IF(LEN(BR259)&gt;0,1,"")</f>
        <v/>
      </c>
      <c r="CA259" s="90" t="str">
        <f>IF(LEN(BR259)&gt;0,"VIRAL HEPATITIS PROJECT","")</f>
        <v/>
      </c>
      <c r="CB259" s="129" t="str">
        <f>IF(LEN(BR259)&gt;0,BM259*0.7,"")</f>
        <v/>
      </c>
      <c r="CC259" s="90">
        <f>BP259</f>
        <v>3352276.6200000006</v>
      </c>
      <c r="CD259" s="90" t="str">
        <f>IF(LEN(BR259)&gt;0,"70%","")</f>
        <v/>
      </c>
      <c r="CE259" s="90">
        <f>BS259</f>
        <v>194600</v>
      </c>
      <c r="CF259" s="90" t="str">
        <f>CA259</f>
        <v/>
      </c>
      <c r="CG259" s="90"/>
      <c r="CH259" s="90"/>
      <c r="CI259" s="90"/>
      <c r="CJ259" s="90"/>
      <c r="CK259" s="90"/>
      <c r="CL259" s="90"/>
      <c r="CM259" s="90"/>
      <c r="CN259" s="90"/>
      <c r="CO259" s="90"/>
      <c r="CP259" s="90"/>
      <c r="CQ259" s="90"/>
      <c r="CR259" s="90"/>
      <c r="CS259" s="90"/>
      <c r="CT259" s="137"/>
    </row>
    <row r="260" spans="1:98" ht="45">
      <c r="A260" s="89">
        <v>194600</v>
      </c>
      <c r="B260" s="90">
        <v>2020</v>
      </c>
      <c r="C260" s="90" t="s">
        <v>81</v>
      </c>
      <c r="D260" s="90" t="s">
        <v>902</v>
      </c>
      <c r="E260" s="125" t="s">
        <v>790</v>
      </c>
      <c r="F260" s="24" t="s">
        <v>903</v>
      </c>
      <c r="G260" s="90" t="s">
        <v>85</v>
      </c>
      <c r="H260" s="90" t="s">
        <v>117</v>
      </c>
      <c r="I260" s="90">
        <v>93</v>
      </c>
      <c r="J260" s="90">
        <v>157</v>
      </c>
      <c r="K260" s="90" t="s">
        <v>85</v>
      </c>
      <c r="L260" s="90" t="s">
        <v>904</v>
      </c>
      <c r="M260" s="90" t="s">
        <v>119</v>
      </c>
      <c r="N260" s="24" t="s">
        <v>764</v>
      </c>
      <c r="O260" s="24" t="str">
        <f>IF(ISNUMBER(SEARCH("Cancer",N260)),"Cancer",IF(ISNUMBER(SEARCH("health",N260)),"Public health",IF(ISNUMBER(SEARCH("disabilities",N260)),"Disabilities","Other")))</f>
        <v>Other</v>
      </c>
      <c r="P260" s="126">
        <v>2902404</v>
      </c>
      <c r="Q260" s="90" t="s">
        <v>85</v>
      </c>
      <c r="R260" s="90" t="str">
        <f>IF(P260&gt;20000000,"B","A")</f>
        <v>A</v>
      </c>
      <c r="S260" s="90" t="s">
        <v>90</v>
      </c>
      <c r="T260" s="90" t="s">
        <v>119</v>
      </c>
      <c r="U260" s="90" t="s">
        <v>119</v>
      </c>
      <c r="V260" s="90" t="s">
        <v>119</v>
      </c>
      <c r="W260" s="90" t="s">
        <v>119</v>
      </c>
      <c r="X260" s="90" t="s">
        <v>119</v>
      </c>
      <c r="Y260" s="90" t="s">
        <v>119</v>
      </c>
      <c r="Z260" s="90" t="s">
        <v>119</v>
      </c>
      <c r="AA260" s="90" t="s">
        <v>119</v>
      </c>
      <c r="AB260" s="90" t="s">
        <v>119</v>
      </c>
      <c r="AC260" s="90" t="s">
        <v>119</v>
      </c>
      <c r="AD260" s="90" t="s">
        <v>119</v>
      </c>
      <c r="AE260" s="24">
        <v>0</v>
      </c>
      <c r="AF260" s="90">
        <v>0</v>
      </c>
      <c r="AG260" s="24">
        <v>0</v>
      </c>
      <c r="AH260" s="90">
        <v>90157</v>
      </c>
      <c r="AI260" s="24" t="s">
        <v>102</v>
      </c>
      <c r="AJ260" s="24" t="s">
        <v>103</v>
      </c>
      <c r="AK260" s="90" t="s">
        <v>85</v>
      </c>
      <c r="AL260" s="90">
        <v>194600</v>
      </c>
      <c r="AM260" s="90" t="s">
        <v>81</v>
      </c>
      <c r="AN260" s="90" t="s">
        <v>902</v>
      </c>
      <c r="AO260" s="125" t="s">
        <v>790</v>
      </c>
      <c r="AP260" s="24" t="s">
        <v>764</v>
      </c>
      <c r="AQ260" s="90" t="s">
        <v>904</v>
      </c>
      <c r="AR260" s="24" t="s">
        <v>764</v>
      </c>
      <c r="AS260" s="90" t="s">
        <v>119</v>
      </c>
      <c r="AT260" s="24" t="s">
        <v>102</v>
      </c>
      <c r="AU260" s="90" t="s">
        <v>119</v>
      </c>
      <c r="AV260" s="90" t="str">
        <f>IF(ISNUMBER(SEARCH("disagree",AE260)),"N","Y")</f>
        <v>Y</v>
      </c>
      <c r="AW260" s="90" t="s">
        <v>119</v>
      </c>
      <c r="AX260" s="24" t="s">
        <v>119</v>
      </c>
      <c r="AY260" s="90" t="str">
        <f>CONCATENATE(AZ260,BA260,BB260,BC260)</f>
        <v/>
      </c>
      <c r="AZ260" s="90" t="str">
        <f>IF(ISNUMBER(SEARCH("Y",AC260)),"R","")</f>
        <v/>
      </c>
      <c r="BA260" s="90" t="str">
        <f>IF(ISNUMBER(SEARCH("Y",Y260)),"M","")</f>
        <v/>
      </c>
      <c r="BB260" s="90" t="str">
        <f>IF(ISNUMBER(SEARCH("Y",AB260)),"QC","")</f>
        <v/>
      </c>
      <c r="BC260" s="90" t="str">
        <f>IF(ISNUMBER(SEARCH("Y",Z260)),"S","")</f>
        <v/>
      </c>
      <c r="BD260" s="90"/>
      <c r="BE260" s="24" t="s">
        <v>119</v>
      </c>
      <c r="BF260" s="125" t="str">
        <f>IF(AND(AW260&gt;=56543,AW260&lt;=76543,LEN(AW260)&gt;0),"3 Feb 2020",IF(AND(AW260&gt;=66544,AW260&lt;=99999,LEN(AW260)&gt;0),"12 Sep 2020",""))</f>
        <v/>
      </c>
      <c r="BG260" s="125" t="str">
        <f>IF((AND(BF260="3 Feb 2020",LEN(BF260)&gt;0)),"Completed",IF((AND(BF260="12 Sep 2020",LEN(BF260)&gt;0)),"Pending",""))</f>
        <v/>
      </c>
      <c r="BH260" s="90" t="str">
        <f>IF((AND(BF260="3 Feb 2020",LEN(BF260)&gt;0)),"3 Feb 2020","")</f>
        <v/>
      </c>
      <c r="BI260" s="90">
        <v>194600</v>
      </c>
      <c r="BJ260" s="90" t="str">
        <f>L260</f>
        <v>9D24FT89526-50</v>
      </c>
      <c r="BK260" s="127">
        <v>43508</v>
      </c>
      <c r="BL260" s="127">
        <v>44239</v>
      </c>
      <c r="BM260" s="128">
        <f>P260*1.1</f>
        <v>3192644.4000000004</v>
      </c>
      <c r="BN260" s="129">
        <f>P260*0.9</f>
        <v>2612163.6</v>
      </c>
      <c r="BO260" s="130">
        <f>P260*0.8</f>
        <v>2321923.2000000002</v>
      </c>
      <c r="BP260" s="90">
        <f>IF(Z260="Y",BM260*0.4,BM260*1.05)</f>
        <v>3352276.6200000006</v>
      </c>
      <c r="BQ260" s="90">
        <f>BP260*0.8</f>
        <v>2681821.2960000006</v>
      </c>
      <c r="BR260" s="90" t="str">
        <f>IF(ISNUMBER(SEARCH("subrecipient",AI256)),P260*0.6,"")</f>
        <v/>
      </c>
      <c r="BS260" s="90">
        <v>194600</v>
      </c>
      <c r="BT260" s="90" t="str">
        <f>BJ260</f>
        <v>9D24FT89526-50</v>
      </c>
      <c r="BU260" s="127">
        <f>BK260</f>
        <v>43508</v>
      </c>
      <c r="BV260" s="127">
        <f>BL260</f>
        <v>44239</v>
      </c>
      <c r="BW260" s="90" t="str">
        <f>H260</f>
        <v>NIH</v>
      </c>
      <c r="BX260" s="90" t="str">
        <f>IF(H260="NATIONAL HEMOPHILIA FOUNDATION","Non Federal","Federal")</f>
        <v>Federal</v>
      </c>
      <c r="BY260" s="128">
        <f>BM260</f>
        <v>3192644.4000000004</v>
      </c>
      <c r="BZ260" s="90" t="str">
        <f>IF(LEN(BR260)&gt;0,1,"")</f>
        <v/>
      </c>
      <c r="CA260" s="90" t="str">
        <f>IF(LEN(BR260)&gt;0,"VIRAL HEPATITIS PROJECT","")</f>
        <v/>
      </c>
      <c r="CB260" s="129" t="str">
        <f>IF(LEN(BR260)&gt;0,BM260*0.7,"")</f>
        <v/>
      </c>
      <c r="CC260" s="90">
        <f>BP260</f>
        <v>3352276.6200000006</v>
      </c>
      <c r="CD260" s="90" t="str">
        <f>IF(LEN(BR260)&gt;0,"70%","")</f>
        <v/>
      </c>
      <c r="CE260" s="90">
        <f>BS260</f>
        <v>194600</v>
      </c>
      <c r="CF260" s="90" t="str">
        <f>CA260</f>
        <v/>
      </c>
      <c r="CG260" s="90"/>
      <c r="CH260" s="90"/>
      <c r="CI260" s="90"/>
      <c r="CJ260" s="90"/>
      <c r="CK260" s="90"/>
      <c r="CL260" s="90"/>
      <c r="CM260" s="90"/>
      <c r="CN260" s="90"/>
      <c r="CO260" s="90"/>
      <c r="CP260" s="90"/>
      <c r="CQ260" s="90"/>
      <c r="CR260" s="90"/>
      <c r="CS260" s="90"/>
      <c r="CT260" s="137"/>
    </row>
    <row r="261" spans="1:98" ht="45">
      <c r="A261" s="89">
        <v>194600</v>
      </c>
      <c r="B261" s="90">
        <v>2020</v>
      </c>
      <c r="C261" s="90" t="s">
        <v>81</v>
      </c>
      <c r="D261" s="90" t="s">
        <v>902</v>
      </c>
      <c r="E261" s="125" t="s">
        <v>791</v>
      </c>
      <c r="F261" s="24" t="s">
        <v>903</v>
      </c>
      <c r="G261" s="90" t="s">
        <v>85</v>
      </c>
      <c r="H261" s="90" t="s">
        <v>117</v>
      </c>
      <c r="I261" s="90">
        <v>93</v>
      </c>
      <c r="J261" s="90">
        <v>157</v>
      </c>
      <c r="K261" s="90" t="s">
        <v>85</v>
      </c>
      <c r="L261" s="90" t="s">
        <v>904</v>
      </c>
      <c r="M261" s="90" t="s">
        <v>119</v>
      </c>
      <c r="N261" s="24" t="s">
        <v>764</v>
      </c>
      <c r="O261" s="24" t="str">
        <f>IF(ISNUMBER(SEARCH("Cancer",N261)),"Cancer",IF(ISNUMBER(SEARCH("health",N261)),"Public health",IF(ISNUMBER(SEARCH("disabilities",N261)),"Disabilities","Other")))</f>
        <v>Other</v>
      </c>
      <c r="P261" s="126">
        <v>2902404</v>
      </c>
      <c r="Q261" s="90" t="s">
        <v>85</v>
      </c>
      <c r="R261" s="90" t="str">
        <f>IF(P261&gt;20000000,"B","A")</f>
        <v>A</v>
      </c>
      <c r="S261" s="90" t="s">
        <v>90</v>
      </c>
      <c r="T261" s="90" t="s">
        <v>119</v>
      </c>
      <c r="U261" s="90" t="s">
        <v>119</v>
      </c>
      <c r="V261" s="90" t="s">
        <v>119</v>
      </c>
      <c r="W261" s="90" t="s">
        <v>119</v>
      </c>
      <c r="X261" s="90" t="s">
        <v>119</v>
      </c>
      <c r="Y261" s="90" t="s">
        <v>119</v>
      </c>
      <c r="Z261" s="90" t="s">
        <v>119</v>
      </c>
      <c r="AA261" s="90" t="s">
        <v>119</v>
      </c>
      <c r="AB261" s="90" t="s">
        <v>119</v>
      </c>
      <c r="AC261" s="90" t="s">
        <v>119</v>
      </c>
      <c r="AD261" s="90" t="s">
        <v>119</v>
      </c>
      <c r="AE261" s="24">
        <v>0</v>
      </c>
      <c r="AF261" s="90">
        <v>0</v>
      </c>
      <c r="AG261" s="24">
        <v>0</v>
      </c>
      <c r="AH261" s="90">
        <v>90158</v>
      </c>
      <c r="AI261" s="24" t="s">
        <v>110</v>
      </c>
      <c r="AJ261" s="24" t="s">
        <v>906</v>
      </c>
      <c r="AK261" s="90" t="s">
        <v>85</v>
      </c>
      <c r="AL261" s="90">
        <v>194600</v>
      </c>
      <c r="AM261" s="90" t="s">
        <v>81</v>
      </c>
      <c r="AN261" s="90" t="s">
        <v>902</v>
      </c>
      <c r="AO261" s="125" t="s">
        <v>791</v>
      </c>
      <c r="AP261" s="24" t="s">
        <v>764</v>
      </c>
      <c r="AQ261" s="90" t="s">
        <v>904</v>
      </c>
      <c r="AR261" s="24" t="s">
        <v>764</v>
      </c>
      <c r="AS261" s="90" t="s">
        <v>119</v>
      </c>
      <c r="AT261" s="24" t="s">
        <v>110</v>
      </c>
      <c r="AU261" s="90" t="s">
        <v>119</v>
      </c>
      <c r="AV261" s="90" t="str">
        <f>IF(ISNUMBER(SEARCH("disagree",AE261)),"N","Y")</f>
        <v>Y</v>
      </c>
      <c r="AW261" s="90" t="s">
        <v>119</v>
      </c>
      <c r="AX261" s="24" t="s">
        <v>119</v>
      </c>
      <c r="AY261" s="90" t="str">
        <f>CONCATENATE(AZ261,BA261,BB261,BC261)</f>
        <v/>
      </c>
      <c r="AZ261" s="90" t="str">
        <f>IF(ISNUMBER(SEARCH("Y",AC261)),"R","")</f>
        <v/>
      </c>
      <c r="BA261" s="90" t="str">
        <f>IF(ISNUMBER(SEARCH("Y",Y261)),"M","")</f>
        <v/>
      </c>
      <c r="BB261" s="90" t="str">
        <f>IF(ISNUMBER(SEARCH("Y",AB261)),"QC","")</f>
        <v/>
      </c>
      <c r="BC261" s="90" t="str">
        <f>IF(ISNUMBER(SEARCH("Y",Z261)),"S","")</f>
        <v/>
      </c>
      <c r="BD261" s="90"/>
      <c r="BE261" s="24" t="s">
        <v>119</v>
      </c>
      <c r="BF261" s="125" t="str">
        <f>IF(AND(AW261&gt;=56543,AW261&lt;=76543,LEN(AW261)&gt;0),"3 Feb 2020",IF(AND(AW261&gt;=66544,AW261&lt;=99999,LEN(AW261)&gt;0),"12 Sep 2020",""))</f>
        <v/>
      </c>
      <c r="BG261" s="125" t="str">
        <f>IF((AND(BF261="3 Feb 2020",LEN(BF261)&gt;0)),"Completed",IF((AND(BF261="12 Sep 2020",LEN(BF261)&gt;0)),"Pending",""))</f>
        <v/>
      </c>
      <c r="BH261" s="90" t="str">
        <f>IF((AND(BF261="3 Feb 2020",LEN(BF261)&gt;0)),"3 Feb 2020","")</f>
        <v/>
      </c>
      <c r="BI261" s="90">
        <v>194600</v>
      </c>
      <c r="BJ261" s="90" t="str">
        <f>L261</f>
        <v>9D24FT89526-50</v>
      </c>
      <c r="BK261" s="127">
        <v>43508</v>
      </c>
      <c r="BL261" s="127">
        <v>44239</v>
      </c>
      <c r="BM261" s="128">
        <f>P261*1.1</f>
        <v>3192644.4000000004</v>
      </c>
      <c r="BN261" s="129">
        <f>P261*0.9</f>
        <v>2612163.6</v>
      </c>
      <c r="BO261" s="130">
        <f>P261*0.8</f>
        <v>2321923.2000000002</v>
      </c>
      <c r="BP261" s="90">
        <f>IF(Z261="Y",BM261*0.4,BM261*1.05)</f>
        <v>3352276.6200000006</v>
      </c>
      <c r="BQ261" s="90">
        <f>BP261*0.8</f>
        <v>2681821.2960000006</v>
      </c>
      <c r="BR261" s="90" t="str">
        <f>IF(ISNUMBER(SEARCH("subrecipient",AI257)),P261*0.6,"")</f>
        <v/>
      </c>
      <c r="BS261" s="90">
        <v>194600</v>
      </c>
      <c r="BT261" s="90" t="str">
        <f>BJ261</f>
        <v>9D24FT89526-50</v>
      </c>
      <c r="BU261" s="127">
        <f>BK261</f>
        <v>43508</v>
      </c>
      <c r="BV261" s="127">
        <f>BL261</f>
        <v>44239</v>
      </c>
      <c r="BW261" s="90" t="str">
        <f>H261</f>
        <v>NIH</v>
      </c>
      <c r="BX261" s="90" t="str">
        <f>IF(H261="NATIONAL HEMOPHILIA FOUNDATION","Non Federal","Federal")</f>
        <v>Federal</v>
      </c>
      <c r="BY261" s="128">
        <f>BM261</f>
        <v>3192644.4000000004</v>
      </c>
      <c r="BZ261" s="90" t="str">
        <f>IF(LEN(BR261)&gt;0,1,"")</f>
        <v/>
      </c>
      <c r="CA261" s="90" t="str">
        <f>IF(LEN(BR261)&gt;0,"VIRAL HEPATITIS PROJECT","")</f>
        <v/>
      </c>
      <c r="CB261" s="129" t="str">
        <f>IF(LEN(BR261)&gt;0,BM261*0.7,"")</f>
        <v/>
      </c>
      <c r="CC261" s="90">
        <f>BP261</f>
        <v>3352276.6200000006</v>
      </c>
      <c r="CD261" s="90" t="str">
        <f>IF(LEN(BR261)&gt;0,"70%","")</f>
        <v/>
      </c>
      <c r="CE261" s="90">
        <f>BS261</f>
        <v>194600</v>
      </c>
      <c r="CF261" s="90" t="str">
        <f>CA261</f>
        <v/>
      </c>
      <c r="CG261" s="90"/>
      <c r="CH261" s="90"/>
      <c r="CI261" s="90"/>
      <c r="CJ261" s="90"/>
      <c r="CK261" s="90"/>
      <c r="CL261" s="90"/>
      <c r="CM261" s="90"/>
      <c r="CN261" s="90"/>
      <c r="CO261" s="90"/>
      <c r="CP261" s="90"/>
      <c r="CQ261" s="90"/>
      <c r="CR261" s="90"/>
      <c r="CS261" s="90"/>
      <c r="CT261" s="137"/>
    </row>
    <row r="262" spans="1:98" ht="75">
      <c r="A262" s="89">
        <v>194609</v>
      </c>
      <c r="B262" s="90">
        <v>2020</v>
      </c>
      <c r="C262" s="90" t="s">
        <v>81</v>
      </c>
      <c r="D262" s="90" t="s">
        <v>907</v>
      </c>
      <c r="E262" s="125" t="s">
        <v>793</v>
      </c>
      <c r="F262" s="24" t="s">
        <v>908</v>
      </c>
      <c r="G262" s="90" t="s">
        <v>85</v>
      </c>
      <c r="H262" s="90" t="s">
        <v>132</v>
      </c>
      <c r="I262" s="90">
        <v>93</v>
      </c>
      <c r="J262" s="90">
        <v>157</v>
      </c>
      <c r="K262" s="90" t="s">
        <v>85</v>
      </c>
      <c r="L262" s="90" t="s">
        <v>909</v>
      </c>
      <c r="M262" s="90" t="s">
        <v>119</v>
      </c>
      <c r="N262" s="24" t="s">
        <v>896</v>
      </c>
      <c r="O262" s="24" t="str">
        <f>IF(ISNUMBER(SEARCH("Cancer",N262)),"Cancer",IF(ISNUMBER(SEARCH("health",N262)),"Public health",IF(ISNUMBER(SEARCH("disabilities",N262)),"Disabilities","Other")))</f>
        <v>Other</v>
      </c>
      <c r="P262" s="126">
        <v>2872336</v>
      </c>
      <c r="Q262" s="90" t="s">
        <v>85</v>
      </c>
      <c r="R262" s="90" t="str">
        <f>IF(P262&gt;20000000,"B","A")</f>
        <v>A</v>
      </c>
      <c r="S262" s="90" t="s">
        <v>90</v>
      </c>
      <c r="T262" s="90" t="s">
        <v>119</v>
      </c>
      <c r="U262" s="90" t="s">
        <v>119</v>
      </c>
      <c r="V262" s="90" t="s">
        <v>119</v>
      </c>
      <c r="W262" s="90" t="s">
        <v>119</v>
      </c>
      <c r="X262" s="90" t="s">
        <v>119</v>
      </c>
      <c r="Y262" s="90" t="s">
        <v>119</v>
      </c>
      <c r="Z262" s="90" t="s">
        <v>119</v>
      </c>
      <c r="AA262" s="90" t="s">
        <v>119</v>
      </c>
      <c r="AB262" s="90" t="s">
        <v>119</v>
      </c>
      <c r="AC262" s="90" t="s">
        <v>119</v>
      </c>
      <c r="AD262" s="90" t="s">
        <v>119</v>
      </c>
      <c r="AE262" s="24">
        <v>0</v>
      </c>
      <c r="AF262" s="90">
        <v>0</v>
      </c>
      <c r="AG262" s="24">
        <v>0</v>
      </c>
      <c r="AH262" s="90">
        <v>90171</v>
      </c>
      <c r="AI262" s="24" t="s">
        <v>94</v>
      </c>
      <c r="AJ262" s="24" t="s">
        <v>910</v>
      </c>
      <c r="AK262" s="90" t="s">
        <v>85</v>
      </c>
      <c r="AL262" s="90">
        <v>194609</v>
      </c>
      <c r="AM262" s="90" t="s">
        <v>81</v>
      </c>
      <c r="AN262" s="90" t="s">
        <v>907</v>
      </c>
      <c r="AO262" s="125" t="s">
        <v>793</v>
      </c>
      <c r="AP262" s="24" t="s">
        <v>896</v>
      </c>
      <c r="AQ262" s="90" t="s">
        <v>909</v>
      </c>
      <c r="AR262" s="24" t="s">
        <v>896</v>
      </c>
      <c r="AS262" s="90" t="s">
        <v>119</v>
      </c>
      <c r="AT262" s="24" t="s">
        <v>94</v>
      </c>
      <c r="AU262" s="90" t="s">
        <v>119</v>
      </c>
      <c r="AV262" s="90" t="str">
        <f>IF(ISNUMBER(SEARCH("disagree",AE262)),"N","Y")</f>
        <v>Y</v>
      </c>
      <c r="AW262" s="90" t="s">
        <v>119</v>
      </c>
      <c r="AX262" s="24" t="s">
        <v>119</v>
      </c>
      <c r="AY262" s="90" t="str">
        <f>CONCATENATE(AZ262,BA262,BB262,BC262)</f>
        <v/>
      </c>
      <c r="AZ262" s="90" t="str">
        <f>IF(ISNUMBER(SEARCH("Y",AC262)),"R","")</f>
        <v/>
      </c>
      <c r="BA262" s="90" t="str">
        <f>IF(ISNUMBER(SEARCH("Y",Y262)),"M","")</f>
        <v/>
      </c>
      <c r="BB262" s="90" t="str">
        <f>IF(ISNUMBER(SEARCH("Y",AB262)),"QC","")</f>
        <v/>
      </c>
      <c r="BC262" s="90" t="str">
        <f>IF(ISNUMBER(SEARCH("Y",Z262)),"S","")</f>
        <v/>
      </c>
      <c r="BD262" s="90"/>
      <c r="BE262" s="24" t="s">
        <v>119</v>
      </c>
      <c r="BF262" s="125" t="str">
        <f>IF(AND(AW262&gt;=56543,AW262&lt;=76543,LEN(AW262)&gt;0),"3 Feb 2020",IF(AND(AW262&gt;=66544,AW262&lt;=99999,LEN(AW262)&gt;0),"12 Sep 2020",""))</f>
        <v/>
      </c>
      <c r="BG262" s="125" t="str">
        <f>IF((AND(BF262="3 Feb 2020",LEN(BF262)&gt;0)),"Completed",IF((AND(BF262="12 Sep 2020",LEN(BF262)&gt;0)),"Pending",""))</f>
        <v/>
      </c>
      <c r="BH262" s="90" t="str">
        <f>IF((AND(BF262="3 Feb 2020",LEN(BF262)&gt;0)),"3 Feb 2020","")</f>
        <v/>
      </c>
      <c r="BI262" s="90">
        <v>194609</v>
      </c>
      <c r="BJ262" s="90" t="str">
        <f>L262</f>
        <v>7B50CR90191-30</v>
      </c>
      <c r="BK262" s="127">
        <v>43508</v>
      </c>
      <c r="BL262" s="127">
        <v>44239</v>
      </c>
      <c r="BM262" s="128">
        <f>P262*1.1</f>
        <v>3159569.6</v>
      </c>
      <c r="BN262" s="129">
        <f>P262*0.9</f>
        <v>2585102.4</v>
      </c>
      <c r="BO262" s="130">
        <f>P262*0.8</f>
        <v>2297868.8000000003</v>
      </c>
      <c r="BP262" s="90">
        <f>IF(Z262="Y",BM262*0.4,BM262*1.05)</f>
        <v>3317548.08</v>
      </c>
      <c r="BQ262" s="90">
        <f>BP262*0.8</f>
        <v>2654038.4640000002</v>
      </c>
      <c r="BR262" s="90" t="str">
        <f>IF(ISNUMBER(SEARCH("subrecipient",AI258)),P262*0.6,"")</f>
        <v/>
      </c>
      <c r="BS262" s="90">
        <v>194609</v>
      </c>
      <c r="BT262" s="90" t="str">
        <f>BJ262</f>
        <v>7B50CR90191-30</v>
      </c>
      <c r="BU262" s="127">
        <f>BK262</f>
        <v>43508</v>
      </c>
      <c r="BV262" s="127">
        <f>BL262</f>
        <v>44239</v>
      </c>
      <c r="BW262" s="90" t="str">
        <f>H262</f>
        <v>FDA</v>
      </c>
      <c r="BX262" s="90" t="str">
        <f>IF(H262="NATIONAL HEMOPHILIA FOUNDATION","Non Federal","Federal")</f>
        <v>Federal</v>
      </c>
      <c r="BY262" s="128">
        <f>BM262</f>
        <v>3159569.6</v>
      </c>
      <c r="BZ262" s="90" t="str">
        <f>IF(LEN(BR262)&gt;0,1,"")</f>
        <v/>
      </c>
      <c r="CA262" s="90" t="str">
        <f>IF(LEN(BR262)&gt;0,"VIRAL HEPATITIS PROJECT","")</f>
        <v/>
      </c>
      <c r="CB262" s="129" t="str">
        <f>IF(LEN(BR262)&gt;0,BM262*0.7,"")</f>
        <v/>
      </c>
      <c r="CC262" s="90">
        <f>BP262</f>
        <v>3317548.08</v>
      </c>
      <c r="CD262" s="90" t="str">
        <f>IF(LEN(BR262)&gt;0,"70%","")</f>
        <v/>
      </c>
      <c r="CE262" s="90">
        <f>BS262</f>
        <v>194609</v>
      </c>
      <c r="CF262" s="90" t="str">
        <f>CA262</f>
        <v/>
      </c>
      <c r="CG262" s="90"/>
      <c r="CH262" s="90"/>
      <c r="CI262" s="90"/>
      <c r="CJ262" s="90"/>
      <c r="CK262" s="90"/>
      <c r="CL262" s="90"/>
      <c r="CM262" s="90"/>
      <c r="CN262" s="90"/>
      <c r="CO262" s="90"/>
      <c r="CP262" s="90"/>
      <c r="CQ262" s="90"/>
      <c r="CR262" s="90"/>
      <c r="CS262" s="90"/>
      <c r="CT262" s="137"/>
    </row>
    <row r="263" spans="1:98" ht="30">
      <c r="A263" s="89">
        <v>194609</v>
      </c>
      <c r="B263" s="90">
        <v>2020</v>
      </c>
      <c r="C263" s="90" t="s">
        <v>81</v>
      </c>
      <c r="D263" s="90" t="s">
        <v>907</v>
      </c>
      <c r="E263" s="125" t="s">
        <v>780</v>
      </c>
      <c r="F263" s="24" t="s">
        <v>908</v>
      </c>
      <c r="G263" s="90" t="s">
        <v>85</v>
      </c>
      <c r="H263" s="90" t="s">
        <v>132</v>
      </c>
      <c r="I263" s="90">
        <v>93</v>
      </c>
      <c r="J263" s="90">
        <v>157</v>
      </c>
      <c r="K263" s="90" t="s">
        <v>85</v>
      </c>
      <c r="L263" s="90" t="s">
        <v>909</v>
      </c>
      <c r="M263" s="90" t="s">
        <v>119</v>
      </c>
      <c r="N263" s="24" t="s">
        <v>896</v>
      </c>
      <c r="O263" s="24" t="str">
        <f>IF(ISNUMBER(SEARCH("Cancer",N263)),"Cancer",IF(ISNUMBER(SEARCH("health",N263)),"Public health",IF(ISNUMBER(SEARCH("disabilities",N263)),"Disabilities","Other")))</f>
        <v>Other</v>
      </c>
      <c r="P263" s="126">
        <v>2872336</v>
      </c>
      <c r="Q263" s="90" t="s">
        <v>85</v>
      </c>
      <c r="R263" s="90" t="str">
        <f>IF(P263&gt;20000000,"B","A")</f>
        <v>A</v>
      </c>
      <c r="S263" s="90" t="s">
        <v>90</v>
      </c>
      <c r="T263" s="90" t="s">
        <v>119</v>
      </c>
      <c r="U263" s="90" t="s">
        <v>119</v>
      </c>
      <c r="V263" s="90" t="s">
        <v>119</v>
      </c>
      <c r="W263" s="90" t="s">
        <v>119</v>
      </c>
      <c r="X263" s="90" t="s">
        <v>119</v>
      </c>
      <c r="Y263" s="90" t="s">
        <v>119</v>
      </c>
      <c r="Z263" s="90" t="s">
        <v>119</v>
      </c>
      <c r="AA263" s="90" t="s">
        <v>119</v>
      </c>
      <c r="AB263" s="90" t="s">
        <v>119</v>
      </c>
      <c r="AC263" s="90" t="s">
        <v>119</v>
      </c>
      <c r="AD263" s="90" t="s">
        <v>119</v>
      </c>
      <c r="AE263" s="24">
        <v>0</v>
      </c>
      <c r="AF263" s="90">
        <v>0</v>
      </c>
      <c r="AG263" s="24">
        <v>0</v>
      </c>
      <c r="AH263" s="90">
        <v>90172</v>
      </c>
      <c r="AI263" s="24" t="s">
        <v>102</v>
      </c>
      <c r="AJ263" s="24" t="s">
        <v>103</v>
      </c>
      <c r="AK263" s="90" t="s">
        <v>85</v>
      </c>
      <c r="AL263" s="90">
        <v>194609</v>
      </c>
      <c r="AM263" s="90" t="s">
        <v>81</v>
      </c>
      <c r="AN263" s="90" t="s">
        <v>907</v>
      </c>
      <c r="AO263" s="125" t="s">
        <v>780</v>
      </c>
      <c r="AP263" s="24" t="s">
        <v>896</v>
      </c>
      <c r="AQ263" s="90" t="s">
        <v>909</v>
      </c>
      <c r="AR263" s="24" t="s">
        <v>896</v>
      </c>
      <c r="AS263" s="90" t="s">
        <v>119</v>
      </c>
      <c r="AT263" s="24" t="s">
        <v>102</v>
      </c>
      <c r="AU263" s="90" t="s">
        <v>119</v>
      </c>
      <c r="AV263" s="90" t="str">
        <f>IF(ISNUMBER(SEARCH("disagree",AE263)),"N","Y")</f>
        <v>Y</v>
      </c>
      <c r="AW263" s="90" t="s">
        <v>119</v>
      </c>
      <c r="AX263" s="24" t="s">
        <v>119</v>
      </c>
      <c r="AY263" s="90" t="str">
        <f>CONCATENATE(AZ263,BA263,BB263,BC263)</f>
        <v/>
      </c>
      <c r="AZ263" s="90" t="str">
        <f>IF(ISNUMBER(SEARCH("Y",AC263)),"R","")</f>
        <v/>
      </c>
      <c r="BA263" s="90" t="str">
        <f>IF(ISNUMBER(SEARCH("Y",Y263)),"M","")</f>
        <v/>
      </c>
      <c r="BB263" s="90" t="str">
        <f>IF(ISNUMBER(SEARCH("Y",AB263)),"QC","")</f>
        <v/>
      </c>
      <c r="BC263" s="90" t="str">
        <f>IF(ISNUMBER(SEARCH("Y",Z263)),"S","")</f>
        <v/>
      </c>
      <c r="BD263" s="90"/>
      <c r="BE263" s="24" t="s">
        <v>119</v>
      </c>
      <c r="BF263" s="125" t="str">
        <f>IF(AND(AW263&gt;=56543,AW263&lt;=76543,LEN(AW263)&gt;0),"3 Feb 2020",IF(AND(AW263&gt;=66544,AW263&lt;=99999,LEN(AW263)&gt;0),"12 Sep 2020",""))</f>
        <v/>
      </c>
      <c r="BG263" s="125" t="str">
        <f>IF((AND(BF263="3 Feb 2020",LEN(BF263)&gt;0)),"Completed",IF((AND(BF263="12 Sep 2020",LEN(BF263)&gt;0)),"Pending",""))</f>
        <v/>
      </c>
      <c r="BH263" s="90" t="str">
        <f>IF((AND(BF263="3 Feb 2020",LEN(BF263)&gt;0)),"3 Feb 2020","")</f>
        <v/>
      </c>
      <c r="BI263" s="90">
        <v>194609</v>
      </c>
      <c r="BJ263" s="90" t="str">
        <f>L263</f>
        <v>7B50CR90191-30</v>
      </c>
      <c r="BK263" s="127">
        <v>43508</v>
      </c>
      <c r="BL263" s="127">
        <v>44239</v>
      </c>
      <c r="BM263" s="128">
        <f>P263*1.1</f>
        <v>3159569.6</v>
      </c>
      <c r="BN263" s="129">
        <f>P263*0.9</f>
        <v>2585102.4</v>
      </c>
      <c r="BO263" s="130">
        <f>P263*0.8</f>
        <v>2297868.8000000003</v>
      </c>
      <c r="BP263" s="90">
        <f>IF(Z263="Y",BM263*0.4,BM263*1.05)</f>
        <v>3317548.08</v>
      </c>
      <c r="BQ263" s="90">
        <f>BP263*0.8</f>
        <v>2654038.4640000002</v>
      </c>
      <c r="BR263" s="90" t="str">
        <f>IF(ISNUMBER(SEARCH("subrecipient",AI259)),P263*0.6,"")</f>
        <v/>
      </c>
      <c r="BS263" s="90">
        <v>194609</v>
      </c>
      <c r="BT263" s="90" t="str">
        <f>BJ263</f>
        <v>7B50CR90191-30</v>
      </c>
      <c r="BU263" s="127">
        <f>BK263</f>
        <v>43508</v>
      </c>
      <c r="BV263" s="127">
        <f>BL263</f>
        <v>44239</v>
      </c>
      <c r="BW263" s="90" t="str">
        <f>H263</f>
        <v>FDA</v>
      </c>
      <c r="BX263" s="90" t="str">
        <f>IF(H263="NATIONAL HEMOPHILIA FOUNDATION","Non Federal","Federal")</f>
        <v>Federal</v>
      </c>
      <c r="BY263" s="128">
        <f>BM263</f>
        <v>3159569.6</v>
      </c>
      <c r="BZ263" s="90" t="str">
        <f>IF(LEN(BR263)&gt;0,1,"")</f>
        <v/>
      </c>
      <c r="CA263" s="90" t="str">
        <f>IF(LEN(BR263)&gt;0,"VIRAL HEPATITIS PROJECT","")</f>
        <v/>
      </c>
      <c r="CB263" s="129" t="str">
        <f>IF(LEN(BR263)&gt;0,BM263*0.7,"")</f>
        <v/>
      </c>
      <c r="CC263" s="90">
        <f>BP263</f>
        <v>3317548.08</v>
      </c>
      <c r="CD263" s="90" t="str">
        <f>IF(LEN(BR263)&gt;0,"70%","")</f>
        <v/>
      </c>
      <c r="CE263" s="90">
        <f>BS263</f>
        <v>194609</v>
      </c>
      <c r="CF263" s="90" t="str">
        <f>CA263</f>
        <v/>
      </c>
      <c r="CG263" s="90"/>
      <c r="CH263" s="90"/>
      <c r="CI263" s="90"/>
      <c r="CJ263" s="90"/>
      <c r="CK263" s="90"/>
      <c r="CL263" s="90"/>
      <c r="CM263" s="90"/>
      <c r="CN263" s="90"/>
      <c r="CO263" s="90"/>
      <c r="CP263" s="90"/>
      <c r="CQ263" s="90"/>
      <c r="CR263" s="90"/>
      <c r="CS263" s="90"/>
      <c r="CT263" s="137"/>
    </row>
    <row r="264" spans="1:98" ht="75">
      <c r="A264" s="89">
        <v>194631</v>
      </c>
      <c r="B264" s="90">
        <v>2020</v>
      </c>
      <c r="C264" s="90" t="s">
        <v>81</v>
      </c>
      <c r="D264" s="90" t="s">
        <v>911</v>
      </c>
      <c r="E264" s="125" t="s">
        <v>781</v>
      </c>
      <c r="F264" s="24" t="s">
        <v>912</v>
      </c>
      <c r="G264" s="90" t="s">
        <v>85</v>
      </c>
      <c r="H264" s="90" t="s">
        <v>150</v>
      </c>
      <c r="I264" s="90">
        <v>93</v>
      </c>
      <c r="J264" s="90">
        <v>157</v>
      </c>
      <c r="K264" s="90" t="s">
        <v>85</v>
      </c>
      <c r="L264" s="90" t="s">
        <v>913</v>
      </c>
      <c r="M264" s="90" t="s">
        <v>119</v>
      </c>
      <c r="N264" s="24" t="s">
        <v>914</v>
      </c>
      <c r="O264" s="24" t="str">
        <f>IF(ISNUMBER(SEARCH("Cancer",N264)),"Cancer",IF(ISNUMBER(SEARCH("health",N264)),"Public health",IF(ISNUMBER(SEARCH("disabilities",N264)),"Disabilities","Other")))</f>
        <v>Other</v>
      </c>
      <c r="P264" s="126">
        <v>2049738</v>
      </c>
      <c r="Q264" s="90" t="s">
        <v>85</v>
      </c>
      <c r="R264" s="90" t="str">
        <f>IF(P264&gt;20000000,"B","A")</f>
        <v>A</v>
      </c>
      <c r="S264" s="90" t="s">
        <v>90</v>
      </c>
      <c r="T264" s="90" t="s">
        <v>119</v>
      </c>
      <c r="U264" s="90" t="s">
        <v>119</v>
      </c>
      <c r="V264" s="90" t="s">
        <v>119</v>
      </c>
      <c r="W264" s="90" t="s">
        <v>119</v>
      </c>
      <c r="X264" s="90" t="s">
        <v>119</v>
      </c>
      <c r="Y264" s="90" t="s">
        <v>119</v>
      </c>
      <c r="Z264" s="90" t="s">
        <v>119</v>
      </c>
      <c r="AA264" s="90" t="s">
        <v>119</v>
      </c>
      <c r="AB264" s="90" t="s">
        <v>119</v>
      </c>
      <c r="AC264" s="90" t="s">
        <v>119</v>
      </c>
      <c r="AD264" s="90" t="s">
        <v>119</v>
      </c>
      <c r="AE264" s="24">
        <v>0</v>
      </c>
      <c r="AF264" s="90">
        <v>0</v>
      </c>
      <c r="AG264" s="24">
        <v>0</v>
      </c>
      <c r="AH264" s="90">
        <v>89203</v>
      </c>
      <c r="AI264" s="24" t="s">
        <v>94</v>
      </c>
      <c r="AJ264" s="24" t="s">
        <v>915</v>
      </c>
      <c r="AK264" s="90" t="s">
        <v>85</v>
      </c>
      <c r="AL264" s="90">
        <v>194631</v>
      </c>
      <c r="AM264" s="90" t="s">
        <v>81</v>
      </c>
      <c r="AN264" s="90" t="s">
        <v>911</v>
      </c>
      <c r="AO264" s="125" t="s">
        <v>781</v>
      </c>
      <c r="AP264" s="24" t="s">
        <v>914</v>
      </c>
      <c r="AQ264" s="90" t="s">
        <v>913</v>
      </c>
      <c r="AR264" s="24" t="s">
        <v>914</v>
      </c>
      <c r="AS264" s="90" t="s">
        <v>119</v>
      </c>
      <c r="AT264" s="24" t="s">
        <v>94</v>
      </c>
      <c r="AU264" s="90" t="s">
        <v>119</v>
      </c>
      <c r="AV264" s="90" t="str">
        <f>IF(ISNUMBER(SEARCH("disagree",AE264)),"N","Y")</f>
        <v>Y</v>
      </c>
      <c r="AW264" s="90" t="s">
        <v>119</v>
      </c>
      <c r="AX264" s="24" t="s">
        <v>119</v>
      </c>
      <c r="AY264" s="90" t="str">
        <f>CONCATENATE(AZ264,BA264,BB264,BC264)</f>
        <v/>
      </c>
      <c r="AZ264" s="90" t="str">
        <f>IF(ISNUMBER(SEARCH("Y",AC264)),"R","")</f>
        <v/>
      </c>
      <c r="BA264" s="90" t="str">
        <f>IF(ISNUMBER(SEARCH("Y",Y264)),"M","")</f>
        <v/>
      </c>
      <c r="BB264" s="90" t="str">
        <f>IF(ISNUMBER(SEARCH("Y",AB264)),"QC","")</f>
        <v/>
      </c>
      <c r="BC264" s="90" t="str">
        <f>IF(ISNUMBER(SEARCH("Y",Z264)),"S","")</f>
        <v/>
      </c>
      <c r="BD264" s="90"/>
      <c r="BE264" s="24" t="s">
        <v>119</v>
      </c>
      <c r="BF264" s="125" t="str">
        <f>IF(AND(AW264&gt;=56543,AW264&lt;=76543,LEN(AW264)&gt;0),"3 Feb 2020",IF(AND(AW264&gt;=66544,AW264&lt;=99999,LEN(AW264)&gt;0),"12 Sep 2020",""))</f>
        <v/>
      </c>
      <c r="BG264" s="125" t="str">
        <f>IF((AND(BF264="3 Feb 2020",LEN(BF264)&gt;0)),"Completed",IF((AND(BF264="12 Sep 2020",LEN(BF264)&gt;0)),"Pending",""))</f>
        <v/>
      </c>
      <c r="BH264" s="90" t="str">
        <f>IF((AND(BF264="3 Feb 2020",LEN(BF264)&gt;0)),"3 Feb 2020","")</f>
        <v/>
      </c>
      <c r="BI264" s="90">
        <v>194631</v>
      </c>
      <c r="BJ264" s="90" t="str">
        <f>L264</f>
        <v>8B13IR90159-19</v>
      </c>
      <c r="BK264" s="127">
        <v>43508</v>
      </c>
      <c r="BL264" s="127">
        <v>44239</v>
      </c>
      <c r="BM264" s="128">
        <f>P264*1.1</f>
        <v>2254711.8000000003</v>
      </c>
      <c r="BN264" s="129">
        <f>P264*0.9</f>
        <v>1844764.2</v>
      </c>
      <c r="BO264" s="130">
        <f>P264*0.8</f>
        <v>1639790.4000000001</v>
      </c>
      <c r="BP264" s="90">
        <f>IF(Z264="Y",BM264*0.4,BM264*1.05)</f>
        <v>2367447.3900000006</v>
      </c>
      <c r="BQ264" s="90">
        <f>BP264*0.8</f>
        <v>1893957.9120000005</v>
      </c>
      <c r="BR264" s="90" t="str">
        <f>IF(ISNUMBER(SEARCH("subrecipient",AI260)),P264*0.6,"")</f>
        <v/>
      </c>
      <c r="BS264" s="90">
        <v>194631</v>
      </c>
      <c r="BT264" s="90" t="str">
        <f>BJ264</f>
        <v>8B13IR90159-19</v>
      </c>
      <c r="BU264" s="127">
        <f>BK264</f>
        <v>43508</v>
      </c>
      <c r="BV264" s="127">
        <f>BL264</f>
        <v>44239</v>
      </c>
      <c r="BW264" s="90" t="str">
        <f>H264</f>
        <v>ACF</v>
      </c>
      <c r="BX264" s="90" t="str">
        <f>IF(H264="NATIONAL HEMOPHILIA FOUNDATION","Non Federal","Federal")</f>
        <v>Federal</v>
      </c>
      <c r="BY264" s="128">
        <f>BM264</f>
        <v>2254711.8000000003</v>
      </c>
      <c r="BZ264" s="90" t="str">
        <f>IF(LEN(BR264)&gt;0,1,"")</f>
        <v/>
      </c>
      <c r="CA264" s="90" t="str">
        <f>IF(LEN(BR264)&gt;0,"VIRAL HEPATITIS PROJECT","")</f>
        <v/>
      </c>
      <c r="CB264" s="129" t="str">
        <f>IF(LEN(BR264)&gt;0,BM264*0.7,"")</f>
        <v/>
      </c>
      <c r="CC264" s="90">
        <f>BP264</f>
        <v>2367447.3900000006</v>
      </c>
      <c r="CD264" s="90" t="str">
        <f>IF(LEN(BR264)&gt;0,"70%","")</f>
        <v/>
      </c>
      <c r="CE264" s="90">
        <f>BS264</f>
        <v>194631</v>
      </c>
      <c r="CF264" s="90" t="str">
        <f>CA264</f>
        <v/>
      </c>
      <c r="CG264" s="90"/>
      <c r="CH264" s="90"/>
      <c r="CI264" s="90"/>
      <c r="CJ264" s="90"/>
      <c r="CK264" s="90"/>
      <c r="CL264" s="90"/>
      <c r="CM264" s="90"/>
      <c r="CN264" s="90"/>
      <c r="CO264" s="90"/>
      <c r="CP264" s="90"/>
      <c r="CQ264" s="90"/>
      <c r="CR264" s="90"/>
      <c r="CS264" s="90"/>
      <c r="CT264" s="137"/>
    </row>
    <row r="265" spans="1:98" ht="60">
      <c r="A265" s="89">
        <v>194631</v>
      </c>
      <c r="B265" s="90">
        <v>2020</v>
      </c>
      <c r="C265" s="90" t="s">
        <v>81</v>
      </c>
      <c r="D265" s="90" t="s">
        <v>911</v>
      </c>
      <c r="E265" s="125" t="s">
        <v>784</v>
      </c>
      <c r="F265" s="24" t="s">
        <v>912</v>
      </c>
      <c r="G265" s="90" t="s">
        <v>85</v>
      </c>
      <c r="H265" s="90" t="s">
        <v>150</v>
      </c>
      <c r="I265" s="90">
        <v>93</v>
      </c>
      <c r="J265" s="90">
        <v>157</v>
      </c>
      <c r="K265" s="90" t="s">
        <v>85</v>
      </c>
      <c r="L265" s="90" t="s">
        <v>913</v>
      </c>
      <c r="M265" s="90" t="s">
        <v>119</v>
      </c>
      <c r="N265" s="24" t="s">
        <v>914</v>
      </c>
      <c r="O265" s="24" t="str">
        <f>IF(ISNUMBER(SEARCH("Cancer",N265)),"Cancer",IF(ISNUMBER(SEARCH("health",N265)),"Public health",IF(ISNUMBER(SEARCH("disabilities",N265)),"Disabilities","Other")))</f>
        <v>Other</v>
      </c>
      <c r="P265" s="126">
        <v>2049738</v>
      </c>
      <c r="Q265" s="90" t="s">
        <v>85</v>
      </c>
      <c r="R265" s="90" t="str">
        <f>IF(P265&gt;20000000,"B","A")</f>
        <v>A</v>
      </c>
      <c r="S265" s="90" t="s">
        <v>90</v>
      </c>
      <c r="T265" s="90" t="s">
        <v>119</v>
      </c>
      <c r="U265" s="90" t="s">
        <v>119</v>
      </c>
      <c r="V265" s="90" t="s">
        <v>119</v>
      </c>
      <c r="W265" s="90" t="s">
        <v>119</v>
      </c>
      <c r="X265" s="90" t="s">
        <v>119</v>
      </c>
      <c r="Y265" s="90" t="s">
        <v>119</v>
      </c>
      <c r="Z265" s="90" t="s">
        <v>119</v>
      </c>
      <c r="AA265" s="90" t="s">
        <v>119</v>
      </c>
      <c r="AB265" s="90" t="s">
        <v>119</v>
      </c>
      <c r="AC265" s="90" t="s">
        <v>119</v>
      </c>
      <c r="AD265" s="90" t="s">
        <v>119</v>
      </c>
      <c r="AE265" s="24">
        <v>0</v>
      </c>
      <c r="AF265" s="90">
        <v>0</v>
      </c>
      <c r="AG265" s="24">
        <v>0</v>
      </c>
      <c r="AH265" s="90">
        <v>89204</v>
      </c>
      <c r="AI265" s="24" t="s">
        <v>102</v>
      </c>
      <c r="AJ265" s="24" t="s">
        <v>916</v>
      </c>
      <c r="AK265" s="90" t="s">
        <v>85</v>
      </c>
      <c r="AL265" s="90">
        <v>194631</v>
      </c>
      <c r="AM265" s="90" t="s">
        <v>81</v>
      </c>
      <c r="AN265" s="90" t="s">
        <v>911</v>
      </c>
      <c r="AO265" s="125" t="s">
        <v>784</v>
      </c>
      <c r="AP265" s="24" t="s">
        <v>914</v>
      </c>
      <c r="AQ265" s="90" t="s">
        <v>913</v>
      </c>
      <c r="AR265" s="24" t="s">
        <v>914</v>
      </c>
      <c r="AS265" s="90" t="s">
        <v>119</v>
      </c>
      <c r="AT265" s="24" t="s">
        <v>102</v>
      </c>
      <c r="AU265" s="90" t="s">
        <v>119</v>
      </c>
      <c r="AV265" s="90" t="str">
        <f>IF(ISNUMBER(SEARCH("disagree",AE265)),"N","Y")</f>
        <v>Y</v>
      </c>
      <c r="AW265" s="90" t="s">
        <v>119</v>
      </c>
      <c r="AX265" s="24" t="s">
        <v>119</v>
      </c>
      <c r="AY265" s="90" t="str">
        <f>CONCATENATE(AZ265,BA265,BB265,BC265)</f>
        <v/>
      </c>
      <c r="AZ265" s="90" t="str">
        <f>IF(ISNUMBER(SEARCH("Y",AC265)),"R","")</f>
        <v/>
      </c>
      <c r="BA265" s="90" t="str">
        <f>IF(ISNUMBER(SEARCH("Y",Y265)),"M","")</f>
        <v/>
      </c>
      <c r="BB265" s="90" t="str">
        <f>IF(ISNUMBER(SEARCH("Y",AB265)),"QC","")</f>
        <v/>
      </c>
      <c r="BC265" s="90" t="str">
        <f>IF(ISNUMBER(SEARCH("Y",Z265)),"S","")</f>
        <v/>
      </c>
      <c r="BD265" s="90"/>
      <c r="BE265" s="24" t="s">
        <v>119</v>
      </c>
      <c r="BF265" s="125" t="str">
        <f>IF(AND(AW265&gt;=56543,AW265&lt;=76543,LEN(AW265)&gt;0),"3 Feb 2020",IF(AND(AW265&gt;=66544,AW265&lt;=99999,LEN(AW265)&gt;0),"12 Sep 2020",""))</f>
        <v/>
      </c>
      <c r="BG265" s="125" t="str">
        <f>IF((AND(BF265="3 Feb 2020",LEN(BF265)&gt;0)),"Completed",IF((AND(BF265="12 Sep 2020",LEN(BF265)&gt;0)),"Pending",""))</f>
        <v/>
      </c>
      <c r="BH265" s="90" t="str">
        <f>IF((AND(BF265="3 Feb 2020",LEN(BF265)&gt;0)),"3 Feb 2020","")</f>
        <v/>
      </c>
      <c r="BI265" s="90">
        <v>194631</v>
      </c>
      <c r="BJ265" s="90" t="str">
        <f>L265</f>
        <v>8B13IR90159-19</v>
      </c>
      <c r="BK265" s="127">
        <v>43508</v>
      </c>
      <c r="BL265" s="127">
        <v>44239</v>
      </c>
      <c r="BM265" s="128">
        <f>P265*1.1</f>
        <v>2254711.8000000003</v>
      </c>
      <c r="BN265" s="129">
        <f>P265*0.9</f>
        <v>1844764.2</v>
      </c>
      <c r="BO265" s="130">
        <f>P265*0.8</f>
        <v>1639790.4000000001</v>
      </c>
      <c r="BP265" s="90">
        <f>IF(Z265="Y",BM265*0.4,BM265*1.05)</f>
        <v>2367447.3900000006</v>
      </c>
      <c r="BQ265" s="90">
        <f>BP265*0.8</f>
        <v>1893957.9120000005</v>
      </c>
      <c r="BR265" s="90" t="str">
        <f>IF(ISNUMBER(SEARCH("subrecipient",AI261)),P265*0.6,"")</f>
        <v/>
      </c>
      <c r="BS265" s="90">
        <v>194631</v>
      </c>
      <c r="BT265" s="90" t="str">
        <f>BJ265</f>
        <v>8B13IR90159-19</v>
      </c>
      <c r="BU265" s="127">
        <f>BK265</f>
        <v>43508</v>
      </c>
      <c r="BV265" s="127">
        <f>BL265</f>
        <v>44239</v>
      </c>
      <c r="BW265" s="90" t="str">
        <f>H265</f>
        <v>ACF</v>
      </c>
      <c r="BX265" s="90" t="str">
        <f>IF(H265="NATIONAL HEMOPHILIA FOUNDATION","Non Federal","Federal")</f>
        <v>Federal</v>
      </c>
      <c r="BY265" s="128">
        <f>BM265</f>
        <v>2254711.8000000003</v>
      </c>
      <c r="BZ265" s="90" t="str">
        <f>IF(LEN(BR265)&gt;0,1,"")</f>
        <v/>
      </c>
      <c r="CA265" s="90" t="str">
        <f>IF(LEN(BR265)&gt;0,"VIRAL HEPATITIS PROJECT","")</f>
        <v/>
      </c>
      <c r="CB265" s="129" t="str">
        <f>IF(LEN(BR265)&gt;0,BM265*0.7,"")</f>
        <v/>
      </c>
      <c r="CC265" s="90">
        <f>BP265</f>
        <v>2367447.3900000006</v>
      </c>
      <c r="CD265" s="90" t="str">
        <f>IF(LEN(BR265)&gt;0,"70%","")</f>
        <v/>
      </c>
      <c r="CE265" s="90">
        <f>BS265</f>
        <v>194631</v>
      </c>
      <c r="CF265" s="90" t="str">
        <f>CA265</f>
        <v/>
      </c>
      <c r="CG265" s="90"/>
      <c r="CH265" s="90"/>
      <c r="CI265" s="90"/>
      <c r="CJ265" s="90"/>
      <c r="CK265" s="90"/>
      <c r="CL265" s="90"/>
      <c r="CM265" s="90"/>
      <c r="CN265" s="90"/>
      <c r="CO265" s="90"/>
      <c r="CP265" s="90"/>
      <c r="CQ265" s="90"/>
      <c r="CR265" s="90"/>
      <c r="CS265" s="90"/>
      <c r="CT265" s="137"/>
    </row>
    <row r="266" spans="1:98" ht="60">
      <c r="A266" s="89">
        <v>194631</v>
      </c>
      <c r="B266" s="90">
        <v>2020</v>
      </c>
      <c r="C266" s="90" t="s">
        <v>81</v>
      </c>
      <c r="D266" s="90" t="s">
        <v>911</v>
      </c>
      <c r="E266" s="125" t="s">
        <v>790</v>
      </c>
      <c r="F266" s="24" t="s">
        <v>912</v>
      </c>
      <c r="G266" s="90" t="s">
        <v>85</v>
      </c>
      <c r="H266" s="90" t="s">
        <v>150</v>
      </c>
      <c r="I266" s="90">
        <v>93</v>
      </c>
      <c r="J266" s="90">
        <v>157</v>
      </c>
      <c r="K266" s="90" t="s">
        <v>85</v>
      </c>
      <c r="L266" s="90" t="s">
        <v>913</v>
      </c>
      <c r="M266" s="90" t="s">
        <v>119</v>
      </c>
      <c r="N266" s="24" t="s">
        <v>914</v>
      </c>
      <c r="O266" s="24" t="str">
        <f>IF(ISNUMBER(SEARCH("Cancer",N266)),"Cancer",IF(ISNUMBER(SEARCH("health",N266)),"Public health",IF(ISNUMBER(SEARCH("disabilities",N266)),"Disabilities","Other")))</f>
        <v>Other</v>
      </c>
      <c r="P266" s="126">
        <v>2049738</v>
      </c>
      <c r="Q266" s="90" t="s">
        <v>85</v>
      </c>
      <c r="R266" s="90" t="str">
        <f>IF(P266&gt;20000000,"B","A")</f>
        <v>A</v>
      </c>
      <c r="S266" s="90" t="s">
        <v>90</v>
      </c>
      <c r="T266" s="90" t="s">
        <v>119</v>
      </c>
      <c r="U266" s="90" t="s">
        <v>119</v>
      </c>
      <c r="V266" s="90" t="s">
        <v>119</v>
      </c>
      <c r="W266" s="90" t="s">
        <v>119</v>
      </c>
      <c r="X266" s="90" t="s">
        <v>119</v>
      </c>
      <c r="Y266" s="90" t="s">
        <v>119</v>
      </c>
      <c r="Z266" s="90" t="s">
        <v>119</v>
      </c>
      <c r="AA266" s="90" t="s">
        <v>119</v>
      </c>
      <c r="AB266" s="90" t="s">
        <v>119</v>
      </c>
      <c r="AC266" s="90" t="s">
        <v>119</v>
      </c>
      <c r="AD266" s="90" t="s">
        <v>119</v>
      </c>
      <c r="AE266" s="24">
        <v>0</v>
      </c>
      <c r="AF266" s="90">
        <v>0</v>
      </c>
      <c r="AG266" s="24">
        <v>0</v>
      </c>
      <c r="AH266" s="90">
        <v>89205</v>
      </c>
      <c r="AI266" s="24" t="s">
        <v>917</v>
      </c>
      <c r="AJ266" s="24" t="s">
        <v>918</v>
      </c>
      <c r="AK266" s="90" t="s">
        <v>85</v>
      </c>
      <c r="AL266" s="90">
        <v>194631</v>
      </c>
      <c r="AM266" s="90" t="s">
        <v>81</v>
      </c>
      <c r="AN266" s="90" t="s">
        <v>911</v>
      </c>
      <c r="AO266" s="125" t="s">
        <v>790</v>
      </c>
      <c r="AP266" s="24" t="s">
        <v>914</v>
      </c>
      <c r="AQ266" s="90" t="s">
        <v>913</v>
      </c>
      <c r="AR266" s="24" t="s">
        <v>914</v>
      </c>
      <c r="AS266" s="90" t="s">
        <v>119</v>
      </c>
      <c r="AT266" s="24" t="s">
        <v>917</v>
      </c>
      <c r="AU266" s="90" t="s">
        <v>119</v>
      </c>
      <c r="AV266" s="90" t="str">
        <f>IF(ISNUMBER(SEARCH("disagree",AE266)),"N","Y")</f>
        <v>Y</v>
      </c>
      <c r="AW266" s="90" t="s">
        <v>119</v>
      </c>
      <c r="AX266" s="24" t="s">
        <v>119</v>
      </c>
      <c r="AY266" s="90" t="str">
        <f>CONCATENATE(AZ266,BA266,BB266,BC266)</f>
        <v/>
      </c>
      <c r="AZ266" s="90" t="str">
        <f>IF(ISNUMBER(SEARCH("Y",AC266)),"R","")</f>
        <v/>
      </c>
      <c r="BA266" s="90" t="str">
        <f>IF(ISNUMBER(SEARCH("Y",Y266)),"M","")</f>
        <v/>
      </c>
      <c r="BB266" s="90" t="str">
        <f>IF(ISNUMBER(SEARCH("Y",AB266)),"QC","")</f>
        <v/>
      </c>
      <c r="BC266" s="90" t="str">
        <f>IF(ISNUMBER(SEARCH("Y",Z266)),"S","")</f>
        <v/>
      </c>
      <c r="BD266" s="90"/>
      <c r="BE266" s="24" t="s">
        <v>119</v>
      </c>
      <c r="BF266" s="125" t="str">
        <f>IF(AND(AW266&gt;=56543,AW266&lt;=76543,LEN(AW266)&gt;0),"3 Feb 2020",IF(AND(AW266&gt;=66544,AW266&lt;=99999,LEN(AW266)&gt;0),"12 Sep 2020",""))</f>
        <v/>
      </c>
      <c r="BG266" s="125" t="str">
        <f>IF((AND(BF266="3 Feb 2020",LEN(BF266)&gt;0)),"Completed",IF((AND(BF266="12 Sep 2020",LEN(BF266)&gt;0)),"Pending",""))</f>
        <v/>
      </c>
      <c r="BH266" s="90" t="str">
        <f>IF((AND(BF266="3 Feb 2020",LEN(BF266)&gt;0)),"3 Feb 2020","")</f>
        <v/>
      </c>
      <c r="BI266" s="90">
        <v>194631</v>
      </c>
      <c r="BJ266" s="90" t="str">
        <f>L266</f>
        <v>8B13IR90159-19</v>
      </c>
      <c r="BK266" s="127">
        <v>43508</v>
      </c>
      <c r="BL266" s="127">
        <v>44239</v>
      </c>
      <c r="BM266" s="128">
        <f>P266*1.1</f>
        <v>2254711.8000000003</v>
      </c>
      <c r="BN266" s="129">
        <f>P266*0.9</f>
        <v>1844764.2</v>
      </c>
      <c r="BO266" s="130">
        <f>P266*0.8</f>
        <v>1639790.4000000001</v>
      </c>
      <c r="BP266" s="90">
        <f>IF(Z266="Y",BM266*0.4,BM266*1.05)</f>
        <v>2367447.3900000006</v>
      </c>
      <c r="BQ266" s="90">
        <f>BP266*0.8</f>
        <v>1893957.9120000005</v>
      </c>
      <c r="BR266" s="90" t="str">
        <f>IF(ISNUMBER(SEARCH("subrecipient",AI262)),P266*0.6,"")</f>
        <v/>
      </c>
      <c r="BS266" s="90">
        <v>194631</v>
      </c>
      <c r="BT266" s="90" t="str">
        <f>BJ266</f>
        <v>8B13IR90159-19</v>
      </c>
      <c r="BU266" s="127">
        <f>BK266</f>
        <v>43508</v>
      </c>
      <c r="BV266" s="127">
        <f>BL266</f>
        <v>44239</v>
      </c>
      <c r="BW266" s="90" t="str">
        <f>H266</f>
        <v>ACF</v>
      </c>
      <c r="BX266" s="90" t="str">
        <f>IF(H266="NATIONAL HEMOPHILIA FOUNDATION","Non Federal","Federal")</f>
        <v>Federal</v>
      </c>
      <c r="BY266" s="128">
        <f>BM266</f>
        <v>2254711.8000000003</v>
      </c>
      <c r="BZ266" s="90" t="str">
        <f>IF(LEN(BR266)&gt;0,1,"")</f>
        <v/>
      </c>
      <c r="CA266" s="90" t="str">
        <f>IF(LEN(BR266)&gt;0,"VIRAL HEPATITIS PROJECT","")</f>
        <v/>
      </c>
      <c r="CB266" s="129" t="str">
        <f>IF(LEN(BR266)&gt;0,BM266*0.7,"")</f>
        <v/>
      </c>
      <c r="CC266" s="90">
        <f>BP266</f>
        <v>2367447.3900000006</v>
      </c>
      <c r="CD266" s="90" t="str">
        <f>IF(LEN(BR266)&gt;0,"70%","")</f>
        <v/>
      </c>
      <c r="CE266" s="90">
        <f>BS266</f>
        <v>194631</v>
      </c>
      <c r="CF266" s="90" t="str">
        <f>CA266</f>
        <v/>
      </c>
      <c r="CG266" s="90"/>
      <c r="CH266" s="90"/>
      <c r="CI266" s="90"/>
      <c r="CJ266" s="90"/>
      <c r="CK266" s="90"/>
      <c r="CL266" s="90"/>
      <c r="CM266" s="90"/>
      <c r="CN266" s="90"/>
      <c r="CO266" s="90"/>
      <c r="CP266" s="90"/>
      <c r="CQ266" s="90"/>
      <c r="CR266" s="90"/>
      <c r="CS266" s="90"/>
      <c r="CT266" s="137"/>
    </row>
    <row r="267" spans="1:98" ht="45">
      <c r="A267" s="89">
        <v>194631</v>
      </c>
      <c r="B267" s="90">
        <v>2020</v>
      </c>
      <c r="C267" s="90" t="s">
        <v>81</v>
      </c>
      <c r="D267" s="90" t="s">
        <v>911</v>
      </c>
      <c r="E267" s="125" t="s">
        <v>791</v>
      </c>
      <c r="F267" s="24" t="s">
        <v>912</v>
      </c>
      <c r="G267" s="90" t="s">
        <v>85</v>
      </c>
      <c r="H267" s="90" t="s">
        <v>150</v>
      </c>
      <c r="I267" s="90">
        <v>93</v>
      </c>
      <c r="J267" s="90">
        <v>157</v>
      </c>
      <c r="K267" s="90" t="s">
        <v>85</v>
      </c>
      <c r="L267" s="90" t="s">
        <v>913</v>
      </c>
      <c r="M267" s="90" t="s">
        <v>119</v>
      </c>
      <c r="N267" s="24" t="s">
        <v>914</v>
      </c>
      <c r="O267" s="24" t="str">
        <f>IF(ISNUMBER(SEARCH("Cancer",N267)),"Cancer",IF(ISNUMBER(SEARCH("health",N267)),"Public health",IF(ISNUMBER(SEARCH("disabilities",N267)),"Disabilities","Other")))</f>
        <v>Other</v>
      </c>
      <c r="P267" s="126">
        <v>2049738</v>
      </c>
      <c r="Q267" s="90" t="s">
        <v>85</v>
      </c>
      <c r="R267" s="90" t="str">
        <f>IF(P267&gt;20000000,"B","A")</f>
        <v>A</v>
      </c>
      <c r="S267" s="90" t="s">
        <v>90</v>
      </c>
      <c r="T267" s="90" t="s">
        <v>119</v>
      </c>
      <c r="U267" s="90" t="s">
        <v>119</v>
      </c>
      <c r="V267" s="90" t="s">
        <v>119</v>
      </c>
      <c r="W267" s="90" t="s">
        <v>119</v>
      </c>
      <c r="X267" s="90" t="s">
        <v>119</v>
      </c>
      <c r="Y267" s="90" t="s">
        <v>119</v>
      </c>
      <c r="Z267" s="90" t="s">
        <v>119</v>
      </c>
      <c r="AA267" s="90" t="s">
        <v>119</v>
      </c>
      <c r="AB267" s="90" t="s">
        <v>119</v>
      </c>
      <c r="AC267" s="90" t="s">
        <v>119</v>
      </c>
      <c r="AD267" s="90" t="s">
        <v>119</v>
      </c>
      <c r="AE267" s="24">
        <v>0</v>
      </c>
      <c r="AF267" s="90">
        <v>0</v>
      </c>
      <c r="AG267" s="24">
        <v>0</v>
      </c>
      <c r="AH267" s="90">
        <v>89202</v>
      </c>
      <c r="AI267" s="24" t="s">
        <v>919</v>
      </c>
      <c r="AJ267" s="24" t="s">
        <v>920</v>
      </c>
      <c r="AK267" s="90" t="s">
        <v>85</v>
      </c>
      <c r="AL267" s="90">
        <v>194631</v>
      </c>
      <c r="AM267" s="90" t="s">
        <v>81</v>
      </c>
      <c r="AN267" s="90" t="s">
        <v>911</v>
      </c>
      <c r="AO267" s="125" t="s">
        <v>791</v>
      </c>
      <c r="AP267" s="24" t="s">
        <v>914</v>
      </c>
      <c r="AQ267" s="90" t="s">
        <v>913</v>
      </c>
      <c r="AR267" s="24" t="s">
        <v>914</v>
      </c>
      <c r="AS267" s="90" t="s">
        <v>119</v>
      </c>
      <c r="AT267" s="24" t="s">
        <v>919</v>
      </c>
      <c r="AU267" s="90" t="s">
        <v>119</v>
      </c>
      <c r="AV267" s="90" t="str">
        <f>IF(ISNUMBER(SEARCH("disagree",AE267)),"N","Y")</f>
        <v>Y</v>
      </c>
      <c r="AW267" s="90" t="s">
        <v>119</v>
      </c>
      <c r="AX267" s="24" t="s">
        <v>119</v>
      </c>
      <c r="AY267" s="90" t="str">
        <f>CONCATENATE(AZ267,BA267,BB267,BC267)</f>
        <v/>
      </c>
      <c r="AZ267" s="90" t="str">
        <f>IF(ISNUMBER(SEARCH("Y",AC267)),"R","")</f>
        <v/>
      </c>
      <c r="BA267" s="90" t="str">
        <f>IF(ISNUMBER(SEARCH("Y",Y267)),"M","")</f>
        <v/>
      </c>
      <c r="BB267" s="90" t="str">
        <f>IF(ISNUMBER(SEARCH("Y",AB267)),"QC","")</f>
        <v/>
      </c>
      <c r="BC267" s="90" t="str">
        <f>IF(ISNUMBER(SEARCH("Y",Z267)),"S","")</f>
        <v/>
      </c>
      <c r="BD267" s="90"/>
      <c r="BE267" s="24" t="s">
        <v>119</v>
      </c>
      <c r="BF267" s="125" t="str">
        <f>IF(AND(AW267&gt;=56543,AW267&lt;=76543,LEN(AW267)&gt;0),"3 Feb 2020",IF(AND(AW267&gt;=66544,AW267&lt;=99999,LEN(AW267)&gt;0),"12 Sep 2020",""))</f>
        <v/>
      </c>
      <c r="BG267" s="125" t="str">
        <f>IF((AND(BF267="3 Feb 2020",LEN(BF267)&gt;0)),"Completed",IF((AND(BF267="12 Sep 2020",LEN(BF267)&gt;0)),"Pending",""))</f>
        <v/>
      </c>
      <c r="BH267" s="90" t="str">
        <f>IF((AND(BF267="3 Feb 2020",LEN(BF267)&gt;0)),"3 Feb 2020","")</f>
        <v/>
      </c>
      <c r="BI267" s="90">
        <v>194631</v>
      </c>
      <c r="BJ267" s="90" t="str">
        <f>L267</f>
        <v>8B13IR90159-19</v>
      </c>
      <c r="BK267" s="127">
        <v>43508</v>
      </c>
      <c r="BL267" s="127">
        <v>44239</v>
      </c>
      <c r="BM267" s="128">
        <f>P267*1.1</f>
        <v>2254711.8000000003</v>
      </c>
      <c r="BN267" s="129">
        <f>P267*0.9</f>
        <v>1844764.2</v>
      </c>
      <c r="BO267" s="130">
        <f>P267*0.8</f>
        <v>1639790.4000000001</v>
      </c>
      <c r="BP267" s="90">
        <f>IF(Z267="Y",BM267*0.4,BM267*1.05)</f>
        <v>2367447.3900000006</v>
      </c>
      <c r="BQ267" s="90">
        <f>BP267*0.8</f>
        <v>1893957.9120000005</v>
      </c>
      <c r="BR267" s="90" t="str">
        <f>IF(ISNUMBER(SEARCH("subrecipient",AI263)),P267*0.6,"")</f>
        <v/>
      </c>
      <c r="BS267" s="90">
        <v>194631</v>
      </c>
      <c r="BT267" s="90" t="str">
        <f>BJ267</f>
        <v>8B13IR90159-19</v>
      </c>
      <c r="BU267" s="127">
        <f>BK267</f>
        <v>43508</v>
      </c>
      <c r="BV267" s="127">
        <f>BL267</f>
        <v>44239</v>
      </c>
      <c r="BW267" s="90" t="str">
        <f>H267</f>
        <v>ACF</v>
      </c>
      <c r="BX267" s="90" t="str">
        <f>IF(H267="NATIONAL HEMOPHILIA FOUNDATION","Non Federal","Federal")</f>
        <v>Federal</v>
      </c>
      <c r="BY267" s="128">
        <f>BM267</f>
        <v>2254711.8000000003</v>
      </c>
      <c r="BZ267" s="90" t="str">
        <f>IF(LEN(BR267)&gt;0,1,"")</f>
        <v/>
      </c>
      <c r="CA267" s="90" t="str">
        <f>IF(LEN(BR267)&gt;0,"VIRAL HEPATITIS PROJECT","")</f>
        <v/>
      </c>
      <c r="CB267" s="129" t="str">
        <f>IF(LEN(BR267)&gt;0,BM267*0.7,"")</f>
        <v/>
      </c>
      <c r="CC267" s="90">
        <f>BP267</f>
        <v>2367447.3900000006</v>
      </c>
      <c r="CD267" s="90" t="str">
        <f>IF(LEN(BR267)&gt;0,"70%","")</f>
        <v/>
      </c>
      <c r="CE267" s="90">
        <f>BS267</f>
        <v>194631</v>
      </c>
      <c r="CF267" s="90" t="str">
        <f>CA267</f>
        <v/>
      </c>
      <c r="CG267" s="90"/>
      <c r="CH267" s="90"/>
      <c r="CI267" s="90"/>
      <c r="CJ267" s="90"/>
      <c r="CK267" s="90"/>
      <c r="CL267" s="90"/>
      <c r="CM267" s="90"/>
      <c r="CN267" s="90"/>
      <c r="CO267" s="90"/>
      <c r="CP267" s="90"/>
      <c r="CQ267" s="90"/>
      <c r="CR267" s="90"/>
      <c r="CS267" s="90"/>
      <c r="CT267" s="137"/>
    </row>
    <row r="268" spans="1:98" ht="90">
      <c r="A268" s="89">
        <v>194632</v>
      </c>
      <c r="B268" s="90">
        <v>2020</v>
      </c>
      <c r="C268" s="90" t="s">
        <v>81</v>
      </c>
      <c r="D268" s="90" t="s">
        <v>921</v>
      </c>
      <c r="E268" s="125" t="s">
        <v>793</v>
      </c>
      <c r="F268" s="24" t="s">
        <v>922</v>
      </c>
      <c r="G268" s="90" t="s">
        <v>85</v>
      </c>
      <c r="H268" s="90" t="s">
        <v>86</v>
      </c>
      <c r="I268" s="90">
        <v>93</v>
      </c>
      <c r="J268" s="90">
        <v>157</v>
      </c>
      <c r="K268" s="90" t="s">
        <v>85</v>
      </c>
      <c r="L268" s="90" t="s">
        <v>923</v>
      </c>
      <c r="M268" s="90" t="s">
        <v>119</v>
      </c>
      <c r="N268" s="24" t="s">
        <v>924</v>
      </c>
      <c r="O268" s="24" t="str">
        <f>IF(ISNUMBER(SEARCH("Cancer",N268)),"Cancer",IF(ISNUMBER(SEARCH("health",N268)),"Public health",IF(ISNUMBER(SEARCH("disabilities",N268)),"Disabilities","Other")))</f>
        <v>Public health</v>
      </c>
      <c r="P268" s="126">
        <v>2502483</v>
      </c>
      <c r="Q268" s="90" t="s">
        <v>85</v>
      </c>
      <c r="R268" s="90" t="str">
        <f>IF(P268&gt;20000000,"B","A")</f>
        <v>A</v>
      </c>
      <c r="S268" s="90" t="s">
        <v>90</v>
      </c>
      <c r="T268" s="90" t="s">
        <v>119</v>
      </c>
      <c r="U268" s="90" t="s">
        <v>119</v>
      </c>
      <c r="V268" s="90" t="s">
        <v>119</v>
      </c>
      <c r="W268" s="90" t="s">
        <v>119</v>
      </c>
      <c r="X268" s="90" t="s">
        <v>119</v>
      </c>
      <c r="Y268" s="90" t="s">
        <v>119</v>
      </c>
      <c r="Z268" s="90" t="s">
        <v>119</v>
      </c>
      <c r="AA268" s="90" t="s">
        <v>119</v>
      </c>
      <c r="AB268" s="90" t="s">
        <v>119</v>
      </c>
      <c r="AC268" s="90" t="s">
        <v>119</v>
      </c>
      <c r="AD268" s="90" t="s">
        <v>119</v>
      </c>
      <c r="AE268" s="24">
        <v>0</v>
      </c>
      <c r="AF268" s="90">
        <v>0</v>
      </c>
      <c r="AG268" s="24">
        <v>0</v>
      </c>
      <c r="AH268" s="90">
        <v>89200</v>
      </c>
      <c r="AI268" s="24" t="s">
        <v>94</v>
      </c>
      <c r="AJ268" s="24" t="s">
        <v>925</v>
      </c>
      <c r="AK268" s="90" t="s">
        <v>85</v>
      </c>
      <c r="AL268" s="90">
        <v>194632</v>
      </c>
      <c r="AM268" s="90" t="s">
        <v>81</v>
      </c>
      <c r="AN268" s="90" t="s">
        <v>921</v>
      </c>
      <c r="AO268" s="125" t="s">
        <v>793</v>
      </c>
      <c r="AP268" s="24" t="s">
        <v>924</v>
      </c>
      <c r="AQ268" s="90" t="s">
        <v>923</v>
      </c>
      <c r="AR268" s="24" t="s">
        <v>924</v>
      </c>
      <c r="AS268" s="90" t="s">
        <v>119</v>
      </c>
      <c r="AT268" s="24" t="s">
        <v>94</v>
      </c>
      <c r="AU268" s="90" t="s">
        <v>119</v>
      </c>
      <c r="AV268" s="90" t="str">
        <f>IF(ISNUMBER(SEARCH("disagree",AE268)),"N","Y")</f>
        <v>Y</v>
      </c>
      <c r="AW268" s="90" t="s">
        <v>119</v>
      </c>
      <c r="AX268" s="24" t="s">
        <v>119</v>
      </c>
      <c r="AY268" s="90" t="str">
        <f>CONCATENATE(AZ268,BA268,BB268,BC268)</f>
        <v/>
      </c>
      <c r="AZ268" s="90" t="str">
        <f>IF(ISNUMBER(SEARCH("Y",AC268)),"R","")</f>
        <v/>
      </c>
      <c r="BA268" s="90" t="str">
        <f>IF(ISNUMBER(SEARCH("Y",Y268)),"M","")</f>
        <v/>
      </c>
      <c r="BB268" s="90" t="str">
        <f>IF(ISNUMBER(SEARCH("Y",AB268)),"QC","")</f>
        <v/>
      </c>
      <c r="BC268" s="90" t="str">
        <f>IF(ISNUMBER(SEARCH("Y",Z268)),"S","")</f>
        <v/>
      </c>
      <c r="BD268" s="90"/>
      <c r="BE268" s="24" t="s">
        <v>119</v>
      </c>
      <c r="BF268" s="125" t="str">
        <f>IF(AND(AW268&gt;=56543,AW268&lt;=76543,LEN(AW268)&gt;0),"3 Feb 2020",IF(AND(AW268&gt;=66544,AW268&lt;=99999,LEN(AW268)&gt;0),"12 Sep 2020",""))</f>
        <v/>
      </c>
      <c r="BG268" s="125" t="str">
        <f>IF((AND(BF268="3 Feb 2020",LEN(BF268)&gt;0)),"Completed",IF((AND(BF268="12 Sep 2020",LEN(BF268)&gt;0)),"Pending",""))</f>
        <v/>
      </c>
      <c r="BH268" s="90" t="str">
        <f>IF((AND(BF268="3 Feb 2020",LEN(BF268)&gt;0)),"3 Feb 2020","")</f>
        <v/>
      </c>
      <c r="BI268" s="90">
        <v>194632</v>
      </c>
      <c r="BJ268" s="90" t="str">
        <f>L268</f>
        <v>1B19DR90171-55</v>
      </c>
      <c r="BK268" s="127">
        <v>43508</v>
      </c>
      <c r="BL268" s="127">
        <v>44239</v>
      </c>
      <c r="BM268" s="128">
        <f>P268*1.1</f>
        <v>2752731.3000000003</v>
      </c>
      <c r="BN268" s="129">
        <f>P268*0.9</f>
        <v>2252234.7000000002</v>
      </c>
      <c r="BO268" s="130">
        <f>P268*0.8</f>
        <v>2001986.4000000001</v>
      </c>
      <c r="BP268" s="90">
        <f>IF(Z268="Y",BM268*0.4,BM268*1.05)</f>
        <v>2890367.8650000002</v>
      </c>
      <c r="BQ268" s="90">
        <f>BP268*0.8</f>
        <v>2312294.2920000004</v>
      </c>
      <c r="BR268" s="90" t="str">
        <f>IF(ISNUMBER(SEARCH("subrecipient",AI264)),P268*0.6,"")</f>
        <v/>
      </c>
      <c r="BS268" s="90">
        <v>194632</v>
      </c>
      <c r="BT268" s="90" t="str">
        <f>BJ268</f>
        <v>1B19DR90171-55</v>
      </c>
      <c r="BU268" s="127">
        <f>BK268</f>
        <v>43508</v>
      </c>
      <c r="BV268" s="127">
        <f>BL268</f>
        <v>44239</v>
      </c>
      <c r="BW268" s="90" t="str">
        <f>H268</f>
        <v>CDC</v>
      </c>
      <c r="BX268" s="90" t="str">
        <f>IF(H268="NATIONAL HEMOPHILIA FOUNDATION","Non Federal","Federal")</f>
        <v>Federal</v>
      </c>
      <c r="BY268" s="128">
        <f>BM268</f>
        <v>2752731.3000000003</v>
      </c>
      <c r="BZ268" s="90" t="str">
        <f>IF(LEN(BR268)&gt;0,1,"")</f>
        <v/>
      </c>
      <c r="CA268" s="90" t="str">
        <f>IF(LEN(BR268)&gt;0,"VIRAL HEPATITIS PROJECT","")</f>
        <v/>
      </c>
      <c r="CB268" s="129" t="str">
        <f>IF(LEN(BR268)&gt;0,BM268*0.7,"")</f>
        <v/>
      </c>
      <c r="CC268" s="90">
        <f>BP268</f>
        <v>2890367.8650000002</v>
      </c>
      <c r="CD268" s="90" t="str">
        <f>IF(LEN(BR268)&gt;0,"70%","")</f>
        <v/>
      </c>
      <c r="CE268" s="90">
        <f>BS268</f>
        <v>194632</v>
      </c>
      <c r="CF268" s="90" t="str">
        <f>CA268</f>
        <v/>
      </c>
      <c r="CG268" s="90"/>
      <c r="CH268" s="90"/>
      <c r="CI268" s="90"/>
      <c r="CJ268" s="90"/>
      <c r="CK268" s="90"/>
      <c r="CL268" s="90"/>
      <c r="CM268" s="90"/>
      <c r="CN268" s="90"/>
      <c r="CO268" s="90"/>
      <c r="CP268" s="90"/>
      <c r="CQ268" s="90"/>
      <c r="CR268" s="90"/>
      <c r="CS268" s="90"/>
      <c r="CT268" s="137"/>
    </row>
    <row r="269" spans="1:98" ht="60">
      <c r="A269" s="89">
        <v>194632</v>
      </c>
      <c r="B269" s="90">
        <v>2020</v>
      </c>
      <c r="C269" s="90" t="s">
        <v>81</v>
      </c>
      <c r="D269" s="90" t="s">
        <v>921</v>
      </c>
      <c r="E269" s="125" t="s">
        <v>780</v>
      </c>
      <c r="F269" s="24" t="s">
        <v>922</v>
      </c>
      <c r="G269" s="90" t="s">
        <v>85</v>
      </c>
      <c r="H269" s="90" t="s">
        <v>86</v>
      </c>
      <c r="I269" s="90">
        <v>93</v>
      </c>
      <c r="J269" s="90">
        <v>157</v>
      </c>
      <c r="K269" s="90" t="s">
        <v>85</v>
      </c>
      <c r="L269" s="90" t="s">
        <v>923</v>
      </c>
      <c r="M269" s="90" t="s">
        <v>119</v>
      </c>
      <c r="N269" s="24" t="s">
        <v>924</v>
      </c>
      <c r="O269" s="24" t="str">
        <f>IF(ISNUMBER(SEARCH("Cancer",N269)),"Cancer",IF(ISNUMBER(SEARCH("health",N269)),"Public health",IF(ISNUMBER(SEARCH("disabilities",N269)),"Disabilities","Other")))</f>
        <v>Public health</v>
      </c>
      <c r="P269" s="126">
        <v>2502483</v>
      </c>
      <c r="Q269" s="90" t="s">
        <v>85</v>
      </c>
      <c r="R269" s="90" t="str">
        <f>IF(P269&gt;20000000,"B","A")</f>
        <v>A</v>
      </c>
      <c r="S269" s="90" t="s">
        <v>90</v>
      </c>
      <c r="T269" s="90" t="s">
        <v>119</v>
      </c>
      <c r="U269" s="90" t="s">
        <v>119</v>
      </c>
      <c r="V269" s="90" t="s">
        <v>119</v>
      </c>
      <c r="W269" s="90" t="s">
        <v>119</v>
      </c>
      <c r="X269" s="90" t="s">
        <v>119</v>
      </c>
      <c r="Y269" s="90" t="s">
        <v>119</v>
      </c>
      <c r="Z269" s="90" t="s">
        <v>119</v>
      </c>
      <c r="AA269" s="90" t="s">
        <v>119</v>
      </c>
      <c r="AB269" s="90" t="s">
        <v>119</v>
      </c>
      <c r="AC269" s="90" t="s">
        <v>119</v>
      </c>
      <c r="AD269" s="90" t="s">
        <v>119</v>
      </c>
      <c r="AE269" s="24">
        <v>0</v>
      </c>
      <c r="AF269" s="90">
        <v>0</v>
      </c>
      <c r="AG269" s="24">
        <v>0</v>
      </c>
      <c r="AH269" s="90">
        <v>89198</v>
      </c>
      <c r="AI269" s="24" t="s">
        <v>102</v>
      </c>
      <c r="AJ269" s="24" t="s">
        <v>916</v>
      </c>
      <c r="AK269" s="90" t="s">
        <v>85</v>
      </c>
      <c r="AL269" s="90">
        <v>194632</v>
      </c>
      <c r="AM269" s="90" t="s">
        <v>81</v>
      </c>
      <c r="AN269" s="90" t="s">
        <v>921</v>
      </c>
      <c r="AO269" s="125" t="s">
        <v>780</v>
      </c>
      <c r="AP269" s="24" t="s">
        <v>924</v>
      </c>
      <c r="AQ269" s="90" t="s">
        <v>923</v>
      </c>
      <c r="AR269" s="24" t="s">
        <v>924</v>
      </c>
      <c r="AS269" s="90" t="s">
        <v>119</v>
      </c>
      <c r="AT269" s="24" t="s">
        <v>102</v>
      </c>
      <c r="AU269" s="90" t="s">
        <v>119</v>
      </c>
      <c r="AV269" s="90" t="str">
        <f>IF(ISNUMBER(SEARCH("disagree",AE269)),"N","Y")</f>
        <v>Y</v>
      </c>
      <c r="AW269" s="90" t="s">
        <v>119</v>
      </c>
      <c r="AX269" s="24" t="s">
        <v>119</v>
      </c>
      <c r="AY269" s="90" t="str">
        <f>CONCATENATE(AZ269,BA269,BB269,BC269)</f>
        <v/>
      </c>
      <c r="AZ269" s="90" t="str">
        <f>IF(ISNUMBER(SEARCH("Y",AC269)),"R","")</f>
        <v/>
      </c>
      <c r="BA269" s="90" t="str">
        <f>IF(ISNUMBER(SEARCH("Y",Y269)),"M","")</f>
        <v/>
      </c>
      <c r="BB269" s="90" t="str">
        <f>IF(ISNUMBER(SEARCH("Y",AB269)),"QC","")</f>
        <v/>
      </c>
      <c r="BC269" s="90" t="str">
        <f>IF(ISNUMBER(SEARCH("Y",Z269)),"S","")</f>
        <v/>
      </c>
      <c r="BD269" s="90"/>
      <c r="BE269" s="24" t="s">
        <v>119</v>
      </c>
      <c r="BF269" s="125" t="str">
        <f>IF(AND(AW269&gt;=56543,AW269&lt;=76543,LEN(AW269)&gt;0),"3 Feb 2020",IF(AND(AW269&gt;=66544,AW269&lt;=99999,LEN(AW269)&gt;0),"12 Sep 2020",""))</f>
        <v/>
      </c>
      <c r="BG269" s="125" t="str">
        <f>IF((AND(BF269="3 Feb 2020",LEN(BF269)&gt;0)),"Completed",IF((AND(BF269="12 Sep 2020",LEN(BF269)&gt;0)),"Pending",""))</f>
        <v/>
      </c>
      <c r="BH269" s="90" t="str">
        <f>IF((AND(BF269="3 Feb 2020",LEN(BF269)&gt;0)),"3 Feb 2020","")</f>
        <v/>
      </c>
      <c r="BI269" s="90">
        <v>194632</v>
      </c>
      <c r="BJ269" s="90" t="str">
        <f>L269</f>
        <v>1B19DR90171-55</v>
      </c>
      <c r="BK269" s="127">
        <v>43508</v>
      </c>
      <c r="BL269" s="127">
        <v>44239</v>
      </c>
      <c r="BM269" s="128">
        <f>P269*1.1</f>
        <v>2752731.3000000003</v>
      </c>
      <c r="BN269" s="129">
        <f>P269*0.9</f>
        <v>2252234.7000000002</v>
      </c>
      <c r="BO269" s="130">
        <f>P269*0.8</f>
        <v>2001986.4000000001</v>
      </c>
      <c r="BP269" s="90">
        <f>IF(Z269="Y",BM269*0.4,BM269*1.05)</f>
        <v>2890367.8650000002</v>
      </c>
      <c r="BQ269" s="90">
        <f>BP269*0.8</f>
        <v>2312294.2920000004</v>
      </c>
      <c r="BR269" s="90" t="str">
        <f>IF(ISNUMBER(SEARCH("subrecipient",AI265)),P269*0.6,"")</f>
        <v/>
      </c>
      <c r="BS269" s="90">
        <v>194632</v>
      </c>
      <c r="BT269" s="90" t="str">
        <f>BJ269</f>
        <v>1B19DR90171-55</v>
      </c>
      <c r="BU269" s="127">
        <f>BK269</f>
        <v>43508</v>
      </c>
      <c r="BV269" s="127">
        <f>BL269</f>
        <v>44239</v>
      </c>
      <c r="BW269" s="90" t="str">
        <f>H269</f>
        <v>CDC</v>
      </c>
      <c r="BX269" s="90" t="str">
        <f>IF(H269="NATIONAL HEMOPHILIA FOUNDATION","Non Federal","Federal")</f>
        <v>Federal</v>
      </c>
      <c r="BY269" s="128">
        <f>BM269</f>
        <v>2752731.3000000003</v>
      </c>
      <c r="BZ269" s="90" t="str">
        <f>IF(LEN(BR269)&gt;0,1,"")</f>
        <v/>
      </c>
      <c r="CA269" s="90" t="str">
        <f>IF(LEN(BR269)&gt;0,"VIRAL HEPATITIS PROJECT","")</f>
        <v/>
      </c>
      <c r="CB269" s="129" t="str">
        <f>IF(LEN(BR269)&gt;0,BM269*0.7,"")</f>
        <v/>
      </c>
      <c r="CC269" s="90">
        <f>BP269</f>
        <v>2890367.8650000002</v>
      </c>
      <c r="CD269" s="90" t="str">
        <f>IF(LEN(BR269)&gt;0,"70%","")</f>
        <v/>
      </c>
      <c r="CE269" s="90">
        <f>BS269</f>
        <v>194632</v>
      </c>
      <c r="CF269" s="90" t="str">
        <f>CA269</f>
        <v/>
      </c>
      <c r="CG269" s="90"/>
      <c r="CH269" s="90"/>
      <c r="CI269" s="90"/>
      <c r="CJ269" s="90"/>
      <c r="CK269" s="90"/>
      <c r="CL269" s="90"/>
      <c r="CM269" s="90"/>
      <c r="CN269" s="90"/>
      <c r="CO269" s="90"/>
      <c r="CP269" s="90"/>
      <c r="CQ269" s="90"/>
      <c r="CR269" s="90"/>
      <c r="CS269" s="90"/>
      <c r="CT269" s="137"/>
    </row>
    <row r="270" spans="1:98" ht="45">
      <c r="A270" s="89">
        <v>194632</v>
      </c>
      <c r="B270" s="90">
        <v>2020</v>
      </c>
      <c r="C270" s="90" t="s">
        <v>81</v>
      </c>
      <c r="D270" s="90" t="s">
        <v>921</v>
      </c>
      <c r="E270" s="125" t="s">
        <v>781</v>
      </c>
      <c r="F270" s="24" t="s">
        <v>922</v>
      </c>
      <c r="G270" s="90" t="s">
        <v>85</v>
      </c>
      <c r="H270" s="90" t="s">
        <v>86</v>
      </c>
      <c r="I270" s="90">
        <v>93</v>
      </c>
      <c r="J270" s="90">
        <v>157</v>
      </c>
      <c r="K270" s="90" t="s">
        <v>85</v>
      </c>
      <c r="L270" s="90" t="s">
        <v>923</v>
      </c>
      <c r="M270" s="90" t="s">
        <v>119</v>
      </c>
      <c r="N270" s="24" t="s">
        <v>924</v>
      </c>
      <c r="O270" s="24" t="str">
        <f>IF(ISNUMBER(SEARCH("Cancer",N270)),"Cancer",IF(ISNUMBER(SEARCH("health",N270)),"Public health",IF(ISNUMBER(SEARCH("disabilities",N270)),"Disabilities","Other")))</f>
        <v>Public health</v>
      </c>
      <c r="P270" s="126">
        <v>2502483</v>
      </c>
      <c r="Q270" s="90" t="s">
        <v>85</v>
      </c>
      <c r="R270" s="90" t="str">
        <f>IF(P270&gt;20000000,"B","A")</f>
        <v>A</v>
      </c>
      <c r="S270" s="90" t="s">
        <v>90</v>
      </c>
      <c r="T270" s="90" t="s">
        <v>119</v>
      </c>
      <c r="U270" s="90" t="s">
        <v>119</v>
      </c>
      <c r="V270" s="90" t="s">
        <v>119</v>
      </c>
      <c r="W270" s="90" t="s">
        <v>119</v>
      </c>
      <c r="X270" s="90" t="s">
        <v>119</v>
      </c>
      <c r="Y270" s="90" t="s">
        <v>119</v>
      </c>
      <c r="Z270" s="90" t="s">
        <v>119</v>
      </c>
      <c r="AA270" s="90" t="s">
        <v>119</v>
      </c>
      <c r="AB270" s="90" t="s">
        <v>119</v>
      </c>
      <c r="AC270" s="90" t="s">
        <v>119</v>
      </c>
      <c r="AD270" s="90" t="s">
        <v>119</v>
      </c>
      <c r="AE270" s="24">
        <v>0</v>
      </c>
      <c r="AF270" s="90">
        <v>0</v>
      </c>
      <c r="AG270" s="24">
        <v>0</v>
      </c>
      <c r="AH270" s="90">
        <v>89201</v>
      </c>
      <c r="AI270" s="24" t="s">
        <v>926</v>
      </c>
      <c r="AJ270" s="24" t="s">
        <v>927</v>
      </c>
      <c r="AK270" s="90" t="s">
        <v>85</v>
      </c>
      <c r="AL270" s="90">
        <v>194632</v>
      </c>
      <c r="AM270" s="90" t="s">
        <v>81</v>
      </c>
      <c r="AN270" s="90" t="s">
        <v>921</v>
      </c>
      <c r="AO270" s="125" t="s">
        <v>781</v>
      </c>
      <c r="AP270" s="24" t="s">
        <v>924</v>
      </c>
      <c r="AQ270" s="90" t="s">
        <v>923</v>
      </c>
      <c r="AR270" s="24" t="s">
        <v>924</v>
      </c>
      <c r="AS270" s="90" t="s">
        <v>119</v>
      </c>
      <c r="AT270" s="24" t="s">
        <v>926</v>
      </c>
      <c r="AU270" s="90" t="s">
        <v>119</v>
      </c>
      <c r="AV270" s="90" t="str">
        <f>IF(ISNUMBER(SEARCH("disagree",AE270)),"N","Y")</f>
        <v>Y</v>
      </c>
      <c r="AW270" s="90" t="s">
        <v>119</v>
      </c>
      <c r="AX270" s="24" t="s">
        <v>119</v>
      </c>
      <c r="AY270" s="90" t="str">
        <f>CONCATENATE(AZ270,BA270,BB270,BC270)</f>
        <v/>
      </c>
      <c r="AZ270" s="90" t="str">
        <f>IF(ISNUMBER(SEARCH("Y",AC270)),"R","")</f>
        <v/>
      </c>
      <c r="BA270" s="90" t="str">
        <f>IF(ISNUMBER(SEARCH("Y",Y270)),"M","")</f>
        <v/>
      </c>
      <c r="BB270" s="90" t="str">
        <f>IF(ISNUMBER(SEARCH("Y",AB270)),"QC","")</f>
        <v/>
      </c>
      <c r="BC270" s="90" t="str">
        <f>IF(ISNUMBER(SEARCH("Y",Z270)),"S","")</f>
        <v/>
      </c>
      <c r="BD270" s="90"/>
      <c r="BE270" s="24" t="s">
        <v>119</v>
      </c>
      <c r="BF270" s="125" t="str">
        <f>IF(AND(AW270&gt;=56543,AW270&lt;=76543,LEN(AW270)&gt;0),"3 Feb 2020",IF(AND(AW270&gt;=66544,AW270&lt;=99999,LEN(AW270)&gt;0),"12 Sep 2020",""))</f>
        <v/>
      </c>
      <c r="BG270" s="125" t="str">
        <f>IF((AND(BF270="3 Feb 2020",LEN(BF270)&gt;0)),"Completed",IF((AND(BF270="12 Sep 2020",LEN(BF270)&gt;0)),"Pending",""))</f>
        <v/>
      </c>
      <c r="BH270" s="90" t="str">
        <f>IF((AND(BF270="3 Feb 2020",LEN(BF270)&gt;0)),"3 Feb 2020","")</f>
        <v/>
      </c>
      <c r="BI270" s="90">
        <v>194632</v>
      </c>
      <c r="BJ270" s="90" t="str">
        <f>L270</f>
        <v>1B19DR90171-55</v>
      </c>
      <c r="BK270" s="127">
        <v>43508</v>
      </c>
      <c r="BL270" s="127">
        <v>44239</v>
      </c>
      <c r="BM270" s="128">
        <f>P270*1.1</f>
        <v>2752731.3000000003</v>
      </c>
      <c r="BN270" s="129">
        <f>P270*0.9</f>
        <v>2252234.7000000002</v>
      </c>
      <c r="BO270" s="130">
        <f>P270*0.8</f>
        <v>2001986.4000000001</v>
      </c>
      <c r="BP270" s="90">
        <f>IF(Z270="Y",BM270*0.4,BM270*1.05)</f>
        <v>2890367.8650000002</v>
      </c>
      <c r="BQ270" s="90">
        <f>BP270*0.8</f>
        <v>2312294.2920000004</v>
      </c>
      <c r="BR270" s="90" t="str">
        <f>IF(ISNUMBER(SEARCH("subrecipient",AI266)),P270*0.6,"")</f>
        <v/>
      </c>
      <c r="BS270" s="90">
        <v>194632</v>
      </c>
      <c r="BT270" s="90" t="str">
        <f>BJ270</f>
        <v>1B19DR90171-55</v>
      </c>
      <c r="BU270" s="127">
        <f>BK270</f>
        <v>43508</v>
      </c>
      <c r="BV270" s="127">
        <f>BL270</f>
        <v>44239</v>
      </c>
      <c r="BW270" s="90" t="str">
        <f>H270</f>
        <v>CDC</v>
      </c>
      <c r="BX270" s="90" t="str">
        <f>IF(H270="NATIONAL HEMOPHILIA FOUNDATION","Non Federal","Federal")</f>
        <v>Federal</v>
      </c>
      <c r="BY270" s="128">
        <f>BM270</f>
        <v>2752731.3000000003</v>
      </c>
      <c r="BZ270" s="90" t="str">
        <f>IF(LEN(BR270)&gt;0,1,"")</f>
        <v/>
      </c>
      <c r="CA270" s="90" t="str">
        <f>IF(LEN(BR270)&gt;0,"VIRAL HEPATITIS PROJECT","")</f>
        <v/>
      </c>
      <c r="CB270" s="129" t="str">
        <f>IF(LEN(BR270)&gt;0,BM270*0.7,"")</f>
        <v/>
      </c>
      <c r="CC270" s="90">
        <f>BP270</f>
        <v>2890367.8650000002</v>
      </c>
      <c r="CD270" s="90" t="str">
        <f>IF(LEN(BR270)&gt;0,"70%","")</f>
        <v/>
      </c>
      <c r="CE270" s="90">
        <f>BS270</f>
        <v>194632</v>
      </c>
      <c r="CF270" s="90" t="str">
        <f>CA270</f>
        <v/>
      </c>
      <c r="CG270" s="90"/>
      <c r="CH270" s="90"/>
      <c r="CI270" s="90"/>
      <c r="CJ270" s="90"/>
      <c r="CK270" s="90"/>
      <c r="CL270" s="90"/>
      <c r="CM270" s="90"/>
      <c r="CN270" s="90"/>
      <c r="CO270" s="90"/>
      <c r="CP270" s="90"/>
      <c r="CQ270" s="90"/>
      <c r="CR270" s="90"/>
      <c r="CS270" s="90"/>
      <c r="CT270" s="137"/>
    </row>
    <row r="271" spans="1:98" ht="45">
      <c r="A271" s="89">
        <v>194632</v>
      </c>
      <c r="B271" s="90">
        <v>2020</v>
      </c>
      <c r="C271" s="90" t="s">
        <v>81</v>
      </c>
      <c r="D271" s="90" t="s">
        <v>921</v>
      </c>
      <c r="E271" s="125" t="s">
        <v>784</v>
      </c>
      <c r="F271" s="24" t="s">
        <v>922</v>
      </c>
      <c r="G271" s="90" t="s">
        <v>85</v>
      </c>
      <c r="H271" s="90" t="s">
        <v>86</v>
      </c>
      <c r="I271" s="90">
        <v>93</v>
      </c>
      <c r="J271" s="90">
        <v>157</v>
      </c>
      <c r="K271" s="90" t="s">
        <v>85</v>
      </c>
      <c r="L271" s="90" t="s">
        <v>923</v>
      </c>
      <c r="M271" s="90" t="s">
        <v>119</v>
      </c>
      <c r="N271" s="24" t="s">
        <v>924</v>
      </c>
      <c r="O271" s="24" t="str">
        <f>IF(ISNUMBER(SEARCH("Cancer",N271)),"Cancer",IF(ISNUMBER(SEARCH("health",N271)),"Public health",IF(ISNUMBER(SEARCH("disabilities",N271)),"Disabilities","Other")))</f>
        <v>Public health</v>
      </c>
      <c r="P271" s="126">
        <v>2502483</v>
      </c>
      <c r="Q271" s="90" t="s">
        <v>85</v>
      </c>
      <c r="R271" s="90" t="str">
        <f>IF(P271&gt;20000000,"B","A")</f>
        <v>A</v>
      </c>
      <c r="S271" s="90" t="s">
        <v>90</v>
      </c>
      <c r="T271" s="90" t="s">
        <v>119</v>
      </c>
      <c r="U271" s="90" t="s">
        <v>119</v>
      </c>
      <c r="V271" s="90" t="s">
        <v>119</v>
      </c>
      <c r="W271" s="90" t="s">
        <v>119</v>
      </c>
      <c r="X271" s="90" t="s">
        <v>119</v>
      </c>
      <c r="Y271" s="90" t="s">
        <v>119</v>
      </c>
      <c r="Z271" s="90" t="s">
        <v>119</v>
      </c>
      <c r="AA271" s="90" t="s">
        <v>119</v>
      </c>
      <c r="AB271" s="90" t="s">
        <v>119</v>
      </c>
      <c r="AC271" s="90" t="s">
        <v>119</v>
      </c>
      <c r="AD271" s="90" t="s">
        <v>119</v>
      </c>
      <c r="AE271" s="24">
        <v>0</v>
      </c>
      <c r="AF271" s="90">
        <v>0</v>
      </c>
      <c r="AG271" s="24">
        <v>0</v>
      </c>
      <c r="AH271" s="90">
        <v>89199</v>
      </c>
      <c r="AI271" s="24" t="s">
        <v>919</v>
      </c>
      <c r="AJ271" s="24" t="s">
        <v>920</v>
      </c>
      <c r="AK271" s="90" t="s">
        <v>85</v>
      </c>
      <c r="AL271" s="90">
        <v>194632</v>
      </c>
      <c r="AM271" s="90" t="s">
        <v>81</v>
      </c>
      <c r="AN271" s="90" t="s">
        <v>921</v>
      </c>
      <c r="AO271" s="125" t="s">
        <v>784</v>
      </c>
      <c r="AP271" s="24" t="s">
        <v>924</v>
      </c>
      <c r="AQ271" s="90" t="s">
        <v>923</v>
      </c>
      <c r="AR271" s="24" t="s">
        <v>924</v>
      </c>
      <c r="AS271" s="90" t="s">
        <v>119</v>
      </c>
      <c r="AT271" s="24" t="s">
        <v>919</v>
      </c>
      <c r="AU271" s="90" t="s">
        <v>119</v>
      </c>
      <c r="AV271" s="90" t="str">
        <f>IF(ISNUMBER(SEARCH("disagree",AE271)),"N","Y")</f>
        <v>Y</v>
      </c>
      <c r="AW271" s="90" t="s">
        <v>119</v>
      </c>
      <c r="AX271" s="24" t="s">
        <v>119</v>
      </c>
      <c r="AY271" s="90" t="str">
        <f>CONCATENATE(AZ271,BA271,BB271,BC271)</f>
        <v/>
      </c>
      <c r="AZ271" s="90" t="str">
        <f>IF(ISNUMBER(SEARCH("Y",AC271)),"R","")</f>
        <v/>
      </c>
      <c r="BA271" s="90" t="str">
        <f>IF(ISNUMBER(SEARCH("Y",Y271)),"M","")</f>
        <v/>
      </c>
      <c r="BB271" s="90" t="str">
        <f>IF(ISNUMBER(SEARCH("Y",AB271)),"QC","")</f>
        <v/>
      </c>
      <c r="BC271" s="90" t="str">
        <f>IF(ISNUMBER(SEARCH("Y",Z271)),"S","")</f>
        <v/>
      </c>
      <c r="BD271" s="90"/>
      <c r="BE271" s="24" t="s">
        <v>119</v>
      </c>
      <c r="BF271" s="125" t="str">
        <f>IF(AND(AW271&gt;=56543,AW271&lt;=76543,LEN(AW271)&gt;0),"3 Feb 2020",IF(AND(AW271&gt;=66544,AW271&lt;=99999,LEN(AW271)&gt;0),"12 Sep 2020",""))</f>
        <v/>
      </c>
      <c r="BG271" s="125" t="str">
        <f>IF((AND(BF271="3 Feb 2020",LEN(BF271)&gt;0)),"Completed",IF((AND(BF271="12 Sep 2020",LEN(BF271)&gt;0)),"Pending",""))</f>
        <v/>
      </c>
      <c r="BH271" s="90" t="str">
        <f>IF((AND(BF271="3 Feb 2020",LEN(BF271)&gt;0)),"3 Feb 2020","")</f>
        <v/>
      </c>
      <c r="BI271" s="90">
        <v>194632</v>
      </c>
      <c r="BJ271" s="90" t="str">
        <f>L271</f>
        <v>1B19DR90171-55</v>
      </c>
      <c r="BK271" s="127">
        <v>43508</v>
      </c>
      <c r="BL271" s="127">
        <v>44239</v>
      </c>
      <c r="BM271" s="128">
        <f>P271*1.1</f>
        <v>2752731.3000000003</v>
      </c>
      <c r="BN271" s="129">
        <f>P271*0.9</f>
        <v>2252234.7000000002</v>
      </c>
      <c r="BO271" s="130">
        <f>P271*0.8</f>
        <v>2001986.4000000001</v>
      </c>
      <c r="BP271" s="90">
        <f>IF(Z271="Y",BM271*0.4,BM271*1.05)</f>
        <v>2890367.8650000002</v>
      </c>
      <c r="BQ271" s="90">
        <f>BP271*0.8</f>
        <v>2312294.2920000004</v>
      </c>
      <c r="BR271" s="90" t="str">
        <f>IF(ISNUMBER(SEARCH("subrecipient",AI267)),P271*0.6,"")</f>
        <v/>
      </c>
      <c r="BS271" s="90">
        <v>194632</v>
      </c>
      <c r="BT271" s="90" t="str">
        <f>BJ271</f>
        <v>1B19DR90171-55</v>
      </c>
      <c r="BU271" s="127">
        <f>BK271</f>
        <v>43508</v>
      </c>
      <c r="BV271" s="127">
        <f>BL271</f>
        <v>44239</v>
      </c>
      <c r="BW271" s="90" t="str">
        <f>H271</f>
        <v>CDC</v>
      </c>
      <c r="BX271" s="90" t="str">
        <f>IF(H271="NATIONAL HEMOPHILIA FOUNDATION","Non Federal","Federal")</f>
        <v>Federal</v>
      </c>
      <c r="BY271" s="128">
        <f>BM271</f>
        <v>2752731.3000000003</v>
      </c>
      <c r="BZ271" s="90" t="str">
        <f>IF(LEN(BR271)&gt;0,1,"")</f>
        <v/>
      </c>
      <c r="CA271" s="90" t="str">
        <f>IF(LEN(BR271)&gt;0,"VIRAL HEPATITIS PROJECT","")</f>
        <v/>
      </c>
      <c r="CB271" s="129" t="str">
        <f>IF(LEN(BR271)&gt;0,BM271*0.7,"")</f>
        <v/>
      </c>
      <c r="CC271" s="90">
        <f>BP271</f>
        <v>2890367.8650000002</v>
      </c>
      <c r="CD271" s="90" t="str">
        <f>IF(LEN(BR271)&gt;0,"70%","")</f>
        <v/>
      </c>
      <c r="CE271" s="90">
        <f>BS271</f>
        <v>194632</v>
      </c>
      <c r="CF271" s="90" t="str">
        <f>CA271</f>
        <v/>
      </c>
      <c r="CG271" s="90"/>
      <c r="CH271" s="90"/>
      <c r="CI271" s="90"/>
      <c r="CJ271" s="90"/>
      <c r="CK271" s="90"/>
      <c r="CL271" s="90"/>
      <c r="CM271" s="90"/>
      <c r="CN271" s="90"/>
      <c r="CO271" s="90"/>
      <c r="CP271" s="90"/>
      <c r="CQ271" s="90"/>
      <c r="CR271" s="90"/>
      <c r="CS271" s="90"/>
      <c r="CT271" s="137"/>
    </row>
    <row r="272" spans="1:98" ht="90">
      <c r="A272" s="89">
        <v>194633</v>
      </c>
      <c r="B272" s="90">
        <v>2020</v>
      </c>
      <c r="C272" s="90" t="s">
        <v>81</v>
      </c>
      <c r="D272" s="90" t="s">
        <v>928</v>
      </c>
      <c r="E272" s="125" t="s">
        <v>790</v>
      </c>
      <c r="F272" s="24" t="s">
        <v>929</v>
      </c>
      <c r="G272" s="90" t="s">
        <v>85</v>
      </c>
      <c r="H272" s="90" t="s">
        <v>117</v>
      </c>
      <c r="I272" s="90">
        <v>93</v>
      </c>
      <c r="J272" s="90">
        <v>157</v>
      </c>
      <c r="K272" s="90" t="s">
        <v>85</v>
      </c>
      <c r="L272" s="90" t="s">
        <v>930</v>
      </c>
      <c r="M272" s="90" t="s">
        <v>119</v>
      </c>
      <c r="N272" s="24" t="s">
        <v>931</v>
      </c>
      <c r="O272" s="24" t="str">
        <f>IF(ISNUMBER(SEARCH("Cancer",N272)),"Cancer",IF(ISNUMBER(SEARCH("health",N272)),"Public health",IF(ISNUMBER(SEARCH("disabilities",N272)),"Disabilities","Other")))</f>
        <v>Public health</v>
      </c>
      <c r="P272" s="126">
        <v>2016313</v>
      </c>
      <c r="Q272" s="90" t="s">
        <v>85</v>
      </c>
      <c r="R272" s="90" t="str">
        <f>IF(P272&gt;20000000,"B","A")</f>
        <v>A</v>
      </c>
      <c r="S272" s="90" t="s">
        <v>90</v>
      </c>
      <c r="T272" s="90" t="s">
        <v>119</v>
      </c>
      <c r="U272" s="90" t="s">
        <v>119</v>
      </c>
      <c r="V272" s="90" t="s">
        <v>119</v>
      </c>
      <c r="W272" s="90" t="s">
        <v>119</v>
      </c>
      <c r="X272" s="90" t="s">
        <v>119</v>
      </c>
      <c r="Y272" s="90" t="s">
        <v>119</v>
      </c>
      <c r="Z272" s="90" t="s">
        <v>119</v>
      </c>
      <c r="AA272" s="90" t="s">
        <v>119</v>
      </c>
      <c r="AB272" s="90" t="s">
        <v>119</v>
      </c>
      <c r="AC272" s="90" t="s">
        <v>119</v>
      </c>
      <c r="AD272" s="90" t="s">
        <v>119</v>
      </c>
      <c r="AE272" s="24">
        <v>0</v>
      </c>
      <c r="AF272" s="90">
        <v>0</v>
      </c>
      <c r="AG272" s="24">
        <v>0</v>
      </c>
      <c r="AH272" s="90">
        <v>89174</v>
      </c>
      <c r="AI272" s="24" t="s">
        <v>94</v>
      </c>
      <c r="AJ272" s="24" t="s">
        <v>932</v>
      </c>
      <c r="AK272" s="90" t="s">
        <v>85</v>
      </c>
      <c r="AL272" s="90">
        <v>194633</v>
      </c>
      <c r="AM272" s="90" t="s">
        <v>81</v>
      </c>
      <c r="AN272" s="90" t="s">
        <v>928</v>
      </c>
      <c r="AO272" s="125" t="s">
        <v>790</v>
      </c>
      <c r="AP272" s="24" t="s">
        <v>931</v>
      </c>
      <c r="AQ272" s="90" t="s">
        <v>930</v>
      </c>
      <c r="AR272" s="24" t="s">
        <v>931</v>
      </c>
      <c r="AS272" s="90" t="s">
        <v>119</v>
      </c>
      <c r="AT272" s="24" t="s">
        <v>94</v>
      </c>
      <c r="AU272" s="90" t="s">
        <v>119</v>
      </c>
      <c r="AV272" s="90" t="str">
        <f>IF(ISNUMBER(SEARCH("disagree",AE272)),"N","Y")</f>
        <v>Y</v>
      </c>
      <c r="AW272" s="90" t="s">
        <v>119</v>
      </c>
      <c r="AX272" s="24" t="s">
        <v>119</v>
      </c>
      <c r="AY272" s="90" t="str">
        <f>CONCATENATE(AZ272,BA272,BB272,BC272)</f>
        <v/>
      </c>
      <c r="AZ272" s="90" t="str">
        <f>IF(ISNUMBER(SEARCH("Y",AC272)),"R","")</f>
        <v/>
      </c>
      <c r="BA272" s="90" t="str">
        <f>IF(ISNUMBER(SEARCH("Y",Y272)),"M","")</f>
        <v/>
      </c>
      <c r="BB272" s="90" t="str">
        <f>IF(ISNUMBER(SEARCH("Y",AB272)),"QC","")</f>
        <v/>
      </c>
      <c r="BC272" s="90" t="str">
        <f>IF(ISNUMBER(SEARCH("Y",Z272)),"S","")</f>
        <v/>
      </c>
      <c r="BD272" s="90"/>
      <c r="BE272" s="24" t="s">
        <v>119</v>
      </c>
      <c r="BF272" s="125" t="str">
        <f>IF(AND(AW272&gt;=56543,AW272&lt;=76543,LEN(AW272)&gt;0),"3 Feb 2020",IF(AND(AW272&gt;=66544,AW272&lt;=99999,LEN(AW272)&gt;0),"12 Sep 2020",""))</f>
        <v/>
      </c>
      <c r="BG272" s="125" t="str">
        <f>IF((AND(BF272="3 Feb 2020",LEN(BF272)&gt;0)),"Completed",IF((AND(BF272="12 Sep 2020",LEN(BF272)&gt;0)),"Pending",""))</f>
        <v/>
      </c>
      <c r="BH272" s="90" t="str">
        <f>IF((AND(BF272="3 Feb 2020",LEN(BF272)&gt;0)),"3 Feb 2020","")</f>
        <v/>
      </c>
      <c r="BI272" s="90">
        <v>194633</v>
      </c>
      <c r="BJ272" s="90" t="str">
        <f>L272</f>
        <v>4D78ET89202-48</v>
      </c>
      <c r="BK272" s="127">
        <v>43508</v>
      </c>
      <c r="BL272" s="127">
        <v>44239</v>
      </c>
      <c r="BM272" s="128">
        <f>P272*1.1</f>
        <v>2217944.3000000003</v>
      </c>
      <c r="BN272" s="129">
        <f>P272*0.9</f>
        <v>1814681.7</v>
      </c>
      <c r="BO272" s="130">
        <f>P272*0.8</f>
        <v>1613050.4000000001</v>
      </c>
      <c r="BP272" s="90">
        <f>IF(Z272="Y",BM272*0.4,BM272*1.05)</f>
        <v>2328841.5150000006</v>
      </c>
      <c r="BQ272" s="90">
        <f>BP272*0.8</f>
        <v>1863073.2120000005</v>
      </c>
      <c r="BR272" s="90" t="str">
        <f>IF(ISNUMBER(SEARCH("subrecipient",AI268)),P272*0.6,"")</f>
        <v/>
      </c>
      <c r="BS272" s="90">
        <v>194633</v>
      </c>
      <c r="BT272" s="90" t="str">
        <f>BJ272</f>
        <v>4D78ET89202-48</v>
      </c>
      <c r="BU272" s="127">
        <f>BK272</f>
        <v>43508</v>
      </c>
      <c r="BV272" s="127">
        <f>BL272</f>
        <v>44239</v>
      </c>
      <c r="BW272" s="90" t="str">
        <f>H272</f>
        <v>NIH</v>
      </c>
      <c r="BX272" s="90" t="str">
        <f>IF(H272="NATIONAL HEMOPHILIA FOUNDATION","Non Federal","Federal")</f>
        <v>Federal</v>
      </c>
      <c r="BY272" s="128">
        <f>BM272</f>
        <v>2217944.3000000003</v>
      </c>
      <c r="BZ272" s="90" t="str">
        <f>IF(LEN(BR272)&gt;0,1,"")</f>
        <v/>
      </c>
      <c r="CA272" s="90" t="str">
        <f>IF(LEN(BR272)&gt;0,"VIRAL HEPATITIS PROJECT","")</f>
        <v/>
      </c>
      <c r="CB272" s="129" t="str">
        <f>IF(LEN(BR272)&gt;0,BM272*0.7,"")</f>
        <v/>
      </c>
      <c r="CC272" s="90">
        <f>BP272</f>
        <v>2328841.5150000006</v>
      </c>
      <c r="CD272" s="90" t="str">
        <f>IF(LEN(BR272)&gt;0,"70%","")</f>
        <v/>
      </c>
      <c r="CE272" s="90">
        <f>BS272</f>
        <v>194633</v>
      </c>
      <c r="CF272" s="90" t="str">
        <f>CA272</f>
        <v/>
      </c>
      <c r="CG272" s="90"/>
      <c r="CH272" s="90"/>
      <c r="CI272" s="90"/>
      <c r="CJ272" s="90"/>
      <c r="CK272" s="90"/>
      <c r="CL272" s="90"/>
      <c r="CM272" s="90"/>
      <c r="CN272" s="90"/>
      <c r="CO272" s="90"/>
      <c r="CP272" s="90"/>
      <c r="CQ272" s="90"/>
      <c r="CR272" s="90"/>
      <c r="CS272" s="90"/>
      <c r="CT272" s="137"/>
    </row>
    <row r="273" spans="1:98" ht="90">
      <c r="A273" s="89">
        <v>194633</v>
      </c>
      <c r="B273" s="90">
        <v>2020</v>
      </c>
      <c r="C273" s="90" t="s">
        <v>81</v>
      </c>
      <c r="D273" s="90" t="s">
        <v>928</v>
      </c>
      <c r="E273" s="125" t="s">
        <v>791</v>
      </c>
      <c r="F273" s="24" t="s">
        <v>929</v>
      </c>
      <c r="G273" s="90" t="s">
        <v>85</v>
      </c>
      <c r="H273" s="90" t="s">
        <v>117</v>
      </c>
      <c r="I273" s="90">
        <v>93</v>
      </c>
      <c r="J273" s="90">
        <v>157</v>
      </c>
      <c r="K273" s="90" t="s">
        <v>85</v>
      </c>
      <c r="L273" s="90" t="s">
        <v>930</v>
      </c>
      <c r="M273" s="90" t="s">
        <v>119</v>
      </c>
      <c r="N273" s="24" t="s">
        <v>931</v>
      </c>
      <c r="O273" s="24" t="str">
        <f>IF(ISNUMBER(SEARCH("Cancer",N273)),"Cancer",IF(ISNUMBER(SEARCH("health",N273)),"Public health",IF(ISNUMBER(SEARCH("disabilities",N273)),"Disabilities","Other")))</f>
        <v>Public health</v>
      </c>
      <c r="P273" s="126">
        <v>2016313</v>
      </c>
      <c r="Q273" s="90" t="s">
        <v>85</v>
      </c>
      <c r="R273" s="90" t="str">
        <f>IF(P273&gt;20000000,"B","A")</f>
        <v>A</v>
      </c>
      <c r="S273" s="90" t="s">
        <v>90</v>
      </c>
      <c r="T273" s="90" t="s">
        <v>119</v>
      </c>
      <c r="U273" s="90" t="s">
        <v>119</v>
      </c>
      <c r="V273" s="90" t="s">
        <v>119</v>
      </c>
      <c r="W273" s="90" t="s">
        <v>119</v>
      </c>
      <c r="X273" s="90" t="s">
        <v>119</v>
      </c>
      <c r="Y273" s="90" t="s">
        <v>119</v>
      </c>
      <c r="Z273" s="90" t="s">
        <v>119</v>
      </c>
      <c r="AA273" s="90" t="s">
        <v>119</v>
      </c>
      <c r="AB273" s="90" t="s">
        <v>119</v>
      </c>
      <c r="AC273" s="90" t="s">
        <v>119</v>
      </c>
      <c r="AD273" s="90" t="s">
        <v>119</v>
      </c>
      <c r="AE273" s="24">
        <v>0</v>
      </c>
      <c r="AF273" s="90">
        <v>0</v>
      </c>
      <c r="AG273" s="24">
        <v>0</v>
      </c>
      <c r="AH273" s="90">
        <v>89175</v>
      </c>
      <c r="AI273" s="24" t="s">
        <v>102</v>
      </c>
      <c r="AJ273" s="24" t="s">
        <v>916</v>
      </c>
      <c r="AK273" s="90" t="s">
        <v>85</v>
      </c>
      <c r="AL273" s="90">
        <v>194633</v>
      </c>
      <c r="AM273" s="90" t="s">
        <v>81</v>
      </c>
      <c r="AN273" s="90" t="s">
        <v>928</v>
      </c>
      <c r="AO273" s="125" t="s">
        <v>791</v>
      </c>
      <c r="AP273" s="24" t="s">
        <v>931</v>
      </c>
      <c r="AQ273" s="90" t="s">
        <v>930</v>
      </c>
      <c r="AR273" s="24" t="s">
        <v>931</v>
      </c>
      <c r="AS273" s="90" t="s">
        <v>119</v>
      </c>
      <c r="AT273" s="24" t="s">
        <v>102</v>
      </c>
      <c r="AU273" s="90" t="s">
        <v>119</v>
      </c>
      <c r="AV273" s="90" t="str">
        <f>IF(ISNUMBER(SEARCH("disagree",AE273)),"N","Y")</f>
        <v>Y</v>
      </c>
      <c r="AW273" s="90" t="s">
        <v>119</v>
      </c>
      <c r="AX273" s="24" t="s">
        <v>119</v>
      </c>
      <c r="AY273" s="90" t="str">
        <f>CONCATENATE(AZ273,BA273,BB273,BC273)</f>
        <v/>
      </c>
      <c r="AZ273" s="90" t="str">
        <f>IF(ISNUMBER(SEARCH("Y",AC273)),"R","")</f>
        <v/>
      </c>
      <c r="BA273" s="90" t="str">
        <f>IF(ISNUMBER(SEARCH("Y",Y273)),"M","")</f>
        <v/>
      </c>
      <c r="BB273" s="90" t="str">
        <f>IF(ISNUMBER(SEARCH("Y",AB273)),"QC","")</f>
        <v/>
      </c>
      <c r="BC273" s="90" t="str">
        <f>IF(ISNUMBER(SEARCH("Y",Z273)),"S","")</f>
        <v/>
      </c>
      <c r="BD273" s="90"/>
      <c r="BE273" s="24" t="s">
        <v>119</v>
      </c>
      <c r="BF273" s="125" t="str">
        <f>IF(AND(AW273&gt;=56543,AW273&lt;=76543,LEN(AW273)&gt;0),"3 Feb 2020",IF(AND(AW273&gt;=66544,AW273&lt;=99999,LEN(AW273)&gt;0),"12 Sep 2020",""))</f>
        <v/>
      </c>
      <c r="BG273" s="125" t="str">
        <f>IF((AND(BF273="3 Feb 2020",LEN(BF273)&gt;0)),"Completed",IF((AND(BF273="12 Sep 2020",LEN(BF273)&gt;0)),"Pending",""))</f>
        <v/>
      </c>
      <c r="BH273" s="90" t="str">
        <f>IF((AND(BF273="3 Feb 2020",LEN(BF273)&gt;0)),"3 Feb 2020","")</f>
        <v/>
      </c>
      <c r="BI273" s="90">
        <v>194633</v>
      </c>
      <c r="BJ273" s="90" t="str">
        <f>L273</f>
        <v>4D78ET89202-48</v>
      </c>
      <c r="BK273" s="127">
        <v>43508</v>
      </c>
      <c r="BL273" s="127">
        <v>44239</v>
      </c>
      <c r="BM273" s="128">
        <f>P273*1.1</f>
        <v>2217944.3000000003</v>
      </c>
      <c r="BN273" s="129">
        <f>P273*0.9</f>
        <v>1814681.7</v>
      </c>
      <c r="BO273" s="130">
        <f>P273*0.8</f>
        <v>1613050.4000000001</v>
      </c>
      <c r="BP273" s="90">
        <f>IF(Z273="Y",BM273*0.4,BM273*1.05)</f>
        <v>2328841.5150000006</v>
      </c>
      <c r="BQ273" s="90">
        <f>BP273*0.8</f>
        <v>1863073.2120000005</v>
      </c>
      <c r="BR273" s="90" t="str">
        <f>IF(ISNUMBER(SEARCH("subrecipient",AI269)),P273*0.6,"")</f>
        <v/>
      </c>
      <c r="BS273" s="90">
        <v>194633</v>
      </c>
      <c r="BT273" s="90" t="str">
        <f>BJ273</f>
        <v>4D78ET89202-48</v>
      </c>
      <c r="BU273" s="127">
        <f>BK273</f>
        <v>43508</v>
      </c>
      <c r="BV273" s="127">
        <f>BL273</f>
        <v>44239</v>
      </c>
      <c r="BW273" s="90" t="str">
        <f>H273</f>
        <v>NIH</v>
      </c>
      <c r="BX273" s="90" t="str">
        <f>IF(H273="NATIONAL HEMOPHILIA FOUNDATION","Non Federal","Federal")</f>
        <v>Federal</v>
      </c>
      <c r="BY273" s="128">
        <f>BM273</f>
        <v>2217944.3000000003</v>
      </c>
      <c r="BZ273" s="90" t="str">
        <f>IF(LEN(BR273)&gt;0,1,"")</f>
        <v/>
      </c>
      <c r="CA273" s="90" t="str">
        <f>IF(LEN(BR273)&gt;0,"VIRAL HEPATITIS PROJECT","")</f>
        <v/>
      </c>
      <c r="CB273" s="129" t="str">
        <f>IF(LEN(BR273)&gt;0,BM273*0.7,"")</f>
        <v/>
      </c>
      <c r="CC273" s="90">
        <f>BP273</f>
        <v>2328841.5150000006</v>
      </c>
      <c r="CD273" s="90" t="str">
        <f>IF(LEN(BR273)&gt;0,"70%","")</f>
        <v/>
      </c>
      <c r="CE273" s="90">
        <f>BS273</f>
        <v>194633</v>
      </c>
      <c r="CF273" s="90" t="str">
        <f>CA273</f>
        <v/>
      </c>
      <c r="CG273" s="90"/>
      <c r="CH273" s="90"/>
      <c r="CI273" s="90"/>
      <c r="CJ273" s="90"/>
      <c r="CK273" s="90"/>
      <c r="CL273" s="90"/>
      <c r="CM273" s="90"/>
      <c r="CN273" s="90"/>
      <c r="CO273" s="90"/>
      <c r="CP273" s="90"/>
      <c r="CQ273" s="90"/>
      <c r="CR273" s="90"/>
      <c r="CS273" s="90"/>
      <c r="CT273" s="137"/>
    </row>
    <row r="274" spans="1:98" ht="90">
      <c r="A274" s="89">
        <v>194633</v>
      </c>
      <c r="B274" s="90">
        <v>2020</v>
      </c>
      <c r="C274" s="90" t="s">
        <v>81</v>
      </c>
      <c r="D274" s="90" t="s">
        <v>928</v>
      </c>
      <c r="E274" s="125" t="s">
        <v>793</v>
      </c>
      <c r="F274" s="24" t="s">
        <v>929</v>
      </c>
      <c r="G274" s="90" t="s">
        <v>85</v>
      </c>
      <c r="H274" s="90" t="s">
        <v>117</v>
      </c>
      <c r="I274" s="90">
        <v>93</v>
      </c>
      <c r="J274" s="90">
        <v>157</v>
      </c>
      <c r="K274" s="90" t="s">
        <v>85</v>
      </c>
      <c r="L274" s="90" t="s">
        <v>930</v>
      </c>
      <c r="M274" s="90" t="s">
        <v>119</v>
      </c>
      <c r="N274" s="24" t="s">
        <v>931</v>
      </c>
      <c r="O274" s="24" t="str">
        <f>IF(ISNUMBER(SEARCH("Cancer",N274)),"Cancer",IF(ISNUMBER(SEARCH("health",N274)),"Public health",IF(ISNUMBER(SEARCH("disabilities",N274)),"Disabilities","Other")))</f>
        <v>Public health</v>
      </c>
      <c r="P274" s="126">
        <v>2016313</v>
      </c>
      <c r="Q274" s="90" t="s">
        <v>85</v>
      </c>
      <c r="R274" s="90" t="str">
        <f>IF(P274&gt;20000000,"B","A")</f>
        <v>A</v>
      </c>
      <c r="S274" s="90" t="s">
        <v>90</v>
      </c>
      <c r="T274" s="90" t="s">
        <v>119</v>
      </c>
      <c r="U274" s="90" t="s">
        <v>119</v>
      </c>
      <c r="V274" s="90" t="s">
        <v>119</v>
      </c>
      <c r="W274" s="90" t="s">
        <v>119</v>
      </c>
      <c r="X274" s="90" t="s">
        <v>119</v>
      </c>
      <c r="Y274" s="90" t="s">
        <v>119</v>
      </c>
      <c r="Z274" s="90" t="s">
        <v>119</v>
      </c>
      <c r="AA274" s="90" t="s">
        <v>119</v>
      </c>
      <c r="AB274" s="90" t="s">
        <v>119</v>
      </c>
      <c r="AC274" s="90" t="s">
        <v>119</v>
      </c>
      <c r="AD274" s="90" t="s">
        <v>119</v>
      </c>
      <c r="AE274" s="24">
        <v>0</v>
      </c>
      <c r="AF274" s="90">
        <v>0</v>
      </c>
      <c r="AG274" s="24">
        <v>0</v>
      </c>
      <c r="AH274" s="90">
        <v>89176</v>
      </c>
      <c r="AI274" s="24" t="s">
        <v>926</v>
      </c>
      <c r="AJ274" s="24" t="s">
        <v>933</v>
      </c>
      <c r="AK274" s="90" t="s">
        <v>85</v>
      </c>
      <c r="AL274" s="90">
        <v>194633</v>
      </c>
      <c r="AM274" s="90" t="s">
        <v>81</v>
      </c>
      <c r="AN274" s="90" t="s">
        <v>928</v>
      </c>
      <c r="AO274" s="125" t="s">
        <v>793</v>
      </c>
      <c r="AP274" s="24" t="s">
        <v>931</v>
      </c>
      <c r="AQ274" s="90" t="s">
        <v>930</v>
      </c>
      <c r="AR274" s="24" t="s">
        <v>931</v>
      </c>
      <c r="AS274" s="90" t="s">
        <v>119</v>
      </c>
      <c r="AT274" s="24" t="s">
        <v>926</v>
      </c>
      <c r="AU274" s="90" t="s">
        <v>119</v>
      </c>
      <c r="AV274" s="90" t="str">
        <f>IF(ISNUMBER(SEARCH("disagree",AE274)),"N","Y")</f>
        <v>Y</v>
      </c>
      <c r="AW274" s="90" t="s">
        <v>119</v>
      </c>
      <c r="AX274" s="24" t="s">
        <v>119</v>
      </c>
      <c r="AY274" s="90" t="str">
        <f>CONCATENATE(AZ274,BA274,BB274,BC274)</f>
        <v/>
      </c>
      <c r="AZ274" s="90" t="str">
        <f>IF(ISNUMBER(SEARCH("Y",AC274)),"R","")</f>
        <v/>
      </c>
      <c r="BA274" s="90" t="str">
        <f>IF(ISNUMBER(SEARCH("Y",Y274)),"M","")</f>
        <v/>
      </c>
      <c r="BB274" s="90" t="str">
        <f>IF(ISNUMBER(SEARCH("Y",AB274)),"QC","")</f>
        <v/>
      </c>
      <c r="BC274" s="90" t="str">
        <f>IF(ISNUMBER(SEARCH("Y",Z274)),"S","")</f>
        <v/>
      </c>
      <c r="BD274" s="90"/>
      <c r="BE274" s="24" t="s">
        <v>119</v>
      </c>
      <c r="BF274" s="125" t="str">
        <f>IF(AND(AW274&gt;=56543,AW274&lt;=76543,LEN(AW274)&gt;0),"3 Feb 2020",IF(AND(AW274&gt;=66544,AW274&lt;=99999,LEN(AW274)&gt;0),"12 Sep 2020",""))</f>
        <v/>
      </c>
      <c r="BG274" s="125" t="str">
        <f>IF((AND(BF274="3 Feb 2020",LEN(BF274)&gt;0)),"Completed",IF((AND(BF274="12 Sep 2020",LEN(BF274)&gt;0)),"Pending",""))</f>
        <v/>
      </c>
      <c r="BH274" s="90" t="str">
        <f>IF((AND(BF274="3 Feb 2020",LEN(BF274)&gt;0)),"3 Feb 2020","")</f>
        <v/>
      </c>
      <c r="BI274" s="90">
        <v>194633</v>
      </c>
      <c r="BJ274" s="90" t="str">
        <f>L274</f>
        <v>4D78ET89202-48</v>
      </c>
      <c r="BK274" s="127">
        <v>43508</v>
      </c>
      <c r="BL274" s="127">
        <v>44239</v>
      </c>
      <c r="BM274" s="128">
        <f>P274*1.1</f>
        <v>2217944.3000000003</v>
      </c>
      <c r="BN274" s="129">
        <f>P274*0.9</f>
        <v>1814681.7</v>
      </c>
      <c r="BO274" s="130">
        <f>P274*0.8</f>
        <v>1613050.4000000001</v>
      </c>
      <c r="BP274" s="90">
        <f>IF(Z274="Y",BM274*0.4,BM274*1.05)</f>
        <v>2328841.5150000006</v>
      </c>
      <c r="BQ274" s="90">
        <f>BP274*0.8</f>
        <v>1863073.2120000005</v>
      </c>
      <c r="BR274" s="90" t="str">
        <f>IF(ISNUMBER(SEARCH("subrecipient",AI270)),P274*0.6,"")</f>
        <v/>
      </c>
      <c r="BS274" s="90">
        <v>194633</v>
      </c>
      <c r="BT274" s="90" t="str">
        <f>BJ274</f>
        <v>4D78ET89202-48</v>
      </c>
      <c r="BU274" s="127">
        <f>BK274</f>
        <v>43508</v>
      </c>
      <c r="BV274" s="127">
        <f>BL274</f>
        <v>44239</v>
      </c>
      <c r="BW274" s="90" t="str">
        <f>H274</f>
        <v>NIH</v>
      </c>
      <c r="BX274" s="90" t="str">
        <f>IF(H274="NATIONAL HEMOPHILIA FOUNDATION","Non Federal","Federal")</f>
        <v>Federal</v>
      </c>
      <c r="BY274" s="128">
        <f>BM274</f>
        <v>2217944.3000000003</v>
      </c>
      <c r="BZ274" s="90" t="str">
        <f>IF(LEN(BR274)&gt;0,1,"")</f>
        <v/>
      </c>
      <c r="CA274" s="90" t="str">
        <f>IF(LEN(BR274)&gt;0,"VIRAL HEPATITIS PROJECT","")</f>
        <v/>
      </c>
      <c r="CB274" s="129" t="str">
        <f>IF(LEN(BR274)&gt;0,BM274*0.7,"")</f>
        <v/>
      </c>
      <c r="CC274" s="90">
        <f>BP274</f>
        <v>2328841.5150000006</v>
      </c>
      <c r="CD274" s="90" t="str">
        <f>IF(LEN(BR274)&gt;0,"70%","")</f>
        <v/>
      </c>
      <c r="CE274" s="90">
        <f>BS274</f>
        <v>194633</v>
      </c>
      <c r="CF274" s="90" t="str">
        <f>CA274</f>
        <v/>
      </c>
      <c r="CG274" s="90"/>
      <c r="CH274" s="90"/>
      <c r="CI274" s="90"/>
      <c r="CJ274" s="90"/>
      <c r="CK274" s="90"/>
      <c r="CL274" s="90"/>
      <c r="CM274" s="90"/>
      <c r="CN274" s="90"/>
      <c r="CO274" s="90"/>
      <c r="CP274" s="90"/>
      <c r="CQ274" s="90"/>
      <c r="CR274" s="90"/>
      <c r="CS274" s="90"/>
      <c r="CT274" s="137"/>
    </row>
    <row r="275" spans="1:98" ht="90">
      <c r="A275" s="89">
        <v>194633</v>
      </c>
      <c r="B275" s="90">
        <v>2020</v>
      </c>
      <c r="C275" s="90" t="s">
        <v>81</v>
      </c>
      <c r="D275" s="90" t="s">
        <v>928</v>
      </c>
      <c r="E275" s="125" t="s">
        <v>780</v>
      </c>
      <c r="F275" s="24" t="s">
        <v>929</v>
      </c>
      <c r="G275" s="90" t="s">
        <v>85</v>
      </c>
      <c r="H275" s="90" t="s">
        <v>117</v>
      </c>
      <c r="I275" s="90">
        <v>93</v>
      </c>
      <c r="J275" s="90">
        <v>157</v>
      </c>
      <c r="K275" s="90" t="s">
        <v>85</v>
      </c>
      <c r="L275" s="90" t="s">
        <v>930</v>
      </c>
      <c r="M275" s="90" t="s">
        <v>119</v>
      </c>
      <c r="N275" s="24" t="s">
        <v>931</v>
      </c>
      <c r="O275" s="24" t="str">
        <f>IF(ISNUMBER(SEARCH("Cancer",N275)),"Cancer",IF(ISNUMBER(SEARCH("health",N275)),"Public health",IF(ISNUMBER(SEARCH("disabilities",N275)),"Disabilities","Other")))</f>
        <v>Public health</v>
      </c>
      <c r="P275" s="126">
        <v>2016313</v>
      </c>
      <c r="Q275" s="90" t="s">
        <v>85</v>
      </c>
      <c r="R275" s="90" t="str">
        <f>IF(P275&gt;20000000,"B","A")</f>
        <v>A</v>
      </c>
      <c r="S275" s="90" t="s">
        <v>90</v>
      </c>
      <c r="T275" s="90" t="s">
        <v>119</v>
      </c>
      <c r="U275" s="90" t="s">
        <v>119</v>
      </c>
      <c r="V275" s="90" t="s">
        <v>119</v>
      </c>
      <c r="W275" s="90" t="s">
        <v>119</v>
      </c>
      <c r="X275" s="90" t="s">
        <v>119</v>
      </c>
      <c r="Y275" s="90" t="s">
        <v>119</v>
      </c>
      <c r="Z275" s="90" t="s">
        <v>119</v>
      </c>
      <c r="AA275" s="90" t="s">
        <v>119</v>
      </c>
      <c r="AB275" s="90" t="s">
        <v>119</v>
      </c>
      <c r="AC275" s="90" t="s">
        <v>119</v>
      </c>
      <c r="AD275" s="90" t="s">
        <v>119</v>
      </c>
      <c r="AE275" s="24">
        <v>0</v>
      </c>
      <c r="AF275" s="90">
        <v>0</v>
      </c>
      <c r="AG275" s="24">
        <v>0</v>
      </c>
      <c r="AH275" s="90">
        <v>89177</v>
      </c>
      <c r="AI275" s="24" t="s">
        <v>919</v>
      </c>
      <c r="AJ275" s="24" t="s">
        <v>920</v>
      </c>
      <c r="AK275" s="90" t="s">
        <v>85</v>
      </c>
      <c r="AL275" s="90">
        <v>194633</v>
      </c>
      <c r="AM275" s="90" t="s">
        <v>81</v>
      </c>
      <c r="AN275" s="90" t="s">
        <v>928</v>
      </c>
      <c r="AO275" s="125" t="s">
        <v>780</v>
      </c>
      <c r="AP275" s="24" t="s">
        <v>931</v>
      </c>
      <c r="AQ275" s="90" t="s">
        <v>930</v>
      </c>
      <c r="AR275" s="24" t="s">
        <v>931</v>
      </c>
      <c r="AS275" s="90" t="s">
        <v>119</v>
      </c>
      <c r="AT275" s="24" t="s">
        <v>919</v>
      </c>
      <c r="AU275" s="90" t="s">
        <v>119</v>
      </c>
      <c r="AV275" s="90" t="str">
        <f>IF(ISNUMBER(SEARCH("disagree",AE275)),"N","Y")</f>
        <v>Y</v>
      </c>
      <c r="AW275" s="90" t="s">
        <v>119</v>
      </c>
      <c r="AX275" s="24" t="s">
        <v>119</v>
      </c>
      <c r="AY275" s="90" t="str">
        <f>CONCATENATE(AZ275,BA275,BB275,BC275)</f>
        <v/>
      </c>
      <c r="AZ275" s="90" t="str">
        <f>IF(ISNUMBER(SEARCH("Y",AC275)),"R","")</f>
        <v/>
      </c>
      <c r="BA275" s="90" t="str">
        <f>IF(ISNUMBER(SEARCH("Y",Y275)),"M","")</f>
        <v/>
      </c>
      <c r="BB275" s="90" t="str">
        <f>IF(ISNUMBER(SEARCH("Y",AB275)),"QC","")</f>
        <v/>
      </c>
      <c r="BC275" s="90" t="str">
        <f>IF(ISNUMBER(SEARCH("Y",Z275)),"S","")</f>
        <v/>
      </c>
      <c r="BD275" s="90"/>
      <c r="BE275" s="24" t="s">
        <v>119</v>
      </c>
      <c r="BF275" s="125" t="str">
        <f>IF(AND(AW275&gt;=56543,AW275&lt;=76543,LEN(AW275)&gt;0),"3 Feb 2020",IF(AND(AW275&gt;=66544,AW275&lt;=99999,LEN(AW275)&gt;0),"12 Sep 2020",""))</f>
        <v/>
      </c>
      <c r="BG275" s="125" t="str">
        <f>IF((AND(BF275="3 Feb 2020",LEN(BF275)&gt;0)),"Completed",IF((AND(BF275="12 Sep 2020",LEN(BF275)&gt;0)),"Pending",""))</f>
        <v/>
      </c>
      <c r="BH275" s="90" t="str">
        <f>IF((AND(BF275="3 Feb 2020",LEN(BF275)&gt;0)),"3 Feb 2020","")</f>
        <v/>
      </c>
      <c r="BI275" s="90">
        <v>194633</v>
      </c>
      <c r="BJ275" s="90" t="str">
        <f>L275</f>
        <v>4D78ET89202-48</v>
      </c>
      <c r="BK275" s="127">
        <v>43508</v>
      </c>
      <c r="BL275" s="127">
        <v>44239</v>
      </c>
      <c r="BM275" s="128">
        <f>P275*1.1</f>
        <v>2217944.3000000003</v>
      </c>
      <c r="BN275" s="129">
        <f>P275*0.9</f>
        <v>1814681.7</v>
      </c>
      <c r="BO275" s="130">
        <f>P275*0.8</f>
        <v>1613050.4000000001</v>
      </c>
      <c r="BP275" s="90">
        <f>IF(Z275="Y",BM275*0.4,BM275*1.05)</f>
        <v>2328841.5150000006</v>
      </c>
      <c r="BQ275" s="90">
        <f>BP275*0.8</f>
        <v>1863073.2120000005</v>
      </c>
      <c r="BR275" s="90" t="str">
        <f>IF(ISNUMBER(SEARCH("subrecipient",AI271)),P275*0.6,"")</f>
        <v/>
      </c>
      <c r="BS275" s="90">
        <v>194633</v>
      </c>
      <c r="BT275" s="90" t="str">
        <f>BJ275</f>
        <v>4D78ET89202-48</v>
      </c>
      <c r="BU275" s="127">
        <f>BK275</f>
        <v>43508</v>
      </c>
      <c r="BV275" s="127">
        <f>BL275</f>
        <v>44239</v>
      </c>
      <c r="BW275" s="90" t="str">
        <f>H275</f>
        <v>NIH</v>
      </c>
      <c r="BX275" s="90" t="str">
        <f>IF(H275="NATIONAL HEMOPHILIA FOUNDATION","Non Federal","Federal")</f>
        <v>Federal</v>
      </c>
      <c r="BY275" s="128">
        <f>BM275</f>
        <v>2217944.3000000003</v>
      </c>
      <c r="BZ275" s="90" t="str">
        <f>IF(LEN(BR275)&gt;0,1,"")</f>
        <v/>
      </c>
      <c r="CA275" s="90" t="str">
        <f>IF(LEN(BR275)&gt;0,"VIRAL HEPATITIS PROJECT","")</f>
        <v/>
      </c>
      <c r="CB275" s="129" t="str">
        <f>IF(LEN(BR275)&gt;0,BM275*0.7,"")</f>
        <v/>
      </c>
      <c r="CC275" s="90">
        <f>BP275</f>
        <v>2328841.5150000006</v>
      </c>
      <c r="CD275" s="90" t="str">
        <f>IF(LEN(BR275)&gt;0,"70%","")</f>
        <v/>
      </c>
      <c r="CE275" s="90">
        <f>BS275</f>
        <v>194633</v>
      </c>
      <c r="CF275" s="90" t="str">
        <f>CA275</f>
        <v/>
      </c>
      <c r="CG275" s="90"/>
      <c r="CH275" s="90"/>
      <c r="CI275" s="90"/>
      <c r="CJ275" s="90"/>
      <c r="CK275" s="90"/>
      <c r="CL275" s="90"/>
      <c r="CM275" s="90"/>
      <c r="CN275" s="90"/>
      <c r="CO275" s="90"/>
      <c r="CP275" s="90"/>
      <c r="CQ275" s="90"/>
      <c r="CR275" s="90"/>
      <c r="CS275" s="90"/>
      <c r="CT275" s="137"/>
    </row>
    <row r="276" spans="1:98" ht="90">
      <c r="A276" s="89">
        <v>194736</v>
      </c>
      <c r="B276" s="90">
        <v>2020</v>
      </c>
      <c r="C276" s="90" t="s">
        <v>81</v>
      </c>
      <c r="D276" s="90" t="s">
        <v>934</v>
      </c>
      <c r="E276" s="125" t="s">
        <v>781</v>
      </c>
      <c r="F276" s="24" t="s">
        <v>935</v>
      </c>
      <c r="G276" s="90" t="s">
        <v>85</v>
      </c>
      <c r="H276" s="90" t="s">
        <v>132</v>
      </c>
      <c r="I276" s="90">
        <v>93</v>
      </c>
      <c r="J276" s="90">
        <v>157</v>
      </c>
      <c r="K276" s="90" t="s">
        <v>85</v>
      </c>
      <c r="L276" s="90" t="s">
        <v>936</v>
      </c>
      <c r="M276" s="90" t="s">
        <v>119</v>
      </c>
      <c r="N276" s="24" t="s">
        <v>410</v>
      </c>
      <c r="O276" s="24" t="str">
        <f>IF(ISNUMBER(SEARCH("Cancer",N276)),"Cancer",IF(ISNUMBER(SEARCH("health",N276)),"Public health",IF(ISNUMBER(SEARCH("disabilities",N276)),"Disabilities","Other")))</f>
        <v>Public health</v>
      </c>
      <c r="P276" s="126">
        <v>2644688</v>
      </c>
      <c r="Q276" s="90" t="s">
        <v>85</v>
      </c>
      <c r="R276" s="90" t="str">
        <f>IF(P276&gt;20000000,"B","A")</f>
        <v>A</v>
      </c>
      <c r="S276" s="90" t="s">
        <v>90</v>
      </c>
      <c r="T276" s="90" t="s">
        <v>119</v>
      </c>
      <c r="U276" s="90" t="s">
        <v>119</v>
      </c>
      <c r="V276" s="90" t="s">
        <v>119</v>
      </c>
      <c r="W276" s="90" t="s">
        <v>119</v>
      </c>
      <c r="X276" s="90" t="s">
        <v>119</v>
      </c>
      <c r="Y276" s="90" t="s">
        <v>119</v>
      </c>
      <c r="Z276" s="90" t="s">
        <v>119</v>
      </c>
      <c r="AA276" s="90" t="s">
        <v>119</v>
      </c>
      <c r="AB276" s="90" t="s">
        <v>119</v>
      </c>
      <c r="AC276" s="90" t="s">
        <v>119</v>
      </c>
      <c r="AD276" s="90" t="s">
        <v>119</v>
      </c>
      <c r="AE276" s="24">
        <v>0</v>
      </c>
      <c r="AF276" s="90">
        <v>0</v>
      </c>
      <c r="AG276" s="24">
        <v>0</v>
      </c>
      <c r="AH276" s="90">
        <v>88426</v>
      </c>
      <c r="AI276" s="24" t="s">
        <v>94</v>
      </c>
      <c r="AJ276" s="24" t="s">
        <v>937</v>
      </c>
      <c r="AK276" s="90" t="s">
        <v>85</v>
      </c>
      <c r="AL276" s="90">
        <v>194736</v>
      </c>
      <c r="AM276" s="90" t="s">
        <v>81</v>
      </c>
      <c r="AN276" s="90" t="s">
        <v>934</v>
      </c>
      <c r="AO276" s="125" t="s">
        <v>781</v>
      </c>
      <c r="AP276" s="24" t="s">
        <v>410</v>
      </c>
      <c r="AQ276" s="90" t="s">
        <v>936</v>
      </c>
      <c r="AR276" s="24" t="s">
        <v>410</v>
      </c>
      <c r="AS276" s="90" t="s">
        <v>119</v>
      </c>
      <c r="AT276" s="24" t="s">
        <v>94</v>
      </c>
      <c r="AU276" s="90" t="s">
        <v>119</v>
      </c>
      <c r="AV276" s="90" t="str">
        <f>IF(ISNUMBER(SEARCH("disagree",AE276)),"N","Y")</f>
        <v>Y</v>
      </c>
      <c r="AW276" s="90" t="s">
        <v>119</v>
      </c>
      <c r="AX276" s="24" t="s">
        <v>119</v>
      </c>
      <c r="AY276" s="90" t="str">
        <f>CONCATENATE(AZ276,BA276,BB276,BC276)</f>
        <v/>
      </c>
      <c r="AZ276" s="90" t="str">
        <f>IF(ISNUMBER(SEARCH("Y",AC276)),"R","")</f>
        <v/>
      </c>
      <c r="BA276" s="90" t="str">
        <f>IF(ISNUMBER(SEARCH("Y",Y276)),"M","")</f>
        <v/>
      </c>
      <c r="BB276" s="90" t="str">
        <f>IF(ISNUMBER(SEARCH("Y",AB276)),"QC","")</f>
        <v/>
      </c>
      <c r="BC276" s="90" t="str">
        <f>IF(ISNUMBER(SEARCH("Y",Z276)),"S","")</f>
        <v/>
      </c>
      <c r="BD276" s="90"/>
      <c r="BE276" s="24" t="s">
        <v>119</v>
      </c>
      <c r="BF276" s="125" t="str">
        <f>IF(AND(AW276&gt;=56543,AW276&lt;=76543,LEN(AW276)&gt;0),"3 Feb 2020",IF(AND(AW276&gt;=66544,AW276&lt;=99999,LEN(AW276)&gt;0),"12 Sep 2020",""))</f>
        <v/>
      </c>
      <c r="BG276" s="125" t="str">
        <f>IF((AND(BF276="3 Feb 2020",LEN(BF276)&gt;0)),"Completed",IF((AND(BF276="12 Sep 2020",LEN(BF276)&gt;0)),"Pending",""))</f>
        <v/>
      </c>
      <c r="BH276" s="90" t="str">
        <f>IF((AND(BF276="3 Feb 2020",LEN(BF276)&gt;0)),"3 Feb 2020","")</f>
        <v/>
      </c>
      <c r="BI276" s="90">
        <v>194736</v>
      </c>
      <c r="BJ276" s="90" t="str">
        <f>L276</f>
        <v>9D29HT89201-84</v>
      </c>
      <c r="BK276" s="127">
        <v>43508</v>
      </c>
      <c r="BL276" s="127">
        <v>44239</v>
      </c>
      <c r="BM276" s="128">
        <f>P276*1.1</f>
        <v>2909156.8000000003</v>
      </c>
      <c r="BN276" s="129">
        <f>P276*0.9</f>
        <v>2380219.2000000002</v>
      </c>
      <c r="BO276" s="130">
        <f>P276*0.8</f>
        <v>2115750.4</v>
      </c>
      <c r="BP276" s="90">
        <f>IF(Z276="Y",BM276*0.4,BM276*1.05)</f>
        <v>3054614.6400000006</v>
      </c>
      <c r="BQ276" s="90">
        <f>BP276*0.8</f>
        <v>2443691.7120000008</v>
      </c>
      <c r="BR276" s="90" t="str">
        <f>IF(ISNUMBER(SEARCH("subrecipient",AI272)),P276*0.6,"")</f>
        <v/>
      </c>
      <c r="BS276" s="90">
        <v>194736</v>
      </c>
      <c r="BT276" s="90" t="str">
        <f>BJ276</f>
        <v>9D29HT89201-84</v>
      </c>
      <c r="BU276" s="127">
        <f>BK276</f>
        <v>43508</v>
      </c>
      <c r="BV276" s="127">
        <f>BL276</f>
        <v>44239</v>
      </c>
      <c r="BW276" s="90" t="str">
        <f>H276</f>
        <v>FDA</v>
      </c>
      <c r="BX276" s="90" t="str">
        <f>IF(H276="NATIONAL HEMOPHILIA FOUNDATION","Non Federal","Federal")</f>
        <v>Federal</v>
      </c>
      <c r="BY276" s="128">
        <f>BM276</f>
        <v>2909156.8000000003</v>
      </c>
      <c r="BZ276" s="90" t="str">
        <f>IF(LEN(BR276)&gt;0,1,"")</f>
        <v/>
      </c>
      <c r="CA276" s="90" t="str">
        <f>IF(LEN(BR276)&gt;0,"VIRAL HEPATITIS PROJECT","")</f>
        <v/>
      </c>
      <c r="CB276" s="129" t="str">
        <f>IF(LEN(BR276)&gt;0,BM276*0.7,"")</f>
        <v/>
      </c>
      <c r="CC276" s="90">
        <f>BP276</f>
        <v>3054614.6400000006</v>
      </c>
      <c r="CD276" s="90" t="str">
        <f>IF(LEN(BR276)&gt;0,"70%","")</f>
        <v/>
      </c>
      <c r="CE276" s="90">
        <f>BS276</f>
        <v>194736</v>
      </c>
      <c r="CF276" s="90" t="str">
        <f>CA276</f>
        <v/>
      </c>
      <c r="CG276" s="90"/>
      <c r="CH276" s="90"/>
      <c r="CI276" s="90"/>
      <c r="CJ276" s="90"/>
      <c r="CK276" s="90"/>
      <c r="CL276" s="90"/>
      <c r="CM276" s="90"/>
      <c r="CN276" s="90"/>
      <c r="CO276" s="90"/>
      <c r="CP276" s="90"/>
      <c r="CQ276" s="90"/>
      <c r="CR276" s="90"/>
      <c r="CS276" s="90"/>
      <c r="CT276" s="137"/>
    </row>
    <row r="277" spans="1:98" ht="90">
      <c r="A277" s="89">
        <v>194736</v>
      </c>
      <c r="B277" s="90">
        <v>2020</v>
      </c>
      <c r="C277" s="90" t="s">
        <v>81</v>
      </c>
      <c r="D277" s="90" t="s">
        <v>934</v>
      </c>
      <c r="E277" s="125" t="s">
        <v>784</v>
      </c>
      <c r="F277" s="24" t="s">
        <v>935</v>
      </c>
      <c r="G277" s="90" t="s">
        <v>85</v>
      </c>
      <c r="H277" s="90" t="s">
        <v>132</v>
      </c>
      <c r="I277" s="90">
        <v>93</v>
      </c>
      <c r="J277" s="90">
        <v>157</v>
      </c>
      <c r="K277" s="90" t="s">
        <v>85</v>
      </c>
      <c r="L277" s="90" t="s">
        <v>936</v>
      </c>
      <c r="M277" s="90" t="s">
        <v>119</v>
      </c>
      <c r="N277" s="24" t="s">
        <v>410</v>
      </c>
      <c r="O277" s="24" t="str">
        <f>IF(ISNUMBER(SEARCH("Cancer",N277)),"Cancer",IF(ISNUMBER(SEARCH("health",N277)),"Public health",IF(ISNUMBER(SEARCH("disabilities",N277)),"Disabilities","Other")))</f>
        <v>Public health</v>
      </c>
      <c r="P277" s="126">
        <v>2644688</v>
      </c>
      <c r="Q277" s="90" t="s">
        <v>85</v>
      </c>
      <c r="R277" s="90" t="str">
        <f>IF(P277&gt;20000000,"B","A")</f>
        <v>A</v>
      </c>
      <c r="S277" s="90" t="s">
        <v>90</v>
      </c>
      <c r="T277" s="90" t="s">
        <v>119</v>
      </c>
      <c r="U277" s="90" t="s">
        <v>119</v>
      </c>
      <c r="V277" s="90" t="s">
        <v>119</v>
      </c>
      <c r="W277" s="90" t="s">
        <v>119</v>
      </c>
      <c r="X277" s="90" t="s">
        <v>119</v>
      </c>
      <c r="Y277" s="90" t="s">
        <v>119</v>
      </c>
      <c r="Z277" s="90" t="s">
        <v>119</v>
      </c>
      <c r="AA277" s="90" t="s">
        <v>119</v>
      </c>
      <c r="AB277" s="90" t="s">
        <v>119</v>
      </c>
      <c r="AC277" s="90" t="s">
        <v>119</v>
      </c>
      <c r="AD277" s="90" t="s">
        <v>119</v>
      </c>
      <c r="AE277" s="24">
        <v>0</v>
      </c>
      <c r="AF277" s="90">
        <v>0</v>
      </c>
      <c r="AG277" s="24">
        <v>0</v>
      </c>
      <c r="AH277" s="90">
        <v>88428</v>
      </c>
      <c r="AI277" s="24" t="s">
        <v>102</v>
      </c>
      <c r="AJ277" s="24" t="s">
        <v>103</v>
      </c>
      <c r="AK277" s="90" t="s">
        <v>85</v>
      </c>
      <c r="AL277" s="90">
        <v>194736</v>
      </c>
      <c r="AM277" s="90" t="s">
        <v>81</v>
      </c>
      <c r="AN277" s="90" t="s">
        <v>934</v>
      </c>
      <c r="AO277" s="125" t="s">
        <v>784</v>
      </c>
      <c r="AP277" s="24" t="s">
        <v>410</v>
      </c>
      <c r="AQ277" s="90" t="s">
        <v>936</v>
      </c>
      <c r="AR277" s="24" t="s">
        <v>410</v>
      </c>
      <c r="AS277" s="90" t="s">
        <v>119</v>
      </c>
      <c r="AT277" s="24" t="s">
        <v>102</v>
      </c>
      <c r="AU277" s="90" t="s">
        <v>119</v>
      </c>
      <c r="AV277" s="90" t="str">
        <f>IF(ISNUMBER(SEARCH("disagree",AE277)),"N","Y")</f>
        <v>Y</v>
      </c>
      <c r="AW277" s="90" t="s">
        <v>119</v>
      </c>
      <c r="AX277" s="24" t="s">
        <v>119</v>
      </c>
      <c r="AY277" s="90" t="str">
        <f>CONCATENATE(AZ277,BA277,BB277,BC277)</f>
        <v/>
      </c>
      <c r="AZ277" s="90" t="str">
        <f>IF(ISNUMBER(SEARCH("Y",AC277)),"R","")</f>
        <v/>
      </c>
      <c r="BA277" s="90" t="str">
        <f>IF(ISNUMBER(SEARCH("Y",Y277)),"M","")</f>
        <v/>
      </c>
      <c r="BB277" s="90" t="str">
        <f>IF(ISNUMBER(SEARCH("Y",AB277)),"QC","")</f>
        <v/>
      </c>
      <c r="BC277" s="90" t="str">
        <f>IF(ISNUMBER(SEARCH("Y",Z277)),"S","")</f>
        <v/>
      </c>
      <c r="BD277" s="90"/>
      <c r="BE277" s="24" t="s">
        <v>119</v>
      </c>
      <c r="BF277" s="125" t="str">
        <f>IF(AND(AW277&gt;=56543,AW277&lt;=76543,LEN(AW277)&gt;0),"3 Feb 2020",IF(AND(AW277&gt;=66544,AW277&lt;=99999,LEN(AW277)&gt;0),"12 Sep 2020",""))</f>
        <v/>
      </c>
      <c r="BG277" s="125" t="str">
        <f>IF((AND(BF277="3 Feb 2020",LEN(BF277)&gt;0)),"Completed",IF((AND(BF277="12 Sep 2020",LEN(BF277)&gt;0)),"Pending",""))</f>
        <v/>
      </c>
      <c r="BH277" s="90" t="str">
        <f>IF((AND(BF277="3 Feb 2020",LEN(BF277)&gt;0)),"3 Feb 2020","")</f>
        <v/>
      </c>
      <c r="BI277" s="90">
        <v>194736</v>
      </c>
      <c r="BJ277" s="90" t="str">
        <f>L277</f>
        <v>9D29HT89201-84</v>
      </c>
      <c r="BK277" s="127">
        <v>43508</v>
      </c>
      <c r="BL277" s="127">
        <v>44239</v>
      </c>
      <c r="BM277" s="128">
        <f>P277*1.1</f>
        <v>2909156.8000000003</v>
      </c>
      <c r="BN277" s="129">
        <f>P277*0.9</f>
        <v>2380219.2000000002</v>
      </c>
      <c r="BO277" s="130">
        <f>P277*0.8</f>
        <v>2115750.4</v>
      </c>
      <c r="BP277" s="90">
        <f>IF(Z277="Y",BM277*0.4,BM277*1.05)</f>
        <v>3054614.6400000006</v>
      </c>
      <c r="BQ277" s="90">
        <f>BP277*0.8</f>
        <v>2443691.7120000008</v>
      </c>
      <c r="BR277" s="90" t="str">
        <f>IF(ISNUMBER(SEARCH("subrecipient",AI273)),P277*0.6,"")</f>
        <v/>
      </c>
      <c r="BS277" s="90">
        <v>194736</v>
      </c>
      <c r="BT277" s="90" t="str">
        <f>BJ277</f>
        <v>9D29HT89201-84</v>
      </c>
      <c r="BU277" s="127">
        <f>BK277</f>
        <v>43508</v>
      </c>
      <c r="BV277" s="127">
        <f>BL277</f>
        <v>44239</v>
      </c>
      <c r="BW277" s="90" t="str">
        <f>H277</f>
        <v>FDA</v>
      </c>
      <c r="BX277" s="90" t="str">
        <f>IF(H277="NATIONAL HEMOPHILIA FOUNDATION","Non Federal","Federal")</f>
        <v>Federal</v>
      </c>
      <c r="BY277" s="128">
        <f>BM277</f>
        <v>2909156.8000000003</v>
      </c>
      <c r="BZ277" s="90" t="str">
        <f>IF(LEN(BR277)&gt;0,1,"")</f>
        <v/>
      </c>
      <c r="CA277" s="90" t="str">
        <f>IF(LEN(BR277)&gt;0,"VIRAL HEPATITIS PROJECT","")</f>
        <v/>
      </c>
      <c r="CB277" s="129" t="str">
        <f>IF(LEN(BR277)&gt;0,BM277*0.7,"")</f>
        <v/>
      </c>
      <c r="CC277" s="90">
        <f>BP277</f>
        <v>3054614.6400000006</v>
      </c>
      <c r="CD277" s="90" t="str">
        <f>IF(LEN(BR277)&gt;0,"70%","")</f>
        <v/>
      </c>
      <c r="CE277" s="90">
        <f>BS277</f>
        <v>194736</v>
      </c>
      <c r="CF277" s="90" t="str">
        <f>CA277</f>
        <v/>
      </c>
      <c r="CG277" s="90"/>
      <c r="CH277" s="90"/>
      <c r="CI277" s="90"/>
      <c r="CJ277" s="90"/>
      <c r="CK277" s="90"/>
      <c r="CL277" s="90"/>
      <c r="CM277" s="90"/>
      <c r="CN277" s="90"/>
      <c r="CO277" s="90"/>
      <c r="CP277" s="90"/>
      <c r="CQ277" s="90"/>
      <c r="CR277" s="90"/>
      <c r="CS277" s="90"/>
      <c r="CT277" s="137"/>
    </row>
    <row r="278" spans="1:98" ht="90">
      <c r="A278" s="89">
        <v>194736</v>
      </c>
      <c r="B278" s="90">
        <v>2020</v>
      </c>
      <c r="C278" s="90" t="s">
        <v>81</v>
      </c>
      <c r="D278" s="90" t="s">
        <v>934</v>
      </c>
      <c r="E278" s="125" t="s">
        <v>790</v>
      </c>
      <c r="F278" s="24" t="s">
        <v>935</v>
      </c>
      <c r="G278" s="90" t="s">
        <v>85</v>
      </c>
      <c r="H278" s="90" t="s">
        <v>132</v>
      </c>
      <c r="I278" s="90">
        <v>93</v>
      </c>
      <c r="J278" s="90">
        <v>157</v>
      </c>
      <c r="K278" s="90" t="s">
        <v>85</v>
      </c>
      <c r="L278" s="90" t="s">
        <v>936</v>
      </c>
      <c r="M278" s="90" t="s">
        <v>119</v>
      </c>
      <c r="N278" s="24" t="s">
        <v>410</v>
      </c>
      <c r="O278" s="24" t="str">
        <f>IF(ISNUMBER(SEARCH("Cancer",N278)),"Cancer",IF(ISNUMBER(SEARCH("health",N278)),"Public health",IF(ISNUMBER(SEARCH("disabilities",N278)),"Disabilities","Other")))</f>
        <v>Public health</v>
      </c>
      <c r="P278" s="126">
        <v>2644688</v>
      </c>
      <c r="Q278" s="90" t="s">
        <v>85</v>
      </c>
      <c r="R278" s="90" t="str">
        <f>IF(P278&gt;20000000,"B","A")</f>
        <v>A</v>
      </c>
      <c r="S278" s="90" t="s">
        <v>90</v>
      </c>
      <c r="T278" s="90" t="s">
        <v>119</v>
      </c>
      <c r="U278" s="90" t="s">
        <v>119</v>
      </c>
      <c r="V278" s="90" t="s">
        <v>119</v>
      </c>
      <c r="W278" s="90" t="s">
        <v>119</v>
      </c>
      <c r="X278" s="90" t="s">
        <v>119</v>
      </c>
      <c r="Y278" s="90" t="s">
        <v>119</v>
      </c>
      <c r="Z278" s="90" t="s">
        <v>119</v>
      </c>
      <c r="AA278" s="90" t="s">
        <v>119</v>
      </c>
      <c r="AB278" s="90" t="s">
        <v>119</v>
      </c>
      <c r="AC278" s="90" t="s">
        <v>119</v>
      </c>
      <c r="AD278" s="90" t="s">
        <v>119</v>
      </c>
      <c r="AE278" s="24">
        <v>0</v>
      </c>
      <c r="AF278" s="90">
        <v>0</v>
      </c>
      <c r="AG278" s="24">
        <v>0</v>
      </c>
      <c r="AH278" s="90">
        <v>88427</v>
      </c>
      <c r="AI278" s="24" t="s">
        <v>110</v>
      </c>
      <c r="AJ278" s="24" t="s">
        <v>938</v>
      </c>
      <c r="AK278" s="90" t="s">
        <v>85</v>
      </c>
      <c r="AL278" s="90">
        <v>194736</v>
      </c>
      <c r="AM278" s="90" t="s">
        <v>81</v>
      </c>
      <c r="AN278" s="90" t="s">
        <v>934</v>
      </c>
      <c r="AO278" s="125" t="s">
        <v>790</v>
      </c>
      <c r="AP278" s="24" t="s">
        <v>410</v>
      </c>
      <c r="AQ278" s="90" t="s">
        <v>936</v>
      </c>
      <c r="AR278" s="24" t="s">
        <v>410</v>
      </c>
      <c r="AS278" s="90" t="s">
        <v>119</v>
      </c>
      <c r="AT278" s="24" t="s">
        <v>110</v>
      </c>
      <c r="AU278" s="90" t="s">
        <v>119</v>
      </c>
      <c r="AV278" s="90" t="str">
        <f>IF(ISNUMBER(SEARCH("disagree",AE278)),"N","Y")</f>
        <v>Y</v>
      </c>
      <c r="AW278" s="90" t="s">
        <v>119</v>
      </c>
      <c r="AX278" s="24" t="s">
        <v>119</v>
      </c>
      <c r="AY278" s="90" t="str">
        <f>CONCATENATE(AZ278,BA278,BB278,BC278)</f>
        <v/>
      </c>
      <c r="AZ278" s="90" t="str">
        <f>IF(ISNUMBER(SEARCH("Y",AC278)),"R","")</f>
        <v/>
      </c>
      <c r="BA278" s="90" t="str">
        <f>IF(ISNUMBER(SEARCH("Y",Y278)),"M","")</f>
        <v/>
      </c>
      <c r="BB278" s="90" t="str">
        <f>IF(ISNUMBER(SEARCH("Y",AB278)),"QC","")</f>
        <v/>
      </c>
      <c r="BC278" s="90" t="str">
        <f>IF(ISNUMBER(SEARCH("Y",Z278)),"S","")</f>
        <v/>
      </c>
      <c r="BD278" s="90"/>
      <c r="BE278" s="24" t="s">
        <v>119</v>
      </c>
      <c r="BF278" s="125" t="str">
        <f>IF(AND(AW278&gt;=56543,AW278&lt;=76543,LEN(AW278)&gt;0),"3 Feb 2020",IF(AND(AW278&gt;=66544,AW278&lt;=99999,LEN(AW278)&gt;0),"12 Sep 2020",""))</f>
        <v/>
      </c>
      <c r="BG278" s="125" t="str">
        <f>IF((AND(BF278="3 Feb 2020",LEN(BF278)&gt;0)),"Completed",IF((AND(BF278="12 Sep 2020",LEN(BF278)&gt;0)),"Pending",""))</f>
        <v/>
      </c>
      <c r="BH278" s="90" t="str">
        <f>IF((AND(BF278="3 Feb 2020",LEN(BF278)&gt;0)),"3 Feb 2020","")</f>
        <v/>
      </c>
      <c r="BI278" s="90">
        <v>194736</v>
      </c>
      <c r="BJ278" s="90" t="str">
        <f>L278</f>
        <v>9D29HT89201-84</v>
      </c>
      <c r="BK278" s="127">
        <v>43508</v>
      </c>
      <c r="BL278" s="127">
        <v>44239</v>
      </c>
      <c r="BM278" s="128">
        <f>P278*1.1</f>
        <v>2909156.8000000003</v>
      </c>
      <c r="BN278" s="129">
        <f>P278*0.9</f>
        <v>2380219.2000000002</v>
      </c>
      <c r="BO278" s="130">
        <f>P278*0.8</f>
        <v>2115750.4</v>
      </c>
      <c r="BP278" s="90">
        <f>IF(Z278="Y",BM278*0.4,BM278*1.05)</f>
        <v>3054614.6400000006</v>
      </c>
      <c r="BQ278" s="90">
        <f>BP278*0.8</f>
        <v>2443691.7120000008</v>
      </c>
      <c r="BR278" s="90" t="str">
        <f>IF(ISNUMBER(SEARCH("subrecipient",AI274)),P278*0.6,"")</f>
        <v/>
      </c>
      <c r="BS278" s="90">
        <v>194736</v>
      </c>
      <c r="BT278" s="90" t="str">
        <f>BJ278</f>
        <v>9D29HT89201-84</v>
      </c>
      <c r="BU278" s="127">
        <f>BK278</f>
        <v>43508</v>
      </c>
      <c r="BV278" s="127">
        <f>BL278</f>
        <v>44239</v>
      </c>
      <c r="BW278" s="90" t="str">
        <f>H278</f>
        <v>FDA</v>
      </c>
      <c r="BX278" s="90" t="str">
        <f>IF(H278="NATIONAL HEMOPHILIA FOUNDATION","Non Federal","Federal")</f>
        <v>Federal</v>
      </c>
      <c r="BY278" s="128">
        <f>BM278</f>
        <v>2909156.8000000003</v>
      </c>
      <c r="BZ278" s="90" t="str">
        <f>IF(LEN(BR278)&gt;0,1,"")</f>
        <v/>
      </c>
      <c r="CA278" s="90" t="str">
        <f>IF(LEN(BR278)&gt;0,"VIRAL HEPATITIS PROJECT","")</f>
        <v/>
      </c>
      <c r="CB278" s="129" t="str">
        <f>IF(LEN(BR278)&gt;0,BM278*0.7,"")</f>
        <v/>
      </c>
      <c r="CC278" s="90">
        <f>BP278</f>
        <v>3054614.6400000006</v>
      </c>
      <c r="CD278" s="90" t="str">
        <f>IF(LEN(BR278)&gt;0,"70%","")</f>
        <v/>
      </c>
      <c r="CE278" s="90">
        <f>BS278</f>
        <v>194736</v>
      </c>
      <c r="CF278" s="90" t="str">
        <f>CA278</f>
        <v/>
      </c>
      <c r="CG278" s="90"/>
      <c r="CH278" s="90"/>
      <c r="CI278" s="90"/>
      <c r="CJ278" s="90"/>
      <c r="CK278" s="90"/>
      <c r="CL278" s="90"/>
      <c r="CM278" s="90"/>
      <c r="CN278" s="90"/>
      <c r="CO278" s="90"/>
      <c r="CP278" s="90"/>
      <c r="CQ278" s="90"/>
      <c r="CR278" s="90"/>
      <c r="CS278" s="90"/>
      <c r="CT278" s="137"/>
    </row>
    <row r="279" spans="1:98" ht="90">
      <c r="A279" s="89">
        <v>194736</v>
      </c>
      <c r="B279" s="90">
        <v>2020</v>
      </c>
      <c r="C279" s="90" t="s">
        <v>81</v>
      </c>
      <c r="D279" s="90" t="s">
        <v>934</v>
      </c>
      <c r="E279" s="125" t="s">
        <v>791</v>
      </c>
      <c r="F279" s="24" t="s">
        <v>935</v>
      </c>
      <c r="G279" s="90" t="s">
        <v>85</v>
      </c>
      <c r="H279" s="90" t="s">
        <v>132</v>
      </c>
      <c r="I279" s="90">
        <v>93</v>
      </c>
      <c r="J279" s="90">
        <v>157</v>
      </c>
      <c r="K279" s="90" t="s">
        <v>85</v>
      </c>
      <c r="L279" s="90" t="s">
        <v>936</v>
      </c>
      <c r="M279" s="90" t="s">
        <v>119</v>
      </c>
      <c r="N279" s="24" t="s">
        <v>410</v>
      </c>
      <c r="O279" s="24" t="str">
        <f>IF(ISNUMBER(SEARCH("Cancer",N279)),"Cancer",IF(ISNUMBER(SEARCH("health",N279)),"Public health",IF(ISNUMBER(SEARCH("disabilities",N279)),"Disabilities","Other")))</f>
        <v>Public health</v>
      </c>
      <c r="P279" s="126">
        <v>2644688</v>
      </c>
      <c r="Q279" s="90" t="s">
        <v>85</v>
      </c>
      <c r="R279" s="90" t="str">
        <f>IF(P279&gt;20000000,"B","A")</f>
        <v>A</v>
      </c>
      <c r="S279" s="90" t="s">
        <v>90</v>
      </c>
      <c r="T279" s="90" t="s">
        <v>119</v>
      </c>
      <c r="U279" s="90" t="s">
        <v>119</v>
      </c>
      <c r="V279" s="90" t="s">
        <v>119</v>
      </c>
      <c r="W279" s="90" t="s">
        <v>119</v>
      </c>
      <c r="X279" s="90" t="s">
        <v>119</v>
      </c>
      <c r="Y279" s="90" t="s">
        <v>119</v>
      </c>
      <c r="Z279" s="90" t="s">
        <v>119</v>
      </c>
      <c r="AA279" s="90" t="s">
        <v>119</v>
      </c>
      <c r="AB279" s="90" t="s">
        <v>119</v>
      </c>
      <c r="AC279" s="90" t="s">
        <v>119</v>
      </c>
      <c r="AD279" s="90" t="s">
        <v>119</v>
      </c>
      <c r="AE279" s="24">
        <v>0</v>
      </c>
      <c r="AF279" s="90">
        <v>0</v>
      </c>
      <c r="AG279" s="24">
        <v>0</v>
      </c>
      <c r="AH279" s="90">
        <v>88429</v>
      </c>
      <c r="AI279" s="24" t="s">
        <v>269</v>
      </c>
      <c r="AJ279" s="24" t="s">
        <v>939</v>
      </c>
      <c r="AK279" s="90" t="s">
        <v>85</v>
      </c>
      <c r="AL279" s="90">
        <v>194736</v>
      </c>
      <c r="AM279" s="90" t="s">
        <v>81</v>
      </c>
      <c r="AN279" s="90" t="s">
        <v>934</v>
      </c>
      <c r="AO279" s="125" t="s">
        <v>791</v>
      </c>
      <c r="AP279" s="24" t="s">
        <v>410</v>
      </c>
      <c r="AQ279" s="90" t="s">
        <v>936</v>
      </c>
      <c r="AR279" s="24" t="s">
        <v>410</v>
      </c>
      <c r="AS279" s="90" t="s">
        <v>119</v>
      </c>
      <c r="AT279" s="24" t="s">
        <v>269</v>
      </c>
      <c r="AU279" s="90" t="s">
        <v>119</v>
      </c>
      <c r="AV279" s="90" t="str">
        <f>IF(ISNUMBER(SEARCH("disagree",AE279)),"N","Y")</f>
        <v>Y</v>
      </c>
      <c r="AW279" s="90" t="s">
        <v>119</v>
      </c>
      <c r="AX279" s="24" t="s">
        <v>119</v>
      </c>
      <c r="AY279" s="90" t="str">
        <f>CONCATENATE(AZ279,BA279,BB279,BC279)</f>
        <v/>
      </c>
      <c r="AZ279" s="90" t="str">
        <f>IF(ISNUMBER(SEARCH("Y",AC279)),"R","")</f>
        <v/>
      </c>
      <c r="BA279" s="90" t="str">
        <f>IF(ISNUMBER(SEARCH("Y",Y279)),"M","")</f>
        <v/>
      </c>
      <c r="BB279" s="90" t="str">
        <f>IF(ISNUMBER(SEARCH("Y",AB279)),"QC","")</f>
        <v/>
      </c>
      <c r="BC279" s="90" t="str">
        <f>IF(ISNUMBER(SEARCH("Y",Z279)),"S","")</f>
        <v/>
      </c>
      <c r="BD279" s="90"/>
      <c r="BE279" s="24" t="s">
        <v>119</v>
      </c>
      <c r="BF279" s="125" t="str">
        <f>IF(AND(AW279&gt;=56543,AW279&lt;=76543,LEN(AW279)&gt;0),"3 Feb 2020",IF(AND(AW279&gt;=66544,AW279&lt;=99999,LEN(AW279)&gt;0),"12 Sep 2020",""))</f>
        <v/>
      </c>
      <c r="BG279" s="125" t="str">
        <f>IF((AND(BF279="3 Feb 2020",LEN(BF279)&gt;0)),"Completed",IF((AND(BF279="12 Sep 2020",LEN(BF279)&gt;0)),"Pending",""))</f>
        <v/>
      </c>
      <c r="BH279" s="90" t="str">
        <f>IF((AND(BF279="3 Feb 2020",LEN(BF279)&gt;0)),"3 Feb 2020","")</f>
        <v/>
      </c>
      <c r="BI279" s="90">
        <v>194736</v>
      </c>
      <c r="BJ279" s="90" t="str">
        <f>L279</f>
        <v>9D29HT89201-84</v>
      </c>
      <c r="BK279" s="127">
        <v>43508</v>
      </c>
      <c r="BL279" s="127">
        <v>44239</v>
      </c>
      <c r="BM279" s="128">
        <f>P279*1.1</f>
        <v>2909156.8000000003</v>
      </c>
      <c r="BN279" s="129">
        <f>P279*0.9</f>
        <v>2380219.2000000002</v>
      </c>
      <c r="BO279" s="130">
        <f>P279*0.8</f>
        <v>2115750.4</v>
      </c>
      <c r="BP279" s="90">
        <f>IF(Z279="Y",BM279*0.4,BM279*1.05)</f>
        <v>3054614.6400000006</v>
      </c>
      <c r="BQ279" s="90">
        <f>BP279*0.8</f>
        <v>2443691.7120000008</v>
      </c>
      <c r="BR279" s="90" t="str">
        <f>IF(ISNUMBER(SEARCH("subrecipient",AI275)),P279*0.6,"")</f>
        <v/>
      </c>
      <c r="BS279" s="90">
        <v>194736</v>
      </c>
      <c r="BT279" s="90" t="str">
        <f>BJ279</f>
        <v>9D29HT89201-84</v>
      </c>
      <c r="BU279" s="127">
        <f>BK279</f>
        <v>43508</v>
      </c>
      <c r="BV279" s="127">
        <f>BL279</f>
        <v>44239</v>
      </c>
      <c r="BW279" s="90" t="str">
        <f>H279</f>
        <v>FDA</v>
      </c>
      <c r="BX279" s="90" t="str">
        <f>IF(H279="NATIONAL HEMOPHILIA FOUNDATION","Non Federal","Federal")</f>
        <v>Federal</v>
      </c>
      <c r="BY279" s="128">
        <f>BM279</f>
        <v>2909156.8000000003</v>
      </c>
      <c r="BZ279" s="90" t="str">
        <f>IF(LEN(BR279)&gt;0,1,"")</f>
        <v/>
      </c>
      <c r="CA279" s="90" t="str">
        <f>IF(LEN(BR279)&gt;0,"VIRAL HEPATITIS PROJECT","")</f>
        <v/>
      </c>
      <c r="CB279" s="129" t="str">
        <f>IF(LEN(BR279)&gt;0,BM279*0.7,"")</f>
        <v/>
      </c>
      <c r="CC279" s="90">
        <f>BP279</f>
        <v>3054614.6400000006</v>
      </c>
      <c r="CD279" s="90" t="str">
        <f>IF(LEN(BR279)&gt;0,"70%","")</f>
        <v/>
      </c>
      <c r="CE279" s="90">
        <f>BS279</f>
        <v>194736</v>
      </c>
      <c r="CF279" s="90" t="str">
        <f>CA279</f>
        <v/>
      </c>
      <c r="CG279" s="90"/>
      <c r="CH279" s="90"/>
      <c r="CI279" s="90"/>
      <c r="CJ279" s="90"/>
      <c r="CK279" s="90"/>
      <c r="CL279" s="90"/>
      <c r="CM279" s="90"/>
      <c r="CN279" s="90"/>
      <c r="CO279" s="90"/>
      <c r="CP279" s="90"/>
      <c r="CQ279" s="90"/>
      <c r="CR279" s="90"/>
      <c r="CS279" s="90"/>
      <c r="CT279" s="137"/>
    </row>
    <row r="280" spans="1:98" ht="105">
      <c r="A280" s="89">
        <v>195164</v>
      </c>
      <c r="B280" s="90">
        <v>2020</v>
      </c>
      <c r="C280" s="90" t="s">
        <v>81</v>
      </c>
      <c r="D280" s="90" t="s">
        <v>940</v>
      </c>
      <c r="E280" s="125" t="s">
        <v>793</v>
      </c>
      <c r="F280" s="24" t="s">
        <v>941</v>
      </c>
      <c r="G280" s="90" t="s">
        <v>85</v>
      </c>
      <c r="H280" s="90" t="s">
        <v>150</v>
      </c>
      <c r="I280" s="90">
        <v>93</v>
      </c>
      <c r="J280" s="90">
        <v>157</v>
      </c>
      <c r="K280" s="90" t="s">
        <v>85</v>
      </c>
      <c r="L280" s="90" t="s">
        <v>942</v>
      </c>
      <c r="M280" s="90" t="s">
        <v>119</v>
      </c>
      <c r="N280" s="24" t="s">
        <v>943</v>
      </c>
      <c r="O280" s="24" t="str">
        <f>IF(ISNUMBER(SEARCH("Cancer",N280)),"Cancer",IF(ISNUMBER(SEARCH("health",N280)),"Public health",IF(ISNUMBER(SEARCH("disabilities",N280)),"Disabilities","Other")))</f>
        <v>Public health</v>
      </c>
      <c r="P280" s="126">
        <v>2908019</v>
      </c>
      <c r="Q280" s="90" t="s">
        <v>85</v>
      </c>
      <c r="R280" s="90" t="str">
        <f>IF(P280&gt;20000000,"B","A")</f>
        <v>A</v>
      </c>
      <c r="S280" s="90" t="s">
        <v>90</v>
      </c>
      <c r="T280" s="90" t="s">
        <v>119</v>
      </c>
      <c r="U280" s="90" t="s">
        <v>119</v>
      </c>
      <c r="V280" s="90" t="s">
        <v>119</v>
      </c>
      <c r="W280" s="90" t="s">
        <v>119</v>
      </c>
      <c r="X280" s="90" t="s">
        <v>119</v>
      </c>
      <c r="Y280" s="90" t="s">
        <v>119</v>
      </c>
      <c r="Z280" s="90" t="s">
        <v>119</v>
      </c>
      <c r="AA280" s="90" t="s">
        <v>119</v>
      </c>
      <c r="AB280" s="90" t="s">
        <v>119</v>
      </c>
      <c r="AC280" s="90" t="s">
        <v>119</v>
      </c>
      <c r="AD280" s="90" t="s">
        <v>119</v>
      </c>
      <c r="AE280" s="24">
        <v>0</v>
      </c>
      <c r="AF280" s="90">
        <v>0</v>
      </c>
      <c r="AG280" s="24">
        <v>0</v>
      </c>
      <c r="AH280" s="90">
        <v>84862</v>
      </c>
      <c r="AI280" s="24" t="s">
        <v>94</v>
      </c>
      <c r="AJ280" s="24" t="s">
        <v>944</v>
      </c>
      <c r="AK280" s="90" t="s">
        <v>85</v>
      </c>
      <c r="AL280" s="90">
        <v>195164</v>
      </c>
      <c r="AM280" s="90" t="s">
        <v>81</v>
      </c>
      <c r="AN280" s="90" t="s">
        <v>940</v>
      </c>
      <c r="AO280" s="125" t="s">
        <v>793</v>
      </c>
      <c r="AP280" s="24" t="s">
        <v>943</v>
      </c>
      <c r="AQ280" s="90" t="s">
        <v>942</v>
      </c>
      <c r="AR280" s="24" t="s">
        <v>943</v>
      </c>
      <c r="AS280" s="90" t="s">
        <v>119</v>
      </c>
      <c r="AT280" s="24" t="s">
        <v>94</v>
      </c>
      <c r="AU280" s="90" t="s">
        <v>119</v>
      </c>
      <c r="AV280" s="90" t="str">
        <f>IF(ISNUMBER(SEARCH("disagree",AE280)),"N","Y")</f>
        <v>Y</v>
      </c>
      <c r="AW280" s="90" t="s">
        <v>119</v>
      </c>
      <c r="AX280" s="24" t="s">
        <v>119</v>
      </c>
      <c r="AY280" s="90" t="str">
        <f>CONCATENATE(AZ280,BA280,BB280,BC280)</f>
        <v/>
      </c>
      <c r="AZ280" s="90" t="str">
        <f>IF(ISNUMBER(SEARCH("Y",AC280)),"R","")</f>
        <v/>
      </c>
      <c r="BA280" s="90" t="str">
        <f>IF(ISNUMBER(SEARCH("Y",Y280)),"M","")</f>
        <v/>
      </c>
      <c r="BB280" s="90" t="str">
        <f>IF(ISNUMBER(SEARCH("Y",AB280)),"QC","")</f>
        <v/>
      </c>
      <c r="BC280" s="90" t="str">
        <f>IF(ISNUMBER(SEARCH("Y",Z280)),"S","")</f>
        <v/>
      </c>
      <c r="BD280" s="90"/>
      <c r="BE280" s="24" t="s">
        <v>119</v>
      </c>
      <c r="BF280" s="125" t="str">
        <f>IF(AND(AW280&gt;=56543,AW280&lt;=76543,LEN(AW280)&gt;0),"3 Feb 2020",IF(AND(AW280&gt;=66544,AW280&lt;=99999,LEN(AW280)&gt;0),"12 Sep 2020",""))</f>
        <v/>
      </c>
      <c r="BG280" s="125" t="str">
        <f>IF((AND(BF280="3 Feb 2020",LEN(BF280)&gt;0)),"Completed",IF((AND(BF280="12 Sep 2020",LEN(BF280)&gt;0)),"Pending",""))</f>
        <v/>
      </c>
      <c r="BH280" s="90" t="str">
        <f>IF((AND(BF280="3 Feb 2020",LEN(BF280)&gt;0)),"3 Feb 2020","")</f>
        <v/>
      </c>
      <c r="BI280" s="90">
        <v>195164</v>
      </c>
      <c r="BJ280" s="90" t="str">
        <f>L280</f>
        <v>6D95DT89175-88</v>
      </c>
      <c r="BK280" s="127">
        <v>43508</v>
      </c>
      <c r="BL280" s="127">
        <v>44239</v>
      </c>
      <c r="BM280" s="128">
        <f>P280*1.1</f>
        <v>3198820.9000000004</v>
      </c>
      <c r="BN280" s="129">
        <f>P280*0.9</f>
        <v>2617217.1</v>
      </c>
      <c r="BO280" s="130">
        <f>P280*0.8</f>
        <v>2326415.2000000002</v>
      </c>
      <c r="BP280" s="90">
        <f>IF(Z280="Y",BM280*0.4,BM280*1.05)</f>
        <v>3358761.9450000008</v>
      </c>
      <c r="BQ280" s="90">
        <f>BP280*0.8</f>
        <v>2687009.5560000008</v>
      </c>
      <c r="BR280" s="90" t="str">
        <f>IF(ISNUMBER(SEARCH("subrecipient",AI276)),P280*0.6,"")</f>
        <v/>
      </c>
      <c r="BS280" s="90">
        <v>195164</v>
      </c>
      <c r="BT280" s="90" t="str">
        <f>BJ280</f>
        <v>6D95DT89175-88</v>
      </c>
      <c r="BU280" s="127">
        <f>BK280</f>
        <v>43508</v>
      </c>
      <c r="BV280" s="127">
        <f>BL280</f>
        <v>44239</v>
      </c>
      <c r="BW280" s="90" t="str">
        <f>H280</f>
        <v>ACF</v>
      </c>
      <c r="BX280" s="90" t="str">
        <f>IF(H280="NATIONAL HEMOPHILIA FOUNDATION","Non Federal","Federal")</f>
        <v>Federal</v>
      </c>
      <c r="BY280" s="128">
        <f>BM280</f>
        <v>3198820.9000000004</v>
      </c>
      <c r="BZ280" s="90" t="str">
        <f>IF(LEN(BR280)&gt;0,1,"")</f>
        <v/>
      </c>
      <c r="CA280" s="90" t="str">
        <f>IF(LEN(BR280)&gt;0,"VIRAL HEPATITIS PROJECT","")</f>
        <v/>
      </c>
      <c r="CB280" s="129" t="str">
        <f>IF(LEN(BR280)&gt;0,BM280*0.7,"")</f>
        <v/>
      </c>
      <c r="CC280" s="90">
        <f>BP280</f>
        <v>3358761.9450000008</v>
      </c>
      <c r="CD280" s="90" t="str">
        <f>IF(LEN(BR280)&gt;0,"70%","")</f>
        <v/>
      </c>
      <c r="CE280" s="90">
        <f>BS280</f>
        <v>195164</v>
      </c>
      <c r="CF280" s="90" t="str">
        <f>CA280</f>
        <v/>
      </c>
      <c r="CG280" s="90"/>
      <c r="CH280" s="90"/>
      <c r="CI280" s="90"/>
      <c r="CJ280" s="90"/>
      <c r="CK280" s="90"/>
      <c r="CL280" s="90"/>
      <c r="CM280" s="90"/>
      <c r="CN280" s="90"/>
      <c r="CO280" s="90"/>
      <c r="CP280" s="90"/>
      <c r="CQ280" s="90"/>
      <c r="CR280" s="90"/>
      <c r="CS280" s="90"/>
      <c r="CT280" s="137"/>
    </row>
    <row r="281" spans="1:98" ht="105">
      <c r="A281" s="89">
        <v>195164</v>
      </c>
      <c r="B281" s="90">
        <v>2020</v>
      </c>
      <c r="C281" s="90" t="s">
        <v>81</v>
      </c>
      <c r="D281" s="90" t="s">
        <v>940</v>
      </c>
      <c r="E281" s="125" t="s">
        <v>780</v>
      </c>
      <c r="F281" s="24" t="s">
        <v>941</v>
      </c>
      <c r="G281" s="90" t="s">
        <v>85</v>
      </c>
      <c r="H281" s="90" t="s">
        <v>150</v>
      </c>
      <c r="I281" s="90">
        <v>93</v>
      </c>
      <c r="J281" s="90">
        <v>157</v>
      </c>
      <c r="K281" s="90" t="s">
        <v>85</v>
      </c>
      <c r="L281" s="90" t="s">
        <v>942</v>
      </c>
      <c r="M281" s="90" t="s">
        <v>119</v>
      </c>
      <c r="N281" s="24" t="s">
        <v>943</v>
      </c>
      <c r="O281" s="24" t="str">
        <f>IF(ISNUMBER(SEARCH("Cancer",N281)),"Cancer",IF(ISNUMBER(SEARCH("health",N281)),"Public health",IF(ISNUMBER(SEARCH("disabilities",N281)),"Disabilities","Other")))</f>
        <v>Public health</v>
      </c>
      <c r="P281" s="126">
        <v>2908019</v>
      </c>
      <c r="Q281" s="90" t="s">
        <v>85</v>
      </c>
      <c r="R281" s="90" t="str">
        <f>IF(P281&gt;20000000,"B","A")</f>
        <v>A</v>
      </c>
      <c r="S281" s="90" t="s">
        <v>90</v>
      </c>
      <c r="T281" s="90" t="s">
        <v>119</v>
      </c>
      <c r="U281" s="90" t="s">
        <v>119</v>
      </c>
      <c r="V281" s="90" t="s">
        <v>119</v>
      </c>
      <c r="W281" s="90" t="s">
        <v>119</v>
      </c>
      <c r="X281" s="90" t="s">
        <v>119</v>
      </c>
      <c r="Y281" s="90" t="s">
        <v>119</v>
      </c>
      <c r="Z281" s="90" t="s">
        <v>119</v>
      </c>
      <c r="AA281" s="90" t="s">
        <v>119</v>
      </c>
      <c r="AB281" s="90" t="s">
        <v>119</v>
      </c>
      <c r="AC281" s="90" t="s">
        <v>119</v>
      </c>
      <c r="AD281" s="90" t="s">
        <v>119</v>
      </c>
      <c r="AE281" s="24">
        <v>0</v>
      </c>
      <c r="AF281" s="90">
        <v>0</v>
      </c>
      <c r="AG281" s="24">
        <v>0</v>
      </c>
      <c r="AH281" s="90">
        <v>84863</v>
      </c>
      <c r="AI281" s="24" t="s">
        <v>102</v>
      </c>
      <c r="AJ281" s="24" t="s">
        <v>103</v>
      </c>
      <c r="AK281" s="90" t="s">
        <v>85</v>
      </c>
      <c r="AL281" s="90">
        <v>195164</v>
      </c>
      <c r="AM281" s="90" t="s">
        <v>81</v>
      </c>
      <c r="AN281" s="90" t="s">
        <v>940</v>
      </c>
      <c r="AO281" s="125" t="s">
        <v>780</v>
      </c>
      <c r="AP281" s="24" t="s">
        <v>943</v>
      </c>
      <c r="AQ281" s="90" t="s">
        <v>942</v>
      </c>
      <c r="AR281" s="24" t="s">
        <v>943</v>
      </c>
      <c r="AS281" s="90" t="s">
        <v>119</v>
      </c>
      <c r="AT281" s="24" t="s">
        <v>102</v>
      </c>
      <c r="AU281" s="90" t="s">
        <v>119</v>
      </c>
      <c r="AV281" s="90" t="str">
        <f>IF(ISNUMBER(SEARCH("disagree",AE281)),"N","Y")</f>
        <v>Y</v>
      </c>
      <c r="AW281" s="90" t="s">
        <v>119</v>
      </c>
      <c r="AX281" s="24" t="s">
        <v>119</v>
      </c>
      <c r="AY281" s="90" t="str">
        <f>CONCATENATE(AZ281,BA281,BB281,BC281)</f>
        <v/>
      </c>
      <c r="AZ281" s="90" t="str">
        <f>IF(ISNUMBER(SEARCH("Y",AC281)),"R","")</f>
        <v/>
      </c>
      <c r="BA281" s="90" t="str">
        <f>IF(ISNUMBER(SEARCH("Y",Y281)),"M","")</f>
        <v/>
      </c>
      <c r="BB281" s="90" t="str">
        <f>IF(ISNUMBER(SEARCH("Y",AB281)),"QC","")</f>
        <v/>
      </c>
      <c r="BC281" s="90" t="str">
        <f>IF(ISNUMBER(SEARCH("Y",Z281)),"S","")</f>
        <v/>
      </c>
      <c r="BD281" s="90"/>
      <c r="BE281" s="24" t="s">
        <v>119</v>
      </c>
      <c r="BF281" s="125" t="str">
        <f>IF(AND(AW281&gt;=56543,AW281&lt;=76543,LEN(AW281)&gt;0),"3 Feb 2020",IF(AND(AW281&gt;=66544,AW281&lt;=99999,LEN(AW281)&gt;0),"12 Sep 2020",""))</f>
        <v/>
      </c>
      <c r="BG281" s="125" t="str">
        <f>IF((AND(BF281="3 Feb 2020",LEN(BF281)&gt;0)),"Completed",IF((AND(BF281="12 Sep 2020",LEN(BF281)&gt;0)),"Pending",""))</f>
        <v/>
      </c>
      <c r="BH281" s="90" t="str">
        <f>IF((AND(BF281="3 Feb 2020",LEN(BF281)&gt;0)),"3 Feb 2020","")</f>
        <v/>
      </c>
      <c r="BI281" s="90">
        <v>195164</v>
      </c>
      <c r="BJ281" s="90" t="str">
        <f>L281</f>
        <v>6D95DT89175-88</v>
      </c>
      <c r="BK281" s="127">
        <v>43508</v>
      </c>
      <c r="BL281" s="127">
        <v>44239</v>
      </c>
      <c r="BM281" s="128">
        <f>P281*1.1</f>
        <v>3198820.9000000004</v>
      </c>
      <c r="BN281" s="129">
        <f>P281*0.9</f>
        <v>2617217.1</v>
      </c>
      <c r="BO281" s="130">
        <f>P281*0.8</f>
        <v>2326415.2000000002</v>
      </c>
      <c r="BP281" s="90">
        <f>IF(Z281="Y",BM281*0.4,BM281*1.05)</f>
        <v>3358761.9450000008</v>
      </c>
      <c r="BQ281" s="90">
        <f>BP281*0.8</f>
        <v>2687009.5560000008</v>
      </c>
      <c r="BR281" s="90" t="str">
        <f>IF(ISNUMBER(SEARCH("subrecipient",AI277)),P281*0.6,"")</f>
        <v/>
      </c>
      <c r="BS281" s="90">
        <v>195164</v>
      </c>
      <c r="BT281" s="90" t="str">
        <f>BJ281</f>
        <v>6D95DT89175-88</v>
      </c>
      <c r="BU281" s="127">
        <f>BK281</f>
        <v>43508</v>
      </c>
      <c r="BV281" s="127">
        <f>BL281</f>
        <v>44239</v>
      </c>
      <c r="BW281" s="90" t="str">
        <f>H281</f>
        <v>ACF</v>
      </c>
      <c r="BX281" s="90" t="str">
        <f>IF(H281="NATIONAL HEMOPHILIA FOUNDATION","Non Federal","Federal")</f>
        <v>Federal</v>
      </c>
      <c r="BY281" s="128">
        <f>BM281</f>
        <v>3198820.9000000004</v>
      </c>
      <c r="BZ281" s="90" t="str">
        <f>IF(LEN(BR281)&gt;0,1,"")</f>
        <v/>
      </c>
      <c r="CA281" s="90" t="str">
        <f>IF(LEN(BR281)&gt;0,"VIRAL HEPATITIS PROJECT","")</f>
        <v/>
      </c>
      <c r="CB281" s="129" t="str">
        <f>IF(LEN(BR281)&gt;0,BM281*0.7,"")</f>
        <v/>
      </c>
      <c r="CC281" s="90">
        <f>BP281</f>
        <v>3358761.9450000008</v>
      </c>
      <c r="CD281" s="90" t="str">
        <f>IF(LEN(BR281)&gt;0,"70%","")</f>
        <v/>
      </c>
      <c r="CE281" s="90">
        <f>BS281</f>
        <v>195164</v>
      </c>
      <c r="CF281" s="90" t="str">
        <f>CA281</f>
        <v/>
      </c>
      <c r="CG281" s="90"/>
      <c r="CH281" s="90"/>
      <c r="CI281" s="90"/>
      <c r="CJ281" s="90"/>
      <c r="CK281" s="90"/>
      <c r="CL281" s="90"/>
      <c r="CM281" s="90"/>
      <c r="CN281" s="90"/>
      <c r="CO281" s="90"/>
      <c r="CP281" s="90"/>
      <c r="CQ281" s="90"/>
      <c r="CR281" s="90"/>
      <c r="CS281" s="90"/>
      <c r="CT281" s="137"/>
    </row>
    <row r="282" spans="1:98" ht="90">
      <c r="A282" s="89">
        <v>195480</v>
      </c>
      <c r="B282" s="90">
        <v>2020</v>
      </c>
      <c r="C282" s="90" t="s">
        <v>81</v>
      </c>
      <c r="D282" s="90" t="s">
        <v>945</v>
      </c>
      <c r="E282" s="125" t="s">
        <v>781</v>
      </c>
      <c r="F282" s="24" t="s">
        <v>946</v>
      </c>
      <c r="G282" s="90" t="s">
        <v>85</v>
      </c>
      <c r="H282" s="90" t="s">
        <v>86</v>
      </c>
      <c r="I282" s="90">
        <v>93</v>
      </c>
      <c r="J282" s="90">
        <v>157</v>
      </c>
      <c r="K282" s="90" t="s">
        <v>85</v>
      </c>
      <c r="L282" s="90" t="s">
        <v>947</v>
      </c>
      <c r="M282" s="90" t="s">
        <v>119</v>
      </c>
      <c r="N282" s="24" t="s">
        <v>948</v>
      </c>
      <c r="O282" s="24" t="str">
        <f>IF(ISNUMBER(SEARCH("Cancer",N282)),"Cancer",IF(ISNUMBER(SEARCH("health",N282)),"Public health",IF(ISNUMBER(SEARCH("disabilities",N282)),"Disabilities","Other")))</f>
        <v>Public health</v>
      </c>
      <c r="P282" s="126">
        <v>2560407</v>
      </c>
      <c r="Q282" s="90" t="s">
        <v>85</v>
      </c>
      <c r="R282" s="90" t="str">
        <f>IF(P282&gt;20000000,"B","A")</f>
        <v>A</v>
      </c>
      <c r="S282" s="90" t="s">
        <v>90</v>
      </c>
      <c r="T282" s="90" t="s">
        <v>119</v>
      </c>
      <c r="U282" s="90" t="s">
        <v>119</v>
      </c>
      <c r="V282" s="90" t="s">
        <v>119</v>
      </c>
      <c r="W282" s="90" t="s">
        <v>119</v>
      </c>
      <c r="X282" s="90" t="s">
        <v>119</v>
      </c>
      <c r="Y282" s="90" t="s">
        <v>119</v>
      </c>
      <c r="Z282" s="90" t="s">
        <v>119</v>
      </c>
      <c r="AA282" s="90" t="s">
        <v>119</v>
      </c>
      <c r="AB282" s="90" t="s">
        <v>119</v>
      </c>
      <c r="AC282" s="90" t="s">
        <v>119</v>
      </c>
      <c r="AD282" s="90" t="s">
        <v>119</v>
      </c>
      <c r="AE282" s="24">
        <v>0</v>
      </c>
      <c r="AF282" s="90">
        <v>0</v>
      </c>
      <c r="AG282" s="24">
        <v>0</v>
      </c>
      <c r="AH282" s="90">
        <v>87455</v>
      </c>
      <c r="AI282" s="24" t="s">
        <v>94</v>
      </c>
      <c r="AJ282" s="24" t="s">
        <v>949</v>
      </c>
      <c r="AK282" s="90" t="s">
        <v>85</v>
      </c>
      <c r="AL282" s="90">
        <v>195480</v>
      </c>
      <c r="AM282" s="90" t="s">
        <v>81</v>
      </c>
      <c r="AN282" s="90" t="s">
        <v>945</v>
      </c>
      <c r="AO282" s="125" t="s">
        <v>781</v>
      </c>
      <c r="AP282" s="24" t="s">
        <v>948</v>
      </c>
      <c r="AQ282" s="90" t="s">
        <v>947</v>
      </c>
      <c r="AR282" s="24" t="s">
        <v>948</v>
      </c>
      <c r="AS282" s="90" t="s">
        <v>119</v>
      </c>
      <c r="AT282" s="24" t="s">
        <v>94</v>
      </c>
      <c r="AU282" s="90" t="s">
        <v>119</v>
      </c>
      <c r="AV282" s="90" t="str">
        <f>IF(ISNUMBER(SEARCH("disagree",AE282)),"N","Y")</f>
        <v>Y</v>
      </c>
      <c r="AW282" s="90" t="s">
        <v>119</v>
      </c>
      <c r="AX282" s="24" t="s">
        <v>119</v>
      </c>
      <c r="AY282" s="90" t="str">
        <f>CONCATENATE(AZ282,BA282,BB282,BC282)</f>
        <v/>
      </c>
      <c r="AZ282" s="90" t="str">
        <f>IF(ISNUMBER(SEARCH("Y",AC282)),"R","")</f>
        <v/>
      </c>
      <c r="BA282" s="90" t="str">
        <f>IF(ISNUMBER(SEARCH("Y",Y282)),"M","")</f>
        <v/>
      </c>
      <c r="BB282" s="90" t="str">
        <f>IF(ISNUMBER(SEARCH("Y",AB282)),"QC","")</f>
        <v/>
      </c>
      <c r="BC282" s="90" t="str">
        <f>IF(ISNUMBER(SEARCH("Y",Z282)),"S","")</f>
        <v/>
      </c>
      <c r="BD282" s="90"/>
      <c r="BE282" s="24" t="s">
        <v>119</v>
      </c>
      <c r="BF282" s="125" t="str">
        <f>IF(AND(AW282&gt;=56543,AW282&lt;=76543,LEN(AW282)&gt;0),"3 Feb 2020",IF(AND(AW282&gt;=66544,AW282&lt;=99999,LEN(AW282)&gt;0),"12 Sep 2020",""))</f>
        <v/>
      </c>
      <c r="BG282" s="125" t="str">
        <f>IF((AND(BF282="3 Feb 2020",LEN(BF282)&gt;0)),"Completed",IF((AND(BF282="12 Sep 2020",LEN(BF282)&gt;0)),"Pending",""))</f>
        <v/>
      </c>
      <c r="BH282" s="90" t="str">
        <f>IF((AND(BF282="3 Feb 2020",LEN(BF282)&gt;0)),"3 Feb 2020","")</f>
        <v/>
      </c>
      <c r="BI282" s="90">
        <v>195480</v>
      </c>
      <c r="BJ282" s="90" t="str">
        <f>L282</f>
        <v>2B71HR88428-22</v>
      </c>
      <c r="BK282" s="127">
        <v>43508</v>
      </c>
      <c r="BL282" s="127">
        <v>44239</v>
      </c>
      <c r="BM282" s="128">
        <f>P282*1.1</f>
        <v>2816447.7</v>
      </c>
      <c r="BN282" s="129">
        <f>P282*0.9</f>
        <v>2304366.3000000003</v>
      </c>
      <c r="BO282" s="130">
        <f>P282*0.8</f>
        <v>2048325.6</v>
      </c>
      <c r="BP282" s="90">
        <f>IF(Z282="Y",BM282*0.4,BM282*1.05)</f>
        <v>2957270.0850000004</v>
      </c>
      <c r="BQ282" s="90">
        <f>BP282*0.8</f>
        <v>2365816.0680000004</v>
      </c>
      <c r="BR282" s="90" t="str">
        <f>IF(ISNUMBER(SEARCH("subrecipient",AI278)),P282*0.6,"")</f>
        <v/>
      </c>
      <c r="BS282" s="90">
        <v>195480</v>
      </c>
      <c r="BT282" s="90" t="str">
        <f>BJ282</f>
        <v>2B71HR88428-22</v>
      </c>
      <c r="BU282" s="127">
        <f>BK282</f>
        <v>43508</v>
      </c>
      <c r="BV282" s="127">
        <f>BL282</f>
        <v>44239</v>
      </c>
      <c r="BW282" s="90" t="str">
        <f>H282</f>
        <v>CDC</v>
      </c>
      <c r="BX282" s="90" t="str">
        <f>IF(H282="NATIONAL HEMOPHILIA FOUNDATION","Non Federal","Federal")</f>
        <v>Federal</v>
      </c>
      <c r="BY282" s="128">
        <f>BM282</f>
        <v>2816447.7</v>
      </c>
      <c r="BZ282" s="90" t="str">
        <f>IF(LEN(BR282)&gt;0,1,"")</f>
        <v/>
      </c>
      <c r="CA282" s="90" t="str">
        <f>IF(LEN(BR282)&gt;0,"VIRAL HEPATITIS PROJECT","")</f>
        <v/>
      </c>
      <c r="CB282" s="129" t="str">
        <f>IF(LEN(BR282)&gt;0,BM282*0.7,"")</f>
        <v/>
      </c>
      <c r="CC282" s="90">
        <f>BP282</f>
        <v>2957270.0850000004</v>
      </c>
      <c r="CD282" s="90" t="str">
        <f>IF(LEN(BR282)&gt;0,"70%","")</f>
        <v/>
      </c>
      <c r="CE282" s="90">
        <f>BS282</f>
        <v>195480</v>
      </c>
      <c r="CF282" s="90" t="str">
        <f>CA282</f>
        <v/>
      </c>
      <c r="CG282" s="90"/>
      <c r="CH282" s="90"/>
      <c r="CI282" s="90"/>
      <c r="CJ282" s="90"/>
      <c r="CK282" s="90"/>
      <c r="CL282" s="90"/>
      <c r="CM282" s="90"/>
      <c r="CN282" s="90"/>
      <c r="CO282" s="90"/>
      <c r="CP282" s="90"/>
      <c r="CQ282" s="90"/>
      <c r="CR282" s="90"/>
      <c r="CS282" s="90"/>
      <c r="CT282" s="137"/>
    </row>
    <row r="283" spans="1:98" ht="75">
      <c r="A283" s="89">
        <v>195480</v>
      </c>
      <c r="B283" s="90">
        <v>2020</v>
      </c>
      <c r="C283" s="90" t="s">
        <v>81</v>
      </c>
      <c r="D283" s="90" t="s">
        <v>945</v>
      </c>
      <c r="E283" s="125" t="s">
        <v>784</v>
      </c>
      <c r="F283" s="24" t="s">
        <v>946</v>
      </c>
      <c r="G283" s="90" t="s">
        <v>85</v>
      </c>
      <c r="H283" s="90" t="s">
        <v>86</v>
      </c>
      <c r="I283" s="90">
        <v>93</v>
      </c>
      <c r="J283" s="90">
        <v>157</v>
      </c>
      <c r="K283" s="90" t="s">
        <v>85</v>
      </c>
      <c r="L283" s="90" t="s">
        <v>947</v>
      </c>
      <c r="M283" s="90" t="s">
        <v>119</v>
      </c>
      <c r="N283" s="24" t="s">
        <v>948</v>
      </c>
      <c r="O283" s="24" t="str">
        <f>IF(ISNUMBER(SEARCH("Cancer",N283)),"Cancer",IF(ISNUMBER(SEARCH("health",N283)),"Public health",IF(ISNUMBER(SEARCH("disabilities",N283)),"Disabilities","Other")))</f>
        <v>Public health</v>
      </c>
      <c r="P283" s="126">
        <v>2560407</v>
      </c>
      <c r="Q283" s="90" t="s">
        <v>85</v>
      </c>
      <c r="R283" s="90" t="str">
        <f>IF(P283&gt;20000000,"B","A")</f>
        <v>A</v>
      </c>
      <c r="S283" s="90" t="s">
        <v>90</v>
      </c>
      <c r="T283" s="90" t="s">
        <v>119</v>
      </c>
      <c r="U283" s="90" t="s">
        <v>119</v>
      </c>
      <c r="V283" s="90" t="s">
        <v>119</v>
      </c>
      <c r="W283" s="90" t="s">
        <v>119</v>
      </c>
      <c r="X283" s="90" t="s">
        <v>119</v>
      </c>
      <c r="Y283" s="90" t="s">
        <v>119</v>
      </c>
      <c r="Z283" s="90" t="s">
        <v>119</v>
      </c>
      <c r="AA283" s="90" t="s">
        <v>119</v>
      </c>
      <c r="AB283" s="90" t="s">
        <v>119</v>
      </c>
      <c r="AC283" s="90" t="s">
        <v>119</v>
      </c>
      <c r="AD283" s="90" t="s">
        <v>119</v>
      </c>
      <c r="AE283" s="24">
        <v>0</v>
      </c>
      <c r="AF283" s="90">
        <v>0</v>
      </c>
      <c r="AG283" s="24">
        <v>0</v>
      </c>
      <c r="AH283" s="90">
        <v>87454</v>
      </c>
      <c r="AI283" s="24" t="s">
        <v>102</v>
      </c>
      <c r="AJ283" s="24" t="s">
        <v>103</v>
      </c>
      <c r="AK283" s="90" t="s">
        <v>85</v>
      </c>
      <c r="AL283" s="90">
        <v>195480</v>
      </c>
      <c r="AM283" s="90" t="s">
        <v>81</v>
      </c>
      <c r="AN283" s="90" t="s">
        <v>945</v>
      </c>
      <c r="AO283" s="125" t="s">
        <v>784</v>
      </c>
      <c r="AP283" s="24" t="s">
        <v>948</v>
      </c>
      <c r="AQ283" s="90" t="s">
        <v>947</v>
      </c>
      <c r="AR283" s="24" t="s">
        <v>948</v>
      </c>
      <c r="AS283" s="90" t="s">
        <v>119</v>
      </c>
      <c r="AT283" s="24" t="s">
        <v>102</v>
      </c>
      <c r="AU283" s="90" t="s">
        <v>119</v>
      </c>
      <c r="AV283" s="90" t="str">
        <f>IF(ISNUMBER(SEARCH("disagree",AE283)),"N","Y")</f>
        <v>Y</v>
      </c>
      <c r="AW283" s="90" t="s">
        <v>119</v>
      </c>
      <c r="AX283" s="24" t="s">
        <v>119</v>
      </c>
      <c r="AY283" s="90" t="str">
        <f>CONCATENATE(AZ283,BA283,BB283,BC283)</f>
        <v/>
      </c>
      <c r="AZ283" s="90" t="str">
        <f>IF(ISNUMBER(SEARCH("Y",AC283)),"R","")</f>
        <v/>
      </c>
      <c r="BA283" s="90" t="str">
        <f>IF(ISNUMBER(SEARCH("Y",Y283)),"M","")</f>
        <v/>
      </c>
      <c r="BB283" s="90" t="str">
        <f>IF(ISNUMBER(SEARCH("Y",AB283)),"QC","")</f>
        <v/>
      </c>
      <c r="BC283" s="90" t="str">
        <f>IF(ISNUMBER(SEARCH("Y",Z283)),"S","")</f>
        <v/>
      </c>
      <c r="BD283" s="90"/>
      <c r="BE283" s="24" t="s">
        <v>119</v>
      </c>
      <c r="BF283" s="125" t="str">
        <f>IF(AND(AW283&gt;=56543,AW283&lt;=76543,LEN(AW283)&gt;0),"3 Feb 2020",IF(AND(AW283&gt;=66544,AW283&lt;=99999,LEN(AW283)&gt;0),"12 Sep 2020",""))</f>
        <v/>
      </c>
      <c r="BG283" s="125" t="str">
        <f>IF((AND(BF283="3 Feb 2020",LEN(BF283)&gt;0)),"Completed",IF((AND(BF283="12 Sep 2020",LEN(BF283)&gt;0)),"Pending",""))</f>
        <v/>
      </c>
      <c r="BH283" s="90" t="str">
        <f>IF((AND(BF283="3 Feb 2020",LEN(BF283)&gt;0)),"3 Feb 2020","")</f>
        <v/>
      </c>
      <c r="BI283" s="90">
        <v>195480</v>
      </c>
      <c r="BJ283" s="90" t="str">
        <f>L283</f>
        <v>2B71HR88428-22</v>
      </c>
      <c r="BK283" s="127">
        <v>43508</v>
      </c>
      <c r="BL283" s="127">
        <v>44239</v>
      </c>
      <c r="BM283" s="128">
        <f>P283*1.1</f>
        <v>2816447.7</v>
      </c>
      <c r="BN283" s="129">
        <f>P283*0.9</f>
        <v>2304366.3000000003</v>
      </c>
      <c r="BO283" s="130">
        <f>P283*0.8</f>
        <v>2048325.6</v>
      </c>
      <c r="BP283" s="90">
        <f>IF(Z283="Y",BM283*0.4,BM283*1.05)</f>
        <v>2957270.0850000004</v>
      </c>
      <c r="BQ283" s="90">
        <f>BP283*0.8</f>
        <v>2365816.0680000004</v>
      </c>
      <c r="BR283" s="90" t="str">
        <f>IF(ISNUMBER(SEARCH("subrecipient",AI279)),P283*0.6,"")</f>
        <v/>
      </c>
      <c r="BS283" s="90">
        <v>195480</v>
      </c>
      <c r="BT283" s="90" t="str">
        <f>BJ283</f>
        <v>2B71HR88428-22</v>
      </c>
      <c r="BU283" s="127">
        <f>BK283</f>
        <v>43508</v>
      </c>
      <c r="BV283" s="127">
        <f>BL283</f>
        <v>44239</v>
      </c>
      <c r="BW283" s="90" t="str">
        <f>H283</f>
        <v>CDC</v>
      </c>
      <c r="BX283" s="90" t="str">
        <f>IF(H283="NATIONAL HEMOPHILIA FOUNDATION","Non Federal","Federal")</f>
        <v>Federal</v>
      </c>
      <c r="BY283" s="128">
        <f>BM283</f>
        <v>2816447.7</v>
      </c>
      <c r="BZ283" s="90" t="str">
        <f>IF(LEN(BR283)&gt;0,1,"")</f>
        <v/>
      </c>
      <c r="CA283" s="90" t="str">
        <f>IF(LEN(BR283)&gt;0,"VIRAL HEPATITIS PROJECT","")</f>
        <v/>
      </c>
      <c r="CB283" s="129" t="str">
        <f>IF(LEN(BR283)&gt;0,BM283*0.7,"")</f>
        <v/>
      </c>
      <c r="CC283" s="90">
        <f>BP283</f>
        <v>2957270.0850000004</v>
      </c>
      <c r="CD283" s="90" t="str">
        <f>IF(LEN(BR283)&gt;0,"70%","")</f>
        <v/>
      </c>
      <c r="CE283" s="90">
        <f>BS283</f>
        <v>195480</v>
      </c>
      <c r="CF283" s="90" t="str">
        <f>CA283</f>
        <v/>
      </c>
      <c r="CG283" s="90"/>
      <c r="CH283" s="90"/>
      <c r="CI283" s="90"/>
      <c r="CJ283" s="90"/>
      <c r="CK283" s="90"/>
      <c r="CL283" s="90"/>
      <c r="CM283" s="90"/>
      <c r="CN283" s="90"/>
      <c r="CO283" s="90"/>
      <c r="CP283" s="90"/>
      <c r="CQ283" s="90"/>
      <c r="CR283" s="90"/>
      <c r="CS283" s="90"/>
      <c r="CT283" s="137"/>
    </row>
    <row r="284" spans="1:98" ht="75">
      <c r="A284" s="89">
        <v>195480</v>
      </c>
      <c r="B284" s="90">
        <v>2020</v>
      </c>
      <c r="C284" s="90" t="s">
        <v>81</v>
      </c>
      <c r="D284" s="90" t="s">
        <v>945</v>
      </c>
      <c r="E284" s="125" t="s">
        <v>790</v>
      </c>
      <c r="F284" s="24" t="s">
        <v>946</v>
      </c>
      <c r="G284" s="90" t="s">
        <v>85</v>
      </c>
      <c r="H284" s="90" t="s">
        <v>86</v>
      </c>
      <c r="I284" s="90">
        <v>93</v>
      </c>
      <c r="J284" s="90">
        <v>157</v>
      </c>
      <c r="K284" s="90" t="s">
        <v>85</v>
      </c>
      <c r="L284" s="90" t="s">
        <v>947</v>
      </c>
      <c r="M284" s="90" t="s">
        <v>119</v>
      </c>
      <c r="N284" s="24" t="s">
        <v>948</v>
      </c>
      <c r="O284" s="24" t="str">
        <f>IF(ISNUMBER(SEARCH("Cancer",N284)),"Cancer",IF(ISNUMBER(SEARCH("health",N284)),"Public health",IF(ISNUMBER(SEARCH("disabilities",N284)),"Disabilities","Other")))</f>
        <v>Public health</v>
      </c>
      <c r="P284" s="126">
        <v>2560407</v>
      </c>
      <c r="Q284" s="90" t="s">
        <v>85</v>
      </c>
      <c r="R284" s="90" t="str">
        <f>IF(P284&gt;20000000,"B","A")</f>
        <v>A</v>
      </c>
      <c r="S284" s="90" t="s">
        <v>90</v>
      </c>
      <c r="T284" s="90" t="s">
        <v>119</v>
      </c>
      <c r="U284" s="90" t="s">
        <v>119</v>
      </c>
      <c r="V284" s="90" t="s">
        <v>119</v>
      </c>
      <c r="W284" s="90" t="s">
        <v>119</v>
      </c>
      <c r="X284" s="90" t="s">
        <v>119</v>
      </c>
      <c r="Y284" s="90" t="s">
        <v>119</v>
      </c>
      <c r="Z284" s="90" t="s">
        <v>119</v>
      </c>
      <c r="AA284" s="90" t="s">
        <v>119</v>
      </c>
      <c r="AB284" s="90" t="s">
        <v>119</v>
      </c>
      <c r="AC284" s="90" t="s">
        <v>119</v>
      </c>
      <c r="AD284" s="90" t="s">
        <v>119</v>
      </c>
      <c r="AE284" s="24">
        <v>0</v>
      </c>
      <c r="AF284" s="90">
        <v>0</v>
      </c>
      <c r="AG284" s="24">
        <v>0</v>
      </c>
      <c r="AH284" s="90">
        <v>87456</v>
      </c>
      <c r="AI284" s="24" t="s">
        <v>110</v>
      </c>
      <c r="AJ284" s="24" t="s">
        <v>950</v>
      </c>
      <c r="AK284" s="90" t="s">
        <v>85</v>
      </c>
      <c r="AL284" s="90">
        <v>195480</v>
      </c>
      <c r="AM284" s="90" t="s">
        <v>81</v>
      </c>
      <c r="AN284" s="90" t="s">
        <v>945</v>
      </c>
      <c r="AO284" s="125" t="s">
        <v>790</v>
      </c>
      <c r="AP284" s="24" t="s">
        <v>948</v>
      </c>
      <c r="AQ284" s="90" t="s">
        <v>947</v>
      </c>
      <c r="AR284" s="24" t="s">
        <v>948</v>
      </c>
      <c r="AS284" s="90" t="s">
        <v>119</v>
      </c>
      <c r="AT284" s="24" t="s">
        <v>110</v>
      </c>
      <c r="AU284" s="90" t="s">
        <v>119</v>
      </c>
      <c r="AV284" s="90" t="str">
        <f>IF(ISNUMBER(SEARCH("disagree",AE284)),"N","Y")</f>
        <v>Y</v>
      </c>
      <c r="AW284" s="90" t="s">
        <v>119</v>
      </c>
      <c r="AX284" s="24" t="s">
        <v>119</v>
      </c>
      <c r="AY284" s="90" t="str">
        <f>CONCATENATE(AZ284,BA284,BB284,BC284)</f>
        <v/>
      </c>
      <c r="AZ284" s="90" t="str">
        <f>IF(ISNUMBER(SEARCH("Y",AC284)),"R","")</f>
        <v/>
      </c>
      <c r="BA284" s="90" t="str">
        <f>IF(ISNUMBER(SEARCH("Y",Y284)),"M","")</f>
        <v/>
      </c>
      <c r="BB284" s="90" t="str">
        <f>IF(ISNUMBER(SEARCH("Y",AB284)),"QC","")</f>
        <v/>
      </c>
      <c r="BC284" s="90" t="str">
        <f>IF(ISNUMBER(SEARCH("Y",Z284)),"S","")</f>
        <v/>
      </c>
      <c r="BD284" s="90"/>
      <c r="BE284" s="24" t="s">
        <v>119</v>
      </c>
      <c r="BF284" s="125" t="str">
        <f>IF(AND(AW284&gt;=56543,AW284&lt;=76543,LEN(AW284)&gt;0),"3 Feb 2020",IF(AND(AW284&gt;=66544,AW284&lt;=99999,LEN(AW284)&gt;0),"12 Sep 2020",""))</f>
        <v/>
      </c>
      <c r="BG284" s="125" t="str">
        <f>IF((AND(BF284="3 Feb 2020",LEN(BF284)&gt;0)),"Completed",IF((AND(BF284="12 Sep 2020",LEN(BF284)&gt;0)),"Pending",""))</f>
        <v/>
      </c>
      <c r="BH284" s="90" t="str">
        <f>IF((AND(BF284="3 Feb 2020",LEN(BF284)&gt;0)),"3 Feb 2020","")</f>
        <v/>
      </c>
      <c r="BI284" s="90">
        <v>195480</v>
      </c>
      <c r="BJ284" s="90" t="str">
        <f>L284</f>
        <v>2B71HR88428-22</v>
      </c>
      <c r="BK284" s="127">
        <v>43508</v>
      </c>
      <c r="BL284" s="127">
        <v>44239</v>
      </c>
      <c r="BM284" s="128">
        <f>P284*1.1</f>
        <v>2816447.7</v>
      </c>
      <c r="BN284" s="129">
        <f>P284*0.9</f>
        <v>2304366.3000000003</v>
      </c>
      <c r="BO284" s="130">
        <f>P284*0.8</f>
        <v>2048325.6</v>
      </c>
      <c r="BP284" s="90">
        <f>IF(Z284="Y",BM284*0.4,BM284*1.05)</f>
        <v>2957270.0850000004</v>
      </c>
      <c r="BQ284" s="90">
        <f>BP284*0.8</f>
        <v>2365816.0680000004</v>
      </c>
      <c r="BR284" s="90" t="str">
        <f>IF(ISNUMBER(SEARCH("subrecipient",AI280)),P284*0.6,"")</f>
        <v/>
      </c>
      <c r="BS284" s="90">
        <v>195480</v>
      </c>
      <c r="BT284" s="90" t="str">
        <f>BJ284</f>
        <v>2B71HR88428-22</v>
      </c>
      <c r="BU284" s="127">
        <f>BK284</f>
        <v>43508</v>
      </c>
      <c r="BV284" s="127">
        <f>BL284</f>
        <v>44239</v>
      </c>
      <c r="BW284" s="90" t="str">
        <f>H284</f>
        <v>CDC</v>
      </c>
      <c r="BX284" s="90" t="str">
        <f>IF(H284="NATIONAL HEMOPHILIA FOUNDATION","Non Federal","Federal")</f>
        <v>Federal</v>
      </c>
      <c r="BY284" s="128">
        <f>BM284</f>
        <v>2816447.7</v>
      </c>
      <c r="BZ284" s="90" t="str">
        <f>IF(LEN(BR284)&gt;0,1,"")</f>
        <v/>
      </c>
      <c r="CA284" s="90" t="str">
        <f>IF(LEN(BR284)&gt;0,"VIRAL HEPATITIS PROJECT","")</f>
        <v/>
      </c>
      <c r="CB284" s="129" t="str">
        <f>IF(LEN(BR284)&gt;0,BM284*0.7,"")</f>
        <v/>
      </c>
      <c r="CC284" s="90">
        <f>BP284</f>
        <v>2957270.0850000004</v>
      </c>
      <c r="CD284" s="90" t="str">
        <f>IF(LEN(BR284)&gt;0,"70%","")</f>
        <v/>
      </c>
      <c r="CE284" s="90">
        <f>BS284</f>
        <v>195480</v>
      </c>
      <c r="CF284" s="90" t="str">
        <f>CA284</f>
        <v/>
      </c>
      <c r="CG284" s="90"/>
      <c r="CH284" s="90"/>
      <c r="CI284" s="90"/>
      <c r="CJ284" s="90"/>
      <c r="CK284" s="90"/>
      <c r="CL284" s="90"/>
      <c r="CM284" s="90"/>
      <c r="CN284" s="90"/>
      <c r="CO284" s="90"/>
      <c r="CP284" s="90"/>
      <c r="CQ284" s="90"/>
      <c r="CR284" s="90"/>
      <c r="CS284" s="90"/>
      <c r="CT284" s="137"/>
    </row>
    <row r="285" spans="1:98" ht="180">
      <c r="A285" s="89">
        <v>196310</v>
      </c>
      <c r="B285" s="90">
        <v>2020</v>
      </c>
      <c r="C285" s="90" t="s">
        <v>81</v>
      </c>
      <c r="D285" s="90" t="s">
        <v>951</v>
      </c>
      <c r="E285" s="125" t="s">
        <v>791</v>
      </c>
      <c r="F285" s="24" t="s">
        <v>952</v>
      </c>
      <c r="G285" s="90" t="s">
        <v>85</v>
      </c>
      <c r="H285" s="90" t="s">
        <v>117</v>
      </c>
      <c r="I285" s="90">
        <v>93</v>
      </c>
      <c r="J285" s="90">
        <v>157</v>
      </c>
      <c r="K285" s="90" t="s">
        <v>85</v>
      </c>
      <c r="L285" s="90" t="s">
        <v>953</v>
      </c>
      <c r="M285" s="90" t="s">
        <v>85</v>
      </c>
      <c r="N285" s="24" t="s">
        <v>914</v>
      </c>
      <c r="O285" s="24" t="str">
        <f>IF(ISNUMBER(SEARCH("Cancer",N285)),"Cancer",IF(ISNUMBER(SEARCH("health",N285)),"Public health",IF(ISNUMBER(SEARCH("disabilities",N285)),"Disabilities","Other")))</f>
        <v>Other</v>
      </c>
      <c r="P285" s="126">
        <v>2852728</v>
      </c>
      <c r="Q285" s="90" t="s">
        <v>87</v>
      </c>
      <c r="R285" s="90" t="str">
        <f>IF(P285&gt;20000000,"B","A")</f>
        <v>A</v>
      </c>
      <c r="S285" s="90" t="s">
        <v>90</v>
      </c>
      <c r="T285" s="90">
        <v>2576126</v>
      </c>
      <c r="U285" s="90" t="s">
        <v>91</v>
      </c>
      <c r="V285" s="90" t="s">
        <v>954</v>
      </c>
      <c r="W285" s="90" t="s">
        <v>85</v>
      </c>
      <c r="X285" s="90" t="s">
        <v>87</v>
      </c>
      <c r="Y285" s="90" t="s">
        <v>85</v>
      </c>
      <c r="Z285" s="90" t="s">
        <v>85</v>
      </c>
      <c r="AA285" s="90" t="s">
        <v>85</v>
      </c>
      <c r="AB285" s="90" t="s">
        <v>87</v>
      </c>
      <c r="AC285" s="90" t="s">
        <v>87</v>
      </c>
      <c r="AD285" s="90" t="s">
        <v>457</v>
      </c>
      <c r="AE285" s="24" t="s">
        <v>955</v>
      </c>
      <c r="AF285" s="90" t="s">
        <v>91</v>
      </c>
      <c r="AG285" s="24" t="s">
        <v>956</v>
      </c>
      <c r="AH285" s="90">
        <v>89006</v>
      </c>
      <c r="AI285" s="24" t="s">
        <v>94</v>
      </c>
      <c r="AJ285" s="24" t="s">
        <v>957</v>
      </c>
      <c r="AK285" s="90" t="s">
        <v>87</v>
      </c>
      <c r="AL285" s="90">
        <v>196310</v>
      </c>
      <c r="AM285" s="90" t="s">
        <v>81</v>
      </c>
      <c r="AN285" s="90" t="s">
        <v>951</v>
      </c>
      <c r="AO285" s="125" t="s">
        <v>791</v>
      </c>
      <c r="AP285" s="24" t="s">
        <v>914</v>
      </c>
      <c r="AQ285" s="90" t="s">
        <v>953</v>
      </c>
      <c r="AR285" s="24" t="s">
        <v>914</v>
      </c>
      <c r="AS285" s="90">
        <v>2576126</v>
      </c>
      <c r="AT285" s="24" t="s">
        <v>94</v>
      </c>
      <c r="AU285" s="90" t="s">
        <v>954</v>
      </c>
      <c r="AV285" s="90" t="str">
        <f>IF(ISNUMBER(SEARCH("disagree",AE285)),"N","Y")</f>
        <v>Y</v>
      </c>
      <c r="AW285" s="90">
        <v>89023</v>
      </c>
      <c r="AX285" s="24" t="s">
        <v>96</v>
      </c>
      <c r="AY285" s="90" t="str">
        <f>CONCATENATE(AZ285,BA285,BB285,BC285)</f>
        <v>RQC</v>
      </c>
      <c r="AZ285" s="90" t="str">
        <f>IF(ISNUMBER(SEARCH("Y",AC285)),"R","")</f>
        <v>R</v>
      </c>
      <c r="BA285" s="90" t="str">
        <f>IF(ISNUMBER(SEARCH("Y",Y285)),"M","")</f>
        <v/>
      </c>
      <c r="BB285" s="90" t="str">
        <f>IF(ISNUMBER(SEARCH("Y",AB285)),"QC","")</f>
        <v>QC</v>
      </c>
      <c r="BC285" s="90" t="str">
        <f>IF(ISNUMBER(SEARCH("Y",Z285)),"S","")</f>
        <v/>
      </c>
      <c r="BD285" s="90"/>
      <c r="BE285" s="24" t="s">
        <v>97</v>
      </c>
      <c r="BF285" s="125" t="str">
        <f>IF(AND(AW285&gt;=56543,AW285&lt;=76543,LEN(AW285)&gt;0),"3 Feb 2020",IF(AND(AW285&gt;=66544,AW285&lt;=99999,LEN(AW285)&gt;0),"12 Sep 2020",""))</f>
        <v>12 Sep 2020</v>
      </c>
      <c r="BG285" s="125" t="str">
        <f>IF((AND(BF285="3 Feb 2020",LEN(BF285)&gt;0)),"Completed",IF((AND(BF285="12 Sep 2020",LEN(BF285)&gt;0)),"Pending",""))</f>
        <v>Pending</v>
      </c>
      <c r="BH285" s="90" t="str">
        <f>IF((AND(BF285="3 Feb 2020",LEN(BF285)&gt;0)),"3 Feb 2020","")</f>
        <v/>
      </c>
      <c r="BI285" s="90">
        <v>196310</v>
      </c>
      <c r="BJ285" s="90" t="str">
        <f>L285</f>
        <v>3C81FS84863-41</v>
      </c>
      <c r="BK285" s="127">
        <v>43508</v>
      </c>
      <c r="BL285" s="127">
        <v>44239</v>
      </c>
      <c r="BM285" s="128">
        <f>P285*1.1</f>
        <v>3138000.8000000003</v>
      </c>
      <c r="BN285" s="129">
        <f>P285*0.9</f>
        <v>2567455.2000000002</v>
      </c>
      <c r="BO285" s="130">
        <f>P285*0.8</f>
        <v>2282182.4</v>
      </c>
      <c r="BP285" s="90">
        <f>IF(Z285="Y",BM285*0.4,BM285*1.05)</f>
        <v>3294900.8400000003</v>
      </c>
      <c r="BQ285" s="90">
        <f>BP285*0.8</f>
        <v>2635920.6720000003</v>
      </c>
      <c r="BR285" s="90" t="str">
        <f>IF(ISNUMBER(SEARCH("subrecipient",AI281)),P285*0.6,"")</f>
        <v/>
      </c>
      <c r="BS285" s="90">
        <v>196310</v>
      </c>
      <c r="BT285" s="90" t="str">
        <f>BJ285</f>
        <v>3C81FS84863-41</v>
      </c>
      <c r="BU285" s="127">
        <f>BK285</f>
        <v>43508</v>
      </c>
      <c r="BV285" s="127">
        <f>BL285</f>
        <v>44239</v>
      </c>
      <c r="BW285" s="90" t="str">
        <f>H285</f>
        <v>NIH</v>
      </c>
      <c r="BX285" s="90" t="str">
        <f>IF(H285="NATIONAL HEMOPHILIA FOUNDATION","Non Federal","Federal")</f>
        <v>Federal</v>
      </c>
      <c r="BY285" s="128">
        <f>BM285</f>
        <v>3138000.8000000003</v>
      </c>
      <c r="BZ285" s="90" t="str">
        <f>IF(LEN(BR285)&gt;0,1,"")</f>
        <v/>
      </c>
      <c r="CA285" s="90" t="str">
        <f>IF(LEN(BR285)&gt;0,"VIRAL HEPATITIS PROJECT","")</f>
        <v/>
      </c>
      <c r="CB285" s="129" t="str">
        <f>IF(LEN(BR285)&gt;0,BM285*0.7,"")</f>
        <v/>
      </c>
      <c r="CC285" s="90">
        <f>BP285</f>
        <v>3294900.8400000003</v>
      </c>
      <c r="CD285" s="90" t="str">
        <f>IF(LEN(BR285)&gt;0,"70%","")</f>
        <v/>
      </c>
      <c r="CE285" s="90">
        <f>BS285</f>
        <v>196310</v>
      </c>
      <c r="CF285" s="90" t="str">
        <f>CA285</f>
        <v/>
      </c>
      <c r="CG285" s="90"/>
      <c r="CH285" s="90"/>
      <c r="CI285" s="90"/>
      <c r="CJ285" s="90"/>
      <c r="CK285" s="90"/>
      <c r="CL285" s="90"/>
      <c r="CM285" s="90"/>
      <c r="CN285" s="90"/>
      <c r="CO285" s="90"/>
      <c r="CP285" s="90"/>
      <c r="CQ285" s="90"/>
      <c r="CR285" s="90"/>
      <c r="CS285" s="90"/>
      <c r="CT285" s="137"/>
    </row>
    <row r="286" spans="1:98" ht="195">
      <c r="A286" s="89">
        <v>196310</v>
      </c>
      <c r="B286" s="90">
        <v>2020</v>
      </c>
      <c r="C286" s="90" t="s">
        <v>81</v>
      </c>
      <c r="D286" s="90" t="s">
        <v>951</v>
      </c>
      <c r="E286" s="125" t="s">
        <v>793</v>
      </c>
      <c r="F286" s="24" t="s">
        <v>952</v>
      </c>
      <c r="G286" s="90" t="s">
        <v>85</v>
      </c>
      <c r="H286" s="90" t="s">
        <v>117</v>
      </c>
      <c r="I286" s="90">
        <v>93</v>
      </c>
      <c r="J286" s="90">
        <v>157</v>
      </c>
      <c r="K286" s="90" t="s">
        <v>85</v>
      </c>
      <c r="L286" s="90" t="s">
        <v>953</v>
      </c>
      <c r="M286" s="90" t="s">
        <v>85</v>
      </c>
      <c r="N286" s="24" t="s">
        <v>914</v>
      </c>
      <c r="O286" s="24" t="str">
        <f>IF(ISNUMBER(SEARCH("Cancer",N286)),"Cancer",IF(ISNUMBER(SEARCH("health",N286)),"Public health",IF(ISNUMBER(SEARCH("disabilities",N286)),"Disabilities","Other")))</f>
        <v>Other</v>
      </c>
      <c r="P286" s="126">
        <v>2852728</v>
      </c>
      <c r="Q286" s="90" t="s">
        <v>85</v>
      </c>
      <c r="R286" s="90" t="str">
        <f>IF(P286&gt;20000000,"B","A")</f>
        <v>A</v>
      </c>
      <c r="S286" s="90" t="s">
        <v>90</v>
      </c>
      <c r="T286" s="90">
        <v>2576126</v>
      </c>
      <c r="U286" s="90" t="s">
        <v>91</v>
      </c>
      <c r="V286" s="90" t="s">
        <v>954</v>
      </c>
      <c r="W286" s="90" t="s">
        <v>85</v>
      </c>
      <c r="X286" s="90" t="s">
        <v>87</v>
      </c>
      <c r="Y286" s="90" t="s">
        <v>85</v>
      </c>
      <c r="Z286" s="90" t="s">
        <v>85</v>
      </c>
      <c r="AA286" s="90" t="s">
        <v>85</v>
      </c>
      <c r="AB286" s="90" t="s">
        <v>87</v>
      </c>
      <c r="AC286" s="90" t="s">
        <v>87</v>
      </c>
      <c r="AD286" s="90" t="s">
        <v>457</v>
      </c>
      <c r="AE286" s="24" t="s">
        <v>958</v>
      </c>
      <c r="AF286" s="90" t="s">
        <v>100</v>
      </c>
      <c r="AG286" s="24" t="s">
        <v>959</v>
      </c>
      <c r="AH286" s="90">
        <v>89007</v>
      </c>
      <c r="AI286" s="24" t="s">
        <v>102</v>
      </c>
      <c r="AJ286" s="24" t="s">
        <v>960</v>
      </c>
      <c r="AK286" s="90" t="s">
        <v>85</v>
      </c>
      <c r="AL286" s="90">
        <v>196310</v>
      </c>
      <c r="AM286" s="90" t="s">
        <v>81</v>
      </c>
      <c r="AN286" s="90" t="s">
        <v>951</v>
      </c>
      <c r="AO286" s="125" t="s">
        <v>793</v>
      </c>
      <c r="AP286" s="24" t="s">
        <v>914</v>
      </c>
      <c r="AQ286" s="90" t="s">
        <v>953</v>
      </c>
      <c r="AR286" s="24" t="s">
        <v>914</v>
      </c>
      <c r="AS286" s="90">
        <v>2576126</v>
      </c>
      <c r="AT286" s="24" t="s">
        <v>102</v>
      </c>
      <c r="AU286" s="90" t="s">
        <v>954</v>
      </c>
      <c r="AV286" s="90" t="str">
        <f>IF(ISNUMBER(SEARCH("disagree",AE286)),"N","Y")</f>
        <v>Y</v>
      </c>
      <c r="AW286" s="90">
        <v>64140</v>
      </c>
      <c r="AX286" s="24" t="s">
        <v>104</v>
      </c>
      <c r="AY286" s="90" t="str">
        <f>CONCATENATE(AZ286,BA286,BB286,BC286)</f>
        <v>RQC</v>
      </c>
      <c r="AZ286" s="90" t="str">
        <f>IF(ISNUMBER(SEARCH("Y",AC286)),"R","")</f>
        <v>R</v>
      </c>
      <c r="BA286" s="90" t="str">
        <f>IF(ISNUMBER(SEARCH("Y",Y286)),"M","")</f>
        <v/>
      </c>
      <c r="BB286" s="90" t="str">
        <f>IF(ISNUMBER(SEARCH("Y",AB286)),"QC","")</f>
        <v>QC</v>
      </c>
      <c r="BC286" s="90" t="str">
        <f>IF(ISNUMBER(SEARCH("Y",Z286)),"S","")</f>
        <v/>
      </c>
      <c r="BD286" s="90"/>
      <c r="BE286" s="24" t="s">
        <v>327</v>
      </c>
      <c r="BF286" s="125" t="str">
        <f>IF(AND(AW286&gt;=56543,AW286&lt;=76543,LEN(AW286)&gt;0),"3 Feb 2020",IF(AND(AW286&gt;=66544,AW286&lt;=99999,LEN(AW286)&gt;0),"12 Sep 2020",""))</f>
        <v>3 Feb 2020</v>
      </c>
      <c r="BG286" s="125" t="str">
        <f>IF((AND(BF286="3 Feb 2020",LEN(BF286)&gt;0)),"Completed",IF((AND(BF286="12 Sep 2020",LEN(BF286)&gt;0)),"Pending",""))</f>
        <v>Completed</v>
      </c>
      <c r="BH286" s="90" t="str">
        <f>IF((AND(BF286="3 Feb 2020",LEN(BF286)&gt;0)),"3 Feb 2020","")</f>
        <v>3 Feb 2020</v>
      </c>
      <c r="BI286" s="90">
        <v>196310</v>
      </c>
      <c r="BJ286" s="90" t="str">
        <f>L286</f>
        <v>3C81FS84863-41</v>
      </c>
      <c r="BK286" s="127">
        <v>43508</v>
      </c>
      <c r="BL286" s="127">
        <v>44239</v>
      </c>
      <c r="BM286" s="128">
        <f>P286*1.1</f>
        <v>3138000.8000000003</v>
      </c>
      <c r="BN286" s="129">
        <f>P286*0.9</f>
        <v>2567455.2000000002</v>
      </c>
      <c r="BO286" s="130">
        <f>P286*0.8</f>
        <v>2282182.4</v>
      </c>
      <c r="BP286" s="90">
        <f>IF(Z286="Y",BM286*0.4,BM286*1.05)</f>
        <v>3294900.8400000003</v>
      </c>
      <c r="BQ286" s="90">
        <f>BP286*0.8</f>
        <v>2635920.6720000003</v>
      </c>
      <c r="BR286" s="90" t="str">
        <f>IF(ISNUMBER(SEARCH("subrecipient",AI282)),P286*0.6,"")</f>
        <v/>
      </c>
      <c r="BS286" s="90">
        <v>196310</v>
      </c>
      <c r="BT286" s="90" t="str">
        <f>BJ286</f>
        <v>3C81FS84863-41</v>
      </c>
      <c r="BU286" s="127">
        <f>BK286</f>
        <v>43508</v>
      </c>
      <c r="BV286" s="127">
        <f>BL286</f>
        <v>44239</v>
      </c>
      <c r="BW286" s="90" t="str">
        <f>H286</f>
        <v>NIH</v>
      </c>
      <c r="BX286" s="90" t="str">
        <f>IF(H286="NATIONAL HEMOPHILIA FOUNDATION","Non Federal","Federal")</f>
        <v>Federal</v>
      </c>
      <c r="BY286" s="128">
        <f>BM286</f>
        <v>3138000.8000000003</v>
      </c>
      <c r="BZ286" s="90" t="str">
        <f>IF(LEN(BR286)&gt;0,1,"")</f>
        <v/>
      </c>
      <c r="CA286" s="90" t="str">
        <f>IF(LEN(BR286)&gt;0,"VIRAL HEPATITIS PROJECT","")</f>
        <v/>
      </c>
      <c r="CB286" s="129" t="str">
        <f>IF(LEN(BR286)&gt;0,BM286*0.7,"")</f>
        <v/>
      </c>
      <c r="CC286" s="90">
        <f>BP286</f>
        <v>3294900.8400000003</v>
      </c>
      <c r="CD286" s="90" t="str">
        <f>IF(LEN(BR286)&gt;0,"70%","")</f>
        <v/>
      </c>
      <c r="CE286" s="90">
        <f>BS286</f>
        <v>196310</v>
      </c>
      <c r="CF286" s="90" t="str">
        <f>CA286</f>
        <v/>
      </c>
      <c r="CG286" s="90"/>
      <c r="CH286" s="90"/>
      <c r="CI286" s="90"/>
      <c r="CJ286" s="90"/>
      <c r="CK286" s="90"/>
      <c r="CL286" s="90"/>
      <c r="CM286" s="90"/>
      <c r="CN286" s="90"/>
      <c r="CO286" s="90"/>
      <c r="CP286" s="90"/>
      <c r="CQ286" s="90"/>
      <c r="CR286" s="90"/>
      <c r="CS286" s="90"/>
      <c r="CT286" s="137"/>
    </row>
    <row r="287" spans="1:98" ht="165">
      <c r="A287" s="89">
        <v>196310</v>
      </c>
      <c r="B287" s="90">
        <v>2020</v>
      </c>
      <c r="C287" s="90" t="s">
        <v>81</v>
      </c>
      <c r="D287" s="90" t="s">
        <v>951</v>
      </c>
      <c r="E287" s="125" t="s">
        <v>780</v>
      </c>
      <c r="F287" s="24" t="s">
        <v>952</v>
      </c>
      <c r="G287" s="90" t="s">
        <v>85</v>
      </c>
      <c r="H287" s="90" t="s">
        <v>117</v>
      </c>
      <c r="I287" s="90">
        <v>93</v>
      </c>
      <c r="J287" s="90">
        <v>157</v>
      </c>
      <c r="K287" s="90" t="s">
        <v>85</v>
      </c>
      <c r="L287" s="90" t="s">
        <v>953</v>
      </c>
      <c r="M287" s="90" t="s">
        <v>85</v>
      </c>
      <c r="N287" s="24" t="s">
        <v>914</v>
      </c>
      <c r="O287" s="24" t="str">
        <f>IF(ISNUMBER(SEARCH("Cancer",N287)),"Cancer",IF(ISNUMBER(SEARCH("health",N287)),"Public health",IF(ISNUMBER(SEARCH("disabilities",N287)),"Disabilities","Other")))</f>
        <v>Other</v>
      </c>
      <c r="P287" s="126">
        <v>2852728</v>
      </c>
      <c r="Q287" s="90" t="s">
        <v>87</v>
      </c>
      <c r="R287" s="90" t="str">
        <f>IF(P287&gt;20000000,"B","A")</f>
        <v>A</v>
      </c>
      <c r="S287" s="90" t="s">
        <v>90</v>
      </c>
      <c r="T287" s="90">
        <v>2576126</v>
      </c>
      <c r="U287" s="90" t="s">
        <v>91</v>
      </c>
      <c r="V287" s="90" t="s">
        <v>954</v>
      </c>
      <c r="W287" s="90" t="s">
        <v>85</v>
      </c>
      <c r="X287" s="90" t="s">
        <v>87</v>
      </c>
      <c r="Y287" s="90" t="s">
        <v>85</v>
      </c>
      <c r="Z287" s="90" t="s">
        <v>85</v>
      </c>
      <c r="AA287" s="90" t="s">
        <v>85</v>
      </c>
      <c r="AB287" s="90" t="s">
        <v>87</v>
      </c>
      <c r="AC287" s="90" t="s">
        <v>87</v>
      </c>
      <c r="AD287" s="90" t="s">
        <v>457</v>
      </c>
      <c r="AE287" s="24" t="s">
        <v>961</v>
      </c>
      <c r="AF287" s="90" t="s">
        <v>108</v>
      </c>
      <c r="AG287" s="24" t="s">
        <v>962</v>
      </c>
      <c r="AH287" s="90">
        <v>89008</v>
      </c>
      <c r="AI287" s="24" t="s">
        <v>963</v>
      </c>
      <c r="AJ287" s="24" t="s">
        <v>964</v>
      </c>
      <c r="AK287" s="90" t="s">
        <v>85</v>
      </c>
      <c r="AL287" s="90">
        <v>196310</v>
      </c>
      <c r="AM287" s="90" t="s">
        <v>81</v>
      </c>
      <c r="AN287" s="90" t="s">
        <v>951</v>
      </c>
      <c r="AO287" s="125" t="s">
        <v>780</v>
      </c>
      <c r="AP287" s="24" t="s">
        <v>914</v>
      </c>
      <c r="AQ287" s="90" t="s">
        <v>953</v>
      </c>
      <c r="AR287" s="24" t="s">
        <v>914</v>
      </c>
      <c r="AS287" s="90">
        <v>2576126</v>
      </c>
      <c r="AT287" s="24" t="s">
        <v>963</v>
      </c>
      <c r="AU287" s="90" t="s">
        <v>954</v>
      </c>
      <c r="AV287" s="90" t="str">
        <f>IF(ISNUMBER(SEARCH("disagree",AE287)),"N","Y")</f>
        <v>Y</v>
      </c>
      <c r="AW287" s="90">
        <v>97307</v>
      </c>
      <c r="AX287" s="24" t="s">
        <v>112</v>
      </c>
      <c r="AY287" s="90" t="str">
        <f>CONCATENATE(AZ287,BA287,BB287,BC287)</f>
        <v>RQC</v>
      </c>
      <c r="AZ287" s="90" t="str">
        <f>IF(ISNUMBER(SEARCH("Y",AC287)),"R","")</f>
        <v>R</v>
      </c>
      <c r="BA287" s="90" t="str">
        <f>IF(ISNUMBER(SEARCH("Y",Y287)),"M","")</f>
        <v/>
      </c>
      <c r="BB287" s="90" t="str">
        <f>IF(ISNUMBER(SEARCH("Y",AB287)),"QC","")</f>
        <v>QC</v>
      </c>
      <c r="BC287" s="90" t="str">
        <f>IF(ISNUMBER(SEARCH("Y",Z287)),"S","")</f>
        <v/>
      </c>
      <c r="BD287" s="90"/>
      <c r="BE287" s="24" t="s">
        <v>113</v>
      </c>
      <c r="BF287" s="125" t="str">
        <f>IF(AND(AW287&gt;=56543,AW287&lt;=76543,LEN(AW287)&gt;0),"3 Feb 2020",IF(AND(AW287&gt;=66544,AW287&lt;=99999,LEN(AW287)&gt;0),"12 Sep 2020",""))</f>
        <v>12 Sep 2020</v>
      </c>
      <c r="BG287" s="125" t="str">
        <f>IF((AND(BF287="3 Feb 2020",LEN(BF287)&gt;0)),"Completed",IF((AND(BF287="12 Sep 2020",LEN(BF287)&gt;0)),"Pending",""))</f>
        <v>Pending</v>
      </c>
      <c r="BH287" s="90" t="str">
        <f>IF((AND(BF287="3 Feb 2020",LEN(BF287)&gt;0)),"3 Feb 2020","")</f>
        <v/>
      </c>
      <c r="BI287" s="90">
        <v>196310</v>
      </c>
      <c r="BJ287" s="90" t="str">
        <f>L287</f>
        <v>3C81FS84863-41</v>
      </c>
      <c r="BK287" s="127">
        <v>43508</v>
      </c>
      <c r="BL287" s="127">
        <v>44239</v>
      </c>
      <c r="BM287" s="128">
        <f>P287*1.1</f>
        <v>3138000.8000000003</v>
      </c>
      <c r="BN287" s="129">
        <f>P287*0.9</f>
        <v>2567455.2000000002</v>
      </c>
      <c r="BO287" s="130">
        <f>P287*0.8</f>
        <v>2282182.4</v>
      </c>
      <c r="BP287" s="90">
        <f>IF(Z287="Y",BM287*0.4,BM287*1.05)</f>
        <v>3294900.8400000003</v>
      </c>
      <c r="BQ287" s="90">
        <f>BP287*0.8</f>
        <v>2635920.6720000003</v>
      </c>
      <c r="BR287" s="90" t="str">
        <f>IF(ISNUMBER(SEARCH("subrecipient",AI283)),P287*0.6,"")</f>
        <v/>
      </c>
      <c r="BS287" s="90">
        <v>196310</v>
      </c>
      <c r="BT287" s="90" t="str">
        <f>BJ287</f>
        <v>3C81FS84863-41</v>
      </c>
      <c r="BU287" s="127">
        <f>BK287</f>
        <v>43508</v>
      </c>
      <c r="BV287" s="127">
        <f>BL287</f>
        <v>44239</v>
      </c>
      <c r="BW287" s="90" t="str">
        <f>H287</f>
        <v>NIH</v>
      </c>
      <c r="BX287" s="90" t="str">
        <f>IF(H287="NATIONAL HEMOPHILIA FOUNDATION","Non Federal","Federal")</f>
        <v>Federal</v>
      </c>
      <c r="BY287" s="128">
        <f>BM287</f>
        <v>3138000.8000000003</v>
      </c>
      <c r="BZ287" s="90" t="str">
        <f>IF(LEN(BR287)&gt;0,1,"")</f>
        <v/>
      </c>
      <c r="CA287" s="90" t="str">
        <f>IF(LEN(BR287)&gt;0,"VIRAL HEPATITIS PROJECT","")</f>
        <v/>
      </c>
      <c r="CB287" s="129" t="str">
        <f>IF(LEN(BR287)&gt;0,BM287*0.7,"")</f>
        <v/>
      </c>
      <c r="CC287" s="90">
        <f>BP287</f>
        <v>3294900.8400000003</v>
      </c>
      <c r="CD287" s="90" t="str">
        <f>IF(LEN(BR287)&gt;0,"70%","")</f>
        <v/>
      </c>
      <c r="CE287" s="90">
        <f>BS287</f>
        <v>196310</v>
      </c>
      <c r="CF287" s="90" t="str">
        <f>CA287</f>
        <v/>
      </c>
      <c r="CG287" s="90"/>
      <c r="CH287" s="90"/>
      <c r="CI287" s="90"/>
      <c r="CJ287" s="90"/>
      <c r="CK287" s="90"/>
      <c r="CL287" s="90"/>
      <c r="CM287" s="90"/>
      <c r="CN287" s="90"/>
      <c r="CO287" s="90"/>
      <c r="CP287" s="90"/>
      <c r="CQ287" s="90"/>
      <c r="CR287" s="90"/>
      <c r="CS287" s="90"/>
      <c r="CT287" s="137"/>
    </row>
    <row r="288" spans="1:98" ht="180">
      <c r="A288" s="89">
        <v>196474</v>
      </c>
      <c r="B288" s="90">
        <v>2020</v>
      </c>
      <c r="C288" s="90" t="s">
        <v>81</v>
      </c>
      <c r="D288" s="90" t="s">
        <v>965</v>
      </c>
      <c r="E288" s="125" t="s">
        <v>781</v>
      </c>
      <c r="F288" s="24" t="s">
        <v>966</v>
      </c>
      <c r="G288" s="90" t="s">
        <v>85</v>
      </c>
      <c r="H288" s="90" t="s">
        <v>132</v>
      </c>
      <c r="I288" s="90">
        <v>93</v>
      </c>
      <c r="J288" s="90">
        <v>157</v>
      </c>
      <c r="K288" s="90" t="s">
        <v>85</v>
      </c>
      <c r="L288" s="90" t="s">
        <v>967</v>
      </c>
      <c r="M288" s="90" t="s">
        <v>87</v>
      </c>
      <c r="N288" s="24" t="s">
        <v>968</v>
      </c>
      <c r="O288" s="24" t="str">
        <f>IF(ISNUMBER(SEARCH("Cancer",N288)),"Cancer",IF(ISNUMBER(SEARCH("health",N288)),"Public health",IF(ISNUMBER(SEARCH("disabilities",N288)),"Disabilities","Other")))</f>
        <v>Other</v>
      </c>
      <c r="P288" s="126">
        <v>2224795</v>
      </c>
      <c r="Q288" s="90" t="s">
        <v>85</v>
      </c>
      <c r="R288" s="90" t="str">
        <f>IF(P288&gt;20000000,"B","A")</f>
        <v>A</v>
      </c>
      <c r="S288" s="90" t="s">
        <v>90</v>
      </c>
      <c r="T288" s="90">
        <v>2566336</v>
      </c>
      <c r="U288" s="90" t="s">
        <v>91</v>
      </c>
      <c r="V288" s="90" t="s">
        <v>85</v>
      </c>
      <c r="W288" s="90" t="s">
        <v>87</v>
      </c>
      <c r="X288" s="90" t="s">
        <v>85</v>
      </c>
      <c r="Y288" s="90" t="s">
        <v>85</v>
      </c>
      <c r="Z288" s="90" t="s">
        <v>87</v>
      </c>
      <c r="AA288" s="90" t="s">
        <v>85</v>
      </c>
      <c r="AB288" s="90" t="s">
        <v>87</v>
      </c>
      <c r="AC288" s="90" t="s">
        <v>85</v>
      </c>
      <c r="AD288" s="90">
        <v>0</v>
      </c>
      <c r="AE288" s="24" t="s">
        <v>969</v>
      </c>
      <c r="AF288" s="90" t="s">
        <v>91</v>
      </c>
      <c r="AG288" s="24" t="s">
        <v>970</v>
      </c>
      <c r="AH288" s="90">
        <v>84814</v>
      </c>
      <c r="AI288" s="24" t="s">
        <v>94</v>
      </c>
      <c r="AJ288" s="24" t="s">
        <v>95</v>
      </c>
      <c r="AK288" s="90" t="s">
        <v>85</v>
      </c>
      <c r="AL288" s="90">
        <v>196474</v>
      </c>
      <c r="AM288" s="90" t="s">
        <v>81</v>
      </c>
      <c r="AN288" s="90" t="s">
        <v>965</v>
      </c>
      <c r="AO288" s="125" t="s">
        <v>781</v>
      </c>
      <c r="AP288" s="24" t="s">
        <v>968</v>
      </c>
      <c r="AQ288" s="90" t="s">
        <v>967</v>
      </c>
      <c r="AR288" s="24" t="s">
        <v>968</v>
      </c>
      <c r="AS288" s="90">
        <v>2566336</v>
      </c>
      <c r="AT288" s="24" t="s">
        <v>94</v>
      </c>
      <c r="AU288" s="90" t="s">
        <v>85</v>
      </c>
      <c r="AV288" s="90" t="str">
        <f>IF(ISNUMBER(SEARCH("disagree",AE288)),"N","Y")</f>
        <v>Y</v>
      </c>
      <c r="AW288" s="90">
        <v>82943</v>
      </c>
      <c r="AX288" s="24" t="s">
        <v>96</v>
      </c>
      <c r="AY288" s="90" t="str">
        <f>CONCATENATE(AZ288,BA288,BB288,BC288)</f>
        <v>QCS</v>
      </c>
      <c r="AZ288" s="90" t="str">
        <f>IF(ISNUMBER(SEARCH("Y",AC288)),"R","")</f>
        <v/>
      </c>
      <c r="BA288" s="90" t="str">
        <f>IF(ISNUMBER(SEARCH("Y",Y288)),"M","")</f>
        <v/>
      </c>
      <c r="BB288" s="90" t="str">
        <f>IF(ISNUMBER(SEARCH("Y",AB288)),"QC","")</f>
        <v>QC</v>
      </c>
      <c r="BC288" s="90" t="str">
        <f>IF(ISNUMBER(SEARCH("Y",Z288)),"S","")</f>
        <v>S</v>
      </c>
      <c r="BD288" s="90"/>
      <c r="BE288" s="24" t="s">
        <v>97</v>
      </c>
      <c r="BF288" s="125" t="str">
        <f>IF(AND(AW288&gt;=56543,AW288&lt;=76543,LEN(AW288)&gt;0),"3 Feb 2020",IF(AND(AW288&gt;=66544,AW288&lt;=99999,LEN(AW288)&gt;0),"12 Sep 2020",""))</f>
        <v>12 Sep 2020</v>
      </c>
      <c r="BG288" s="125" t="str">
        <f>IF((AND(BF288="3 Feb 2020",LEN(BF288)&gt;0)),"Completed",IF((AND(BF288="12 Sep 2020",LEN(BF288)&gt;0)),"Pending",""))</f>
        <v>Pending</v>
      </c>
      <c r="BH288" s="90" t="str">
        <f>IF((AND(BF288="3 Feb 2020",LEN(BF288)&gt;0)),"3 Feb 2020","")</f>
        <v/>
      </c>
      <c r="BI288" s="90">
        <v>196474</v>
      </c>
      <c r="BJ288" s="90" t="str">
        <f>L288</f>
        <v>6C50CS87456-53</v>
      </c>
      <c r="BK288" s="127">
        <v>43508</v>
      </c>
      <c r="BL288" s="127">
        <v>44239</v>
      </c>
      <c r="BM288" s="128">
        <f>P288*1.1</f>
        <v>2447274.5</v>
      </c>
      <c r="BN288" s="129">
        <f>P288*0.9</f>
        <v>2002315.5</v>
      </c>
      <c r="BO288" s="130">
        <f>P288*0.8</f>
        <v>1779836</v>
      </c>
      <c r="BP288" s="90">
        <f>IF(Z288="Y",BM288*0.4,BM288*1.05)</f>
        <v>978909.8</v>
      </c>
      <c r="BQ288" s="90">
        <f>BP288*0.8</f>
        <v>783127.84000000008</v>
      </c>
      <c r="BR288" s="90" t="str">
        <f>IF(ISNUMBER(SEARCH("subrecipient",AI284)),P288*0.6,"")</f>
        <v/>
      </c>
      <c r="BS288" s="90">
        <v>196474</v>
      </c>
      <c r="BT288" s="90" t="str">
        <f>BJ288</f>
        <v>6C50CS87456-53</v>
      </c>
      <c r="BU288" s="127">
        <f>BK288</f>
        <v>43508</v>
      </c>
      <c r="BV288" s="127">
        <f>BL288</f>
        <v>44239</v>
      </c>
      <c r="BW288" s="90" t="str">
        <f>H288</f>
        <v>FDA</v>
      </c>
      <c r="BX288" s="90" t="str">
        <f>IF(H288="NATIONAL HEMOPHILIA FOUNDATION","Non Federal","Federal")</f>
        <v>Federal</v>
      </c>
      <c r="BY288" s="128">
        <f>BM288</f>
        <v>2447274.5</v>
      </c>
      <c r="BZ288" s="90" t="str">
        <f>IF(LEN(BR288)&gt;0,1,"")</f>
        <v/>
      </c>
      <c r="CA288" s="90" t="str">
        <f>IF(LEN(BR288)&gt;0,"VIRAL HEPATITIS PROJECT","")</f>
        <v/>
      </c>
      <c r="CB288" s="129" t="str">
        <f>IF(LEN(BR288)&gt;0,BM288*0.7,"")</f>
        <v/>
      </c>
      <c r="CC288" s="90">
        <f>BP288</f>
        <v>978909.8</v>
      </c>
      <c r="CD288" s="90" t="str">
        <f>IF(LEN(BR288)&gt;0,"70%","")</f>
        <v/>
      </c>
      <c r="CE288" s="90">
        <f>BS288</f>
        <v>196474</v>
      </c>
      <c r="CF288" s="90" t="str">
        <f>CA288</f>
        <v/>
      </c>
      <c r="CG288" s="90"/>
      <c r="CH288" s="90"/>
      <c r="CI288" s="90"/>
      <c r="CJ288" s="90"/>
      <c r="CK288" s="90"/>
      <c r="CL288" s="90"/>
      <c r="CM288" s="90"/>
      <c r="CN288" s="90"/>
      <c r="CO288" s="90"/>
      <c r="CP288" s="90"/>
      <c r="CQ288" s="90"/>
      <c r="CR288" s="90"/>
      <c r="CS288" s="90"/>
      <c r="CT288" s="137"/>
    </row>
    <row r="289" spans="1:98" ht="60">
      <c r="A289" s="89">
        <v>196474</v>
      </c>
      <c r="B289" s="90">
        <v>2020</v>
      </c>
      <c r="C289" s="90" t="s">
        <v>81</v>
      </c>
      <c r="D289" s="90" t="s">
        <v>965</v>
      </c>
      <c r="E289" s="125" t="s">
        <v>784</v>
      </c>
      <c r="F289" s="24" t="s">
        <v>966</v>
      </c>
      <c r="G289" s="90" t="s">
        <v>85</v>
      </c>
      <c r="H289" s="90" t="s">
        <v>132</v>
      </c>
      <c r="I289" s="90">
        <v>93</v>
      </c>
      <c r="J289" s="90">
        <v>157</v>
      </c>
      <c r="K289" s="90" t="s">
        <v>85</v>
      </c>
      <c r="L289" s="90" t="s">
        <v>967</v>
      </c>
      <c r="M289" s="90" t="s">
        <v>87</v>
      </c>
      <c r="N289" s="24" t="s">
        <v>968</v>
      </c>
      <c r="O289" s="24" t="str">
        <f>IF(ISNUMBER(SEARCH("Cancer",N289)),"Cancer",IF(ISNUMBER(SEARCH("health",N289)),"Public health",IF(ISNUMBER(SEARCH("disabilities",N289)),"Disabilities","Other")))</f>
        <v>Other</v>
      </c>
      <c r="P289" s="126">
        <v>2224795</v>
      </c>
      <c r="Q289" s="90" t="s">
        <v>85</v>
      </c>
      <c r="R289" s="90" t="str">
        <f>IF(P289&gt;20000000,"B","A")</f>
        <v>A</v>
      </c>
      <c r="S289" s="90" t="s">
        <v>90</v>
      </c>
      <c r="T289" s="90">
        <v>2566336</v>
      </c>
      <c r="U289" s="90" t="s">
        <v>91</v>
      </c>
      <c r="V289" s="90" t="s">
        <v>85</v>
      </c>
      <c r="W289" s="90" t="s">
        <v>87</v>
      </c>
      <c r="X289" s="90" t="s">
        <v>85</v>
      </c>
      <c r="Y289" s="90" t="s">
        <v>85</v>
      </c>
      <c r="Z289" s="90" t="s">
        <v>87</v>
      </c>
      <c r="AA289" s="90" t="s">
        <v>85</v>
      </c>
      <c r="AB289" s="90" t="s">
        <v>87</v>
      </c>
      <c r="AC289" s="90" t="s">
        <v>85</v>
      </c>
      <c r="AD289" s="90">
        <v>0</v>
      </c>
      <c r="AE289" s="24">
        <v>0</v>
      </c>
      <c r="AF289" s="90">
        <v>0</v>
      </c>
      <c r="AG289" s="24">
        <v>0</v>
      </c>
      <c r="AH289" s="90">
        <v>84816</v>
      </c>
      <c r="AI289" s="24" t="s">
        <v>102</v>
      </c>
      <c r="AJ289" s="24" t="s">
        <v>103</v>
      </c>
      <c r="AK289" s="90" t="s">
        <v>85</v>
      </c>
      <c r="AL289" s="90">
        <v>196474</v>
      </c>
      <c r="AM289" s="90" t="s">
        <v>81</v>
      </c>
      <c r="AN289" s="90" t="s">
        <v>965</v>
      </c>
      <c r="AO289" s="125" t="s">
        <v>784</v>
      </c>
      <c r="AP289" s="24" t="s">
        <v>968</v>
      </c>
      <c r="AQ289" s="90" t="s">
        <v>967</v>
      </c>
      <c r="AR289" s="24" t="s">
        <v>968</v>
      </c>
      <c r="AS289" s="90">
        <v>2566336</v>
      </c>
      <c r="AT289" s="24" t="s">
        <v>102</v>
      </c>
      <c r="AU289" s="90" t="s">
        <v>85</v>
      </c>
      <c r="AV289" s="90" t="str">
        <f>IF(ISNUMBER(SEARCH("disagree",AE289)),"N","Y")</f>
        <v>Y</v>
      </c>
      <c r="AW289" s="90">
        <v>64284</v>
      </c>
      <c r="AX289" s="24" t="s">
        <v>104</v>
      </c>
      <c r="AY289" s="90" t="str">
        <f>CONCATENATE(AZ289,BA289,BB289,BC289)</f>
        <v>QCS</v>
      </c>
      <c r="AZ289" s="90" t="str">
        <f>IF(ISNUMBER(SEARCH("Y",AC289)),"R","")</f>
        <v/>
      </c>
      <c r="BA289" s="90" t="str">
        <f>IF(ISNUMBER(SEARCH("Y",Y289)),"M","")</f>
        <v/>
      </c>
      <c r="BB289" s="90" t="str">
        <f>IF(ISNUMBER(SEARCH("Y",AB289)),"QC","")</f>
        <v>QC</v>
      </c>
      <c r="BC289" s="90" t="str">
        <f>IF(ISNUMBER(SEARCH("Y",Z289)),"S","")</f>
        <v>S</v>
      </c>
      <c r="BD289" s="90"/>
      <c r="BE289" s="24" t="s">
        <v>327</v>
      </c>
      <c r="BF289" s="125" t="str">
        <f>IF(AND(AW289&gt;=56543,AW289&lt;=76543,LEN(AW289)&gt;0),"3 Feb 2020",IF(AND(AW289&gt;=66544,AW289&lt;=99999,LEN(AW289)&gt;0),"12 Sep 2020",""))</f>
        <v>3 Feb 2020</v>
      </c>
      <c r="BG289" s="125" t="str">
        <f>IF((AND(BF289="3 Feb 2020",LEN(BF289)&gt;0)),"Completed",IF((AND(BF289="12 Sep 2020",LEN(BF289)&gt;0)),"Pending",""))</f>
        <v>Completed</v>
      </c>
      <c r="BH289" s="90" t="str">
        <f>IF((AND(BF289="3 Feb 2020",LEN(BF289)&gt;0)),"3 Feb 2020","")</f>
        <v>3 Feb 2020</v>
      </c>
      <c r="BI289" s="90">
        <v>196474</v>
      </c>
      <c r="BJ289" s="90" t="str">
        <f>L289</f>
        <v>6C50CS87456-53</v>
      </c>
      <c r="BK289" s="127">
        <v>43508</v>
      </c>
      <c r="BL289" s="127">
        <v>44239</v>
      </c>
      <c r="BM289" s="128">
        <f>P289*1.1</f>
        <v>2447274.5</v>
      </c>
      <c r="BN289" s="129">
        <f>P289*0.9</f>
        <v>2002315.5</v>
      </c>
      <c r="BO289" s="130">
        <f>P289*0.8</f>
        <v>1779836</v>
      </c>
      <c r="BP289" s="90">
        <f>IF(Z289="Y",BM289*0.4,BM289*1.05)</f>
        <v>978909.8</v>
      </c>
      <c r="BQ289" s="90">
        <f>BP289*0.8</f>
        <v>783127.84000000008</v>
      </c>
      <c r="BR289" s="90" t="str">
        <f>IF(ISNUMBER(SEARCH("subrecipient",AI285)),P289*0.6,"")</f>
        <v/>
      </c>
      <c r="BS289" s="90">
        <v>196474</v>
      </c>
      <c r="BT289" s="90" t="str">
        <f>BJ289</f>
        <v>6C50CS87456-53</v>
      </c>
      <c r="BU289" s="127">
        <f>BK289</f>
        <v>43508</v>
      </c>
      <c r="BV289" s="127">
        <f>BL289</f>
        <v>44239</v>
      </c>
      <c r="BW289" s="90" t="str">
        <f>H289</f>
        <v>FDA</v>
      </c>
      <c r="BX289" s="90" t="str">
        <f>IF(H289="NATIONAL HEMOPHILIA FOUNDATION","Non Federal","Federal")</f>
        <v>Federal</v>
      </c>
      <c r="BY289" s="128">
        <f>BM289</f>
        <v>2447274.5</v>
      </c>
      <c r="BZ289" s="90" t="str">
        <f>IF(LEN(BR289)&gt;0,1,"")</f>
        <v/>
      </c>
      <c r="CA289" s="90" t="str">
        <f>IF(LEN(BR289)&gt;0,"VIRAL HEPATITIS PROJECT","")</f>
        <v/>
      </c>
      <c r="CB289" s="129" t="str">
        <f>IF(LEN(BR289)&gt;0,BM289*0.7,"")</f>
        <v/>
      </c>
      <c r="CC289" s="90">
        <f>BP289</f>
        <v>978909.8</v>
      </c>
      <c r="CD289" s="90" t="str">
        <f>IF(LEN(BR289)&gt;0,"70%","")</f>
        <v/>
      </c>
      <c r="CE289" s="90">
        <f>BS289</f>
        <v>196474</v>
      </c>
      <c r="CF289" s="90" t="str">
        <f>CA289</f>
        <v/>
      </c>
      <c r="CG289" s="90"/>
      <c r="CH289" s="90"/>
      <c r="CI289" s="90"/>
      <c r="CJ289" s="90"/>
      <c r="CK289" s="90"/>
      <c r="CL289" s="90"/>
      <c r="CM289" s="90"/>
      <c r="CN289" s="90"/>
      <c r="CO289" s="90"/>
      <c r="CP289" s="90"/>
      <c r="CQ289" s="90"/>
      <c r="CR289" s="90"/>
      <c r="CS289" s="90"/>
      <c r="CT289" s="137"/>
    </row>
    <row r="290" spans="1:98" ht="60">
      <c r="A290" s="89">
        <v>196474</v>
      </c>
      <c r="B290" s="90">
        <v>2020</v>
      </c>
      <c r="C290" s="90" t="s">
        <v>81</v>
      </c>
      <c r="D290" s="90" t="s">
        <v>965</v>
      </c>
      <c r="E290" s="125" t="s">
        <v>790</v>
      </c>
      <c r="F290" s="24" t="s">
        <v>966</v>
      </c>
      <c r="G290" s="90" t="s">
        <v>85</v>
      </c>
      <c r="H290" s="90" t="s">
        <v>132</v>
      </c>
      <c r="I290" s="90">
        <v>93</v>
      </c>
      <c r="J290" s="90">
        <v>157</v>
      </c>
      <c r="K290" s="90" t="s">
        <v>85</v>
      </c>
      <c r="L290" s="90" t="s">
        <v>967</v>
      </c>
      <c r="M290" s="90" t="s">
        <v>87</v>
      </c>
      <c r="N290" s="24" t="s">
        <v>968</v>
      </c>
      <c r="O290" s="24" t="str">
        <f>IF(ISNUMBER(SEARCH("Cancer",N290)),"Cancer",IF(ISNUMBER(SEARCH("health",N290)),"Public health",IF(ISNUMBER(SEARCH("disabilities",N290)),"Disabilities","Other")))</f>
        <v>Other</v>
      </c>
      <c r="P290" s="126">
        <v>2224795</v>
      </c>
      <c r="Q290" s="90" t="s">
        <v>85</v>
      </c>
      <c r="R290" s="90" t="str">
        <f>IF(P290&gt;20000000,"B","A")</f>
        <v>A</v>
      </c>
      <c r="S290" s="90" t="s">
        <v>90</v>
      </c>
      <c r="T290" s="90">
        <v>2566336</v>
      </c>
      <c r="U290" s="90" t="s">
        <v>91</v>
      </c>
      <c r="V290" s="90" t="s">
        <v>85</v>
      </c>
      <c r="W290" s="90" t="s">
        <v>87</v>
      </c>
      <c r="X290" s="90" t="s">
        <v>85</v>
      </c>
      <c r="Y290" s="90" t="s">
        <v>85</v>
      </c>
      <c r="Z290" s="90" t="s">
        <v>87</v>
      </c>
      <c r="AA290" s="90" t="s">
        <v>85</v>
      </c>
      <c r="AB290" s="90" t="s">
        <v>87</v>
      </c>
      <c r="AC290" s="90" t="s">
        <v>85</v>
      </c>
      <c r="AD290" s="90">
        <v>0</v>
      </c>
      <c r="AE290" s="24">
        <v>0</v>
      </c>
      <c r="AF290" s="90">
        <v>0</v>
      </c>
      <c r="AG290" s="24">
        <v>0</v>
      </c>
      <c r="AH290" s="90">
        <v>84815</v>
      </c>
      <c r="AI290" s="24" t="s">
        <v>110</v>
      </c>
      <c r="AJ290" s="24" t="s">
        <v>971</v>
      </c>
      <c r="AK290" s="90" t="s">
        <v>85</v>
      </c>
      <c r="AL290" s="90">
        <v>196474</v>
      </c>
      <c r="AM290" s="90" t="s">
        <v>81</v>
      </c>
      <c r="AN290" s="90" t="s">
        <v>965</v>
      </c>
      <c r="AO290" s="125" t="s">
        <v>790</v>
      </c>
      <c r="AP290" s="24" t="s">
        <v>968</v>
      </c>
      <c r="AQ290" s="90" t="s">
        <v>967</v>
      </c>
      <c r="AR290" s="24" t="s">
        <v>968</v>
      </c>
      <c r="AS290" s="90">
        <v>2566336</v>
      </c>
      <c r="AT290" s="24" t="s">
        <v>110</v>
      </c>
      <c r="AU290" s="90" t="s">
        <v>85</v>
      </c>
      <c r="AV290" s="90" t="str">
        <f>IF(ISNUMBER(SEARCH("disagree",AE290)),"N","Y")</f>
        <v>Y</v>
      </c>
      <c r="AW290" s="90">
        <v>59448</v>
      </c>
      <c r="AX290" s="24" t="s">
        <v>112</v>
      </c>
      <c r="AY290" s="90" t="str">
        <f>CONCATENATE(AZ290,BA290,BB290,BC290)</f>
        <v>QCS</v>
      </c>
      <c r="AZ290" s="90" t="str">
        <f>IF(ISNUMBER(SEARCH("Y",AC290)),"R","")</f>
        <v/>
      </c>
      <c r="BA290" s="90" t="str">
        <f>IF(ISNUMBER(SEARCH("Y",Y290)),"M","")</f>
        <v/>
      </c>
      <c r="BB290" s="90" t="str">
        <f>IF(ISNUMBER(SEARCH("Y",AB290)),"QC","")</f>
        <v>QC</v>
      </c>
      <c r="BC290" s="90" t="str">
        <f>IF(ISNUMBER(SEARCH("Y",Z290)),"S","")</f>
        <v>S</v>
      </c>
      <c r="BD290" s="90"/>
      <c r="BE290" s="24" t="s">
        <v>113</v>
      </c>
      <c r="BF290" s="125" t="str">
        <f>IF(AND(AW290&gt;=56543,AW290&lt;=76543,LEN(AW290)&gt;0),"3 Feb 2020",IF(AND(AW290&gt;=66544,AW290&lt;=99999,LEN(AW290)&gt;0),"12 Sep 2020",""))</f>
        <v>3 Feb 2020</v>
      </c>
      <c r="BG290" s="125" t="str">
        <f>IF((AND(BF290="3 Feb 2020",LEN(BF290)&gt;0)),"Completed",IF((AND(BF290="12 Sep 2020",LEN(BF290)&gt;0)),"Pending",""))</f>
        <v>Completed</v>
      </c>
      <c r="BH290" s="90" t="str">
        <f>IF((AND(BF290="3 Feb 2020",LEN(BF290)&gt;0)),"3 Feb 2020","")</f>
        <v>3 Feb 2020</v>
      </c>
      <c r="BI290" s="90">
        <v>196474</v>
      </c>
      <c r="BJ290" s="90" t="str">
        <f>L290</f>
        <v>6C50CS87456-53</v>
      </c>
      <c r="BK290" s="127">
        <v>43508</v>
      </c>
      <c r="BL290" s="127">
        <v>44239</v>
      </c>
      <c r="BM290" s="128">
        <f>P290*1.1</f>
        <v>2447274.5</v>
      </c>
      <c r="BN290" s="129">
        <f>P290*0.9</f>
        <v>2002315.5</v>
      </c>
      <c r="BO290" s="130">
        <f>P290*0.8</f>
        <v>1779836</v>
      </c>
      <c r="BP290" s="90">
        <f>IF(Z290="Y",BM290*0.4,BM290*1.05)</f>
        <v>978909.8</v>
      </c>
      <c r="BQ290" s="90">
        <f>BP290*0.8</f>
        <v>783127.84000000008</v>
      </c>
      <c r="BR290" s="90" t="str">
        <f>IF(ISNUMBER(SEARCH("subrecipient",AI286)),P290*0.6,"")</f>
        <v/>
      </c>
      <c r="BS290" s="90">
        <v>196474</v>
      </c>
      <c r="BT290" s="90" t="str">
        <f>BJ290</f>
        <v>6C50CS87456-53</v>
      </c>
      <c r="BU290" s="127">
        <f>BK290</f>
        <v>43508</v>
      </c>
      <c r="BV290" s="127">
        <f>BL290</f>
        <v>44239</v>
      </c>
      <c r="BW290" s="90" t="str">
        <f>H290</f>
        <v>FDA</v>
      </c>
      <c r="BX290" s="90" t="str">
        <f>IF(H290="NATIONAL HEMOPHILIA FOUNDATION","Non Federal","Federal")</f>
        <v>Federal</v>
      </c>
      <c r="BY290" s="128">
        <f>BM290</f>
        <v>2447274.5</v>
      </c>
      <c r="BZ290" s="90" t="str">
        <f>IF(LEN(BR290)&gt;0,1,"")</f>
        <v/>
      </c>
      <c r="CA290" s="90" t="str">
        <f>IF(LEN(BR290)&gt;0,"VIRAL HEPATITIS PROJECT","")</f>
        <v/>
      </c>
      <c r="CB290" s="129" t="str">
        <f>IF(LEN(BR290)&gt;0,BM290*0.7,"")</f>
        <v/>
      </c>
      <c r="CC290" s="90">
        <f>BP290</f>
        <v>978909.8</v>
      </c>
      <c r="CD290" s="90" t="str">
        <f>IF(LEN(BR290)&gt;0,"70%","")</f>
        <v/>
      </c>
      <c r="CE290" s="90">
        <f>BS290</f>
        <v>196474</v>
      </c>
      <c r="CF290" s="90" t="str">
        <f>CA290</f>
        <v/>
      </c>
      <c r="CG290" s="90"/>
      <c r="CH290" s="90"/>
      <c r="CI290" s="90"/>
      <c r="CJ290" s="90"/>
      <c r="CK290" s="90"/>
      <c r="CL290" s="90"/>
      <c r="CM290" s="90"/>
      <c r="CN290" s="90"/>
      <c r="CO290" s="90"/>
      <c r="CP290" s="90"/>
      <c r="CQ290" s="90"/>
      <c r="CR290" s="90"/>
      <c r="CS290" s="90"/>
      <c r="CT290" s="137"/>
    </row>
    <row r="291" spans="1:98" ht="210">
      <c r="A291" s="89">
        <v>196651</v>
      </c>
      <c r="B291" s="90">
        <v>2020</v>
      </c>
      <c r="C291" s="90" t="s">
        <v>81</v>
      </c>
      <c r="D291" s="90" t="s">
        <v>972</v>
      </c>
      <c r="E291" s="125" t="s">
        <v>791</v>
      </c>
      <c r="F291" s="24" t="s">
        <v>973</v>
      </c>
      <c r="G291" s="90" t="s">
        <v>85</v>
      </c>
      <c r="H291" s="90" t="s">
        <v>150</v>
      </c>
      <c r="I291" s="90">
        <v>93</v>
      </c>
      <c r="J291" s="90">
        <v>157</v>
      </c>
      <c r="K291" s="90" t="s">
        <v>85</v>
      </c>
      <c r="L291" s="90" t="s">
        <v>974</v>
      </c>
      <c r="M291" s="90" t="s">
        <v>85</v>
      </c>
      <c r="N291" s="24" t="s">
        <v>975</v>
      </c>
      <c r="O291" s="24" t="str">
        <f>IF(ISNUMBER(SEARCH("Cancer",N291)),"Cancer",IF(ISNUMBER(SEARCH("health",N291)),"Public health",IF(ISNUMBER(SEARCH("disabilities",N291)),"Disabilities","Other")))</f>
        <v>Public health</v>
      </c>
      <c r="P291" s="126">
        <v>2646888</v>
      </c>
      <c r="Q291" s="90" t="s">
        <v>87</v>
      </c>
      <c r="R291" s="90" t="str">
        <f>IF(P291&gt;20000000,"B","A")</f>
        <v>A</v>
      </c>
      <c r="S291" s="90" t="s">
        <v>90</v>
      </c>
      <c r="T291" s="90">
        <v>2576082</v>
      </c>
      <c r="U291" s="90" t="s">
        <v>91</v>
      </c>
      <c r="V291" s="90" t="s">
        <v>85</v>
      </c>
      <c r="W291" s="90" t="s">
        <v>85</v>
      </c>
      <c r="X291" s="90" t="s">
        <v>87</v>
      </c>
      <c r="Y291" s="90" t="s">
        <v>85</v>
      </c>
      <c r="Z291" s="90" t="s">
        <v>85</v>
      </c>
      <c r="AA291" s="90" t="s">
        <v>85</v>
      </c>
      <c r="AB291" s="90" t="s">
        <v>85</v>
      </c>
      <c r="AC291" s="90" t="s">
        <v>85</v>
      </c>
      <c r="AD291" s="90">
        <v>0</v>
      </c>
      <c r="AE291" s="24" t="s">
        <v>976</v>
      </c>
      <c r="AF291" s="90" t="s">
        <v>91</v>
      </c>
      <c r="AG291" s="24" t="s">
        <v>977</v>
      </c>
      <c r="AH291" s="90">
        <v>89084</v>
      </c>
      <c r="AI291" s="24" t="s">
        <v>94</v>
      </c>
      <c r="AJ291" s="24" t="s">
        <v>978</v>
      </c>
      <c r="AK291" s="90" t="s">
        <v>87</v>
      </c>
      <c r="AL291" s="90">
        <v>196651</v>
      </c>
      <c r="AM291" s="90" t="s">
        <v>81</v>
      </c>
      <c r="AN291" s="90" t="s">
        <v>972</v>
      </c>
      <c r="AO291" s="125" t="s">
        <v>791</v>
      </c>
      <c r="AP291" s="24" t="s">
        <v>975</v>
      </c>
      <c r="AQ291" s="90" t="s">
        <v>974</v>
      </c>
      <c r="AR291" s="24" t="s">
        <v>975</v>
      </c>
      <c r="AS291" s="90">
        <v>2576082</v>
      </c>
      <c r="AT291" s="24" t="s">
        <v>94</v>
      </c>
      <c r="AU291" s="90" t="s">
        <v>85</v>
      </c>
      <c r="AV291" s="90" t="str">
        <f>IF(ISNUMBER(SEARCH("disagree",AE291)),"N","Y")</f>
        <v>Y</v>
      </c>
      <c r="AW291" s="90" t="s">
        <v>119</v>
      </c>
      <c r="AX291" s="24" t="s">
        <v>119</v>
      </c>
      <c r="AY291" s="90" t="str">
        <f>CONCATENATE(AZ291,BA291,BB291,BC291)</f>
        <v/>
      </c>
      <c r="AZ291" s="90" t="str">
        <f>IF(ISNUMBER(SEARCH("Y",AC291)),"R","")</f>
        <v/>
      </c>
      <c r="BA291" s="90" t="str">
        <f>IF(ISNUMBER(SEARCH("Y",Y291)),"M","")</f>
        <v/>
      </c>
      <c r="BB291" s="90" t="str">
        <f>IF(ISNUMBER(SEARCH("Y",AB291)),"QC","")</f>
        <v/>
      </c>
      <c r="BC291" s="90" t="str">
        <f>IF(ISNUMBER(SEARCH("Y",Z291)),"S","")</f>
        <v/>
      </c>
      <c r="BD291" s="90"/>
      <c r="BE291" s="24" t="s">
        <v>119</v>
      </c>
      <c r="BF291" s="125" t="str">
        <f>IF(AND(AW291&gt;=56543,AW291&lt;=76543,LEN(AW291)&gt;0),"3 Feb 2020",IF(AND(AW291&gt;=66544,AW291&lt;=99999,LEN(AW291)&gt;0),"12 Sep 2020",""))</f>
        <v/>
      </c>
      <c r="BG291" s="125" t="str">
        <f>IF((AND(BF291="3 Feb 2020",LEN(BF291)&gt;0)),"Completed",IF((AND(BF291="12 Sep 2020",LEN(BF291)&gt;0)),"Pending",""))</f>
        <v/>
      </c>
      <c r="BH291" s="90" t="str">
        <f>IF((AND(BF291="3 Feb 2020",LEN(BF291)&gt;0)),"3 Feb 2020","")</f>
        <v/>
      </c>
      <c r="BI291" s="90">
        <v>196651</v>
      </c>
      <c r="BJ291" s="90" t="str">
        <f>L291</f>
        <v>8C82BS89008-96</v>
      </c>
      <c r="BK291" s="127">
        <v>43508</v>
      </c>
      <c r="BL291" s="127">
        <v>44239</v>
      </c>
      <c r="BM291" s="128">
        <f>P291*1.1</f>
        <v>2911576.8000000003</v>
      </c>
      <c r="BN291" s="129">
        <f>P291*0.9</f>
        <v>2382199.2000000002</v>
      </c>
      <c r="BO291" s="130">
        <f>P291*0.8</f>
        <v>2117510.4</v>
      </c>
      <c r="BP291" s="90">
        <f>IF(Z291="Y",BM291*0.4,BM291*1.05)</f>
        <v>3057155.6400000006</v>
      </c>
      <c r="BQ291" s="90">
        <f>BP291*0.8</f>
        <v>2445724.5120000006</v>
      </c>
      <c r="BR291" s="90" t="str">
        <f>IF(ISNUMBER(SEARCH("subrecipient",AI287)),P291*0.6,"")</f>
        <v/>
      </c>
      <c r="BS291" s="90">
        <v>196651</v>
      </c>
      <c r="BT291" s="90" t="str">
        <f>BJ291</f>
        <v>8C82BS89008-96</v>
      </c>
      <c r="BU291" s="127">
        <f>BK291</f>
        <v>43508</v>
      </c>
      <c r="BV291" s="127">
        <f>BL291</f>
        <v>44239</v>
      </c>
      <c r="BW291" s="90" t="str">
        <f>H291</f>
        <v>ACF</v>
      </c>
      <c r="BX291" s="90" t="str">
        <f>IF(H291="NATIONAL HEMOPHILIA FOUNDATION","Non Federal","Federal")</f>
        <v>Federal</v>
      </c>
      <c r="BY291" s="128">
        <f>BM291</f>
        <v>2911576.8000000003</v>
      </c>
      <c r="BZ291" s="90" t="str">
        <f>IF(LEN(BR291)&gt;0,1,"")</f>
        <v/>
      </c>
      <c r="CA291" s="90" t="str">
        <f>IF(LEN(BR291)&gt;0,"VIRAL HEPATITIS PROJECT","")</f>
        <v/>
      </c>
      <c r="CB291" s="129" t="str">
        <f>IF(LEN(BR291)&gt;0,BM291*0.7,"")</f>
        <v/>
      </c>
      <c r="CC291" s="90">
        <f>BP291</f>
        <v>3057155.6400000006</v>
      </c>
      <c r="CD291" s="90" t="str">
        <f>IF(LEN(BR291)&gt;0,"70%","")</f>
        <v/>
      </c>
      <c r="CE291" s="90">
        <f>BS291</f>
        <v>196651</v>
      </c>
      <c r="CF291" s="90" t="str">
        <f>CA291</f>
        <v/>
      </c>
      <c r="CG291" s="90"/>
      <c r="CH291" s="90"/>
      <c r="CI291" s="90"/>
      <c r="CJ291" s="90"/>
      <c r="CK291" s="90"/>
      <c r="CL291" s="90"/>
      <c r="CM291" s="90"/>
      <c r="CN291" s="90"/>
      <c r="CO291" s="90"/>
      <c r="CP291" s="90"/>
      <c r="CQ291" s="90"/>
      <c r="CR291" s="90"/>
      <c r="CS291" s="90"/>
      <c r="CT291" s="137"/>
    </row>
    <row r="292" spans="1:98" ht="105">
      <c r="A292" s="89">
        <v>196651</v>
      </c>
      <c r="B292" s="90">
        <v>2020</v>
      </c>
      <c r="C292" s="90" t="s">
        <v>81</v>
      </c>
      <c r="D292" s="90" t="s">
        <v>972</v>
      </c>
      <c r="E292" s="125" t="s">
        <v>793</v>
      </c>
      <c r="F292" s="24" t="s">
        <v>973</v>
      </c>
      <c r="G292" s="90" t="s">
        <v>85</v>
      </c>
      <c r="H292" s="90" t="s">
        <v>150</v>
      </c>
      <c r="I292" s="90">
        <v>93</v>
      </c>
      <c r="J292" s="90">
        <v>157</v>
      </c>
      <c r="K292" s="90" t="s">
        <v>85</v>
      </c>
      <c r="L292" s="90" t="s">
        <v>974</v>
      </c>
      <c r="M292" s="90" t="s">
        <v>85</v>
      </c>
      <c r="N292" s="24" t="s">
        <v>975</v>
      </c>
      <c r="O292" s="24" t="str">
        <f>IF(ISNUMBER(SEARCH("Cancer",N292)),"Cancer",IF(ISNUMBER(SEARCH("health",N292)),"Public health",IF(ISNUMBER(SEARCH("disabilities",N292)),"Disabilities","Other")))</f>
        <v>Public health</v>
      </c>
      <c r="P292" s="126">
        <v>2646888</v>
      </c>
      <c r="Q292" s="90" t="s">
        <v>85</v>
      </c>
      <c r="R292" s="90" t="str">
        <f>IF(P292&gt;20000000,"B","A")</f>
        <v>A</v>
      </c>
      <c r="S292" s="90" t="s">
        <v>90</v>
      </c>
      <c r="T292" s="90">
        <v>2576082</v>
      </c>
      <c r="U292" s="90" t="s">
        <v>91</v>
      </c>
      <c r="V292" s="90" t="s">
        <v>85</v>
      </c>
      <c r="W292" s="90" t="s">
        <v>85</v>
      </c>
      <c r="X292" s="90" t="s">
        <v>87</v>
      </c>
      <c r="Y292" s="90" t="s">
        <v>85</v>
      </c>
      <c r="Z292" s="90" t="s">
        <v>85</v>
      </c>
      <c r="AA292" s="90" t="s">
        <v>85</v>
      </c>
      <c r="AB292" s="90" t="s">
        <v>85</v>
      </c>
      <c r="AC292" s="90" t="s">
        <v>85</v>
      </c>
      <c r="AD292" s="90">
        <v>0</v>
      </c>
      <c r="AE292" s="24">
        <v>0</v>
      </c>
      <c r="AF292" s="90">
        <v>0</v>
      </c>
      <c r="AG292" s="24">
        <v>0</v>
      </c>
      <c r="AH292" s="90">
        <v>89083</v>
      </c>
      <c r="AI292" s="24" t="s">
        <v>102</v>
      </c>
      <c r="AJ292" s="24" t="s">
        <v>979</v>
      </c>
      <c r="AK292" s="90" t="s">
        <v>85</v>
      </c>
      <c r="AL292" s="90">
        <v>196651</v>
      </c>
      <c r="AM292" s="90" t="s">
        <v>81</v>
      </c>
      <c r="AN292" s="90" t="s">
        <v>972</v>
      </c>
      <c r="AO292" s="125" t="s">
        <v>793</v>
      </c>
      <c r="AP292" s="24" t="s">
        <v>975</v>
      </c>
      <c r="AQ292" s="90" t="s">
        <v>974</v>
      </c>
      <c r="AR292" s="24" t="s">
        <v>975</v>
      </c>
      <c r="AS292" s="90">
        <v>2576082</v>
      </c>
      <c r="AT292" s="24" t="s">
        <v>102</v>
      </c>
      <c r="AU292" s="90" t="s">
        <v>85</v>
      </c>
      <c r="AV292" s="90" t="str">
        <f>IF(ISNUMBER(SEARCH("disagree",AE292)),"N","Y")</f>
        <v>Y</v>
      </c>
      <c r="AW292" s="90" t="s">
        <v>119</v>
      </c>
      <c r="AX292" s="24" t="s">
        <v>119</v>
      </c>
      <c r="AY292" s="90" t="str">
        <f>CONCATENATE(AZ292,BA292,BB292,BC292)</f>
        <v/>
      </c>
      <c r="AZ292" s="90" t="str">
        <f>IF(ISNUMBER(SEARCH("Y",AC292)),"R","")</f>
        <v/>
      </c>
      <c r="BA292" s="90" t="str">
        <f>IF(ISNUMBER(SEARCH("Y",Y292)),"M","")</f>
        <v/>
      </c>
      <c r="BB292" s="90" t="str">
        <f>IF(ISNUMBER(SEARCH("Y",AB292)),"QC","")</f>
        <v/>
      </c>
      <c r="BC292" s="90" t="str">
        <f>IF(ISNUMBER(SEARCH("Y",Z292)),"S","")</f>
        <v/>
      </c>
      <c r="BD292" s="90"/>
      <c r="BE292" s="24" t="s">
        <v>119</v>
      </c>
      <c r="BF292" s="125" t="str">
        <f>IF(AND(AW292&gt;=56543,AW292&lt;=76543,LEN(AW292)&gt;0),"3 Feb 2020",IF(AND(AW292&gt;=66544,AW292&lt;=99999,LEN(AW292)&gt;0),"12 Sep 2020",""))</f>
        <v/>
      </c>
      <c r="BG292" s="125" t="str">
        <f>IF((AND(BF292="3 Feb 2020",LEN(BF292)&gt;0)),"Completed",IF((AND(BF292="12 Sep 2020",LEN(BF292)&gt;0)),"Pending",""))</f>
        <v/>
      </c>
      <c r="BH292" s="90" t="str">
        <f>IF((AND(BF292="3 Feb 2020",LEN(BF292)&gt;0)),"3 Feb 2020","")</f>
        <v/>
      </c>
      <c r="BI292" s="90">
        <v>196651</v>
      </c>
      <c r="BJ292" s="90" t="str">
        <f>L292</f>
        <v>8C82BS89008-96</v>
      </c>
      <c r="BK292" s="127">
        <v>43508</v>
      </c>
      <c r="BL292" s="127">
        <v>44239</v>
      </c>
      <c r="BM292" s="128">
        <f>P292*1.1</f>
        <v>2911576.8000000003</v>
      </c>
      <c r="BN292" s="129">
        <f>P292*0.9</f>
        <v>2382199.2000000002</v>
      </c>
      <c r="BO292" s="130">
        <f>P292*0.8</f>
        <v>2117510.4</v>
      </c>
      <c r="BP292" s="90">
        <f>IF(Z292="Y",BM292*0.4,BM292*1.05)</f>
        <v>3057155.6400000006</v>
      </c>
      <c r="BQ292" s="90">
        <f>BP292*0.8</f>
        <v>2445724.5120000006</v>
      </c>
      <c r="BR292" s="90" t="str">
        <f>IF(ISNUMBER(SEARCH("subrecipient",AI288)),P292*0.6,"")</f>
        <v/>
      </c>
      <c r="BS292" s="90">
        <v>196651</v>
      </c>
      <c r="BT292" s="90" t="str">
        <f>BJ292</f>
        <v>8C82BS89008-96</v>
      </c>
      <c r="BU292" s="127">
        <f>BK292</f>
        <v>43508</v>
      </c>
      <c r="BV292" s="127">
        <f>BL292</f>
        <v>44239</v>
      </c>
      <c r="BW292" s="90" t="str">
        <f>H292</f>
        <v>ACF</v>
      </c>
      <c r="BX292" s="90" t="str">
        <f>IF(H292="NATIONAL HEMOPHILIA FOUNDATION","Non Federal","Federal")</f>
        <v>Federal</v>
      </c>
      <c r="BY292" s="128">
        <f>BM292</f>
        <v>2911576.8000000003</v>
      </c>
      <c r="BZ292" s="90" t="str">
        <f>IF(LEN(BR292)&gt;0,1,"")</f>
        <v/>
      </c>
      <c r="CA292" s="90" t="str">
        <f>IF(LEN(BR292)&gt;0,"VIRAL HEPATITIS PROJECT","")</f>
        <v/>
      </c>
      <c r="CB292" s="129" t="str">
        <f>IF(LEN(BR292)&gt;0,BM292*0.7,"")</f>
        <v/>
      </c>
      <c r="CC292" s="90">
        <f>BP292</f>
        <v>3057155.6400000006</v>
      </c>
      <c r="CD292" s="90" t="str">
        <f>IF(LEN(BR292)&gt;0,"70%","")</f>
        <v/>
      </c>
      <c r="CE292" s="90">
        <f>BS292</f>
        <v>196651</v>
      </c>
      <c r="CF292" s="90" t="str">
        <f>CA292</f>
        <v/>
      </c>
      <c r="CG292" s="90"/>
      <c r="CH292" s="90"/>
      <c r="CI292" s="90"/>
      <c r="CJ292" s="90"/>
      <c r="CK292" s="90"/>
      <c r="CL292" s="90"/>
      <c r="CM292" s="90"/>
      <c r="CN292" s="90"/>
      <c r="CO292" s="90"/>
      <c r="CP292" s="90"/>
      <c r="CQ292" s="90"/>
      <c r="CR292" s="90"/>
      <c r="CS292" s="90"/>
      <c r="CT292" s="137"/>
    </row>
    <row r="293" spans="1:98" ht="105">
      <c r="A293" s="89">
        <v>196651</v>
      </c>
      <c r="B293" s="90">
        <v>2020</v>
      </c>
      <c r="C293" s="90" t="s">
        <v>81</v>
      </c>
      <c r="D293" s="90" t="s">
        <v>972</v>
      </c>
      <c r="E293" s="125" t="s">
        <v>780</v>
      </c>
      <c r="F293" s="24" t="s">
        <v>973</v>
      </c>
      <c r="G293" s="90" t="s">
        <v>85</v>
      </c>
      <c r="H293" s="90" t="s">
        <v>150</v>
      </c>
      <c r="I293" s="90">
        <v>93</v>
      </c>
      <c r="J293" s="90">
        <v>157</v>
      </c>
      <c r="K293" s="90" t="s">
        <v>85</v>
      </c>
      <c r="L293" s="90" t="s">
        <v>974</v>
      </c>
      <c r="M293" s="90" t="s">
        <v>85</v>
      </c>
      <c r="N293" s="24" t="s">
        <v>975</v>
      </c>
      <c r="O293" s="24" t="str">
        <f>IF(ISNUMBER(SEARCH("Cancer",N293)),"Cancer",IF(ISNUMBER(SEARCH("health",N293)),"Public health",IF(ISNUMBER(SEARCH("disabilities",N293)),"Disabilities","Other")))</f>
        <v>Public health</v>
      </c>
      <c r="P293" s="126">
        <v>2646888</v>
      </c>
      <c r="Q293" s="90" t="s">
        <v>85</v>
      </c>
      <c r="R293" s="90" t="str">
        <f>IF(P293&gt;20000000,"B","A")</f>
        <v>A</v>
      </c>
      <c r="S293" s="90" t="s">
        <v>90</v>
      </c>
      <c r="T293" s="90">
        <v>2576082</v>
      </c>
      <c r="U293" s="90" t="s">
        <v>91</v>
      </c>
      <c r="V293" s="90" t="s">
        <v>85</v>
      </c>
      <c r="W293" s="90" t="s">
        <v>85</v>
      </c>
      <c r="X293" s="90" t="s">
        <v>87</v>
      </c>
      <c r="Y293" s="90" t="s">
        <v>85</v>
      </c>
      <c r="Z293" s="90" t="s">
        <v>85</v>
      </c>
      <c r="AA293" s="90" t="s">
        <v>85</v>
      </c>
      <c r="AB293" s="90" t="s">
        <v>85</v>
      </c>
      <c r="AC293" s="90" t="s">
        <v>85</v>
      </c>
      <c r="AD293" s="90">
        <v>0</v>
      </c>
      <c r="AE293" s="24">
        <v>0</v>
      </c>
      <c r="AF293" s="90">
        <v>0</v>
      </c>
      <c r="AG293" s="24">
        <v>0</v>
      </c>
      <c r="AH293" s="90">
        <v>89085</v>
      </c>
      <c r="AI293" s="24" t="s">
        <v>110</v>
      </c>
      <c r="AJ293" s="24" t="s">
        <v>980</v>
      </c>
      <c r="AK293" s="90" t="s">
        <v>85</v>
      </c>
      <c r="AL293" s="90">
        <v>196651</v>
      </c>
      <c r="AM293" s="90" t="s">
        <v>81</v>
      </c>
      <c r="AN293" s="90" t="s">
        <v>972</v>
      </c>
      <c r="AO293" s="125" t="s">
        <v>780</v>
      </c>
      <c r="AP293" s="24" t="s">
        <v>975</v>
      </c>
      <c r="AQ293" s="90" t="s">
        <v>974</v>
      </c>
      <c r="AR293" s="24" t="s">
        <v>975</v>
      </c>
      <c r="AS293" s="90">
        <v>2576082</v>
      </c>
      <c r="AT293" s="24" t="s">
        <v>110</v>
      </c>
      <c r="AU293" s="90" t="s">
        <v>85</v>
      </c>
      <c r="AV293" s="90" t="str">
        <f>IF(ISNUMBER(SEARCH("disagree",AE293)),"N","Y")</f>
        <v>Y</v>
      </c>
      <c r="AW293" s="90" t="s">
        <v>119</v>
      </c>
      <c r="AX293" s="24" t="s">
        <v>119</v>
      </c>
      <c r="AY293" s="90" t="str">
        <f>CONCATENATE(AZ293,BA293,BB293,BC293)</f>
        <v/>
      </c>
      <c r="AZ293" s="90" t="str">
        <f>IF(ISNUMBER(SEARCH("Y",AC293)),"R","")</f>
        <v/>
      </c>
      <c r="BA293" s="90" t="str">
        <f>IF(ISNUMBER(SEARCH("Y",Y293)),"M","")</f>
        <v/>
      </c>
      <c r="BB293" s="90" t="str">
        <f>IF(ISNUMBER(SEARCH("Y",AB293)),"QC","")</f>
        <v/>
      </c>
      <c r="BC293" s="90" t="str">
        <f>IF(ISNUMBER(SEARCH("Y",Z293)),"S","")</f>
        <v/>
      </c>
      <c r="BD293" s="90"/>
      <c r="BE293" s="24" t="s">
        <v>119</v>
      </c>
      <c r="BF293" s="125" t="str">
        <f>IF(AND(AW293&gt;=56543,AW293&lt;=76543,LEN(AW293)&gt;0),"3 Feb 2020",IF(AND(AW293&gt;=66544,AW293&lt;=99999,LEN(AW293)&gt;0),"12 Sep 2020",""))</f>
        <v/>
      </c>
      <c r="BG293" s="125" t="str">
        <f>IF((AND(BF293="3 Feb 2020",LEN(BF293)&gt;0)),"Completed",IF((AND(BF293="12 Sep 2020",LEN(BF293)&gt;0)),"Pending",""))</f>
        <v/>
      </c>
      <c r="BH293" s="90" t="str">
        <f>IF((AND(BF293="3 Feb 2020",LEN(BF293)&gt;0)),"3 Feb 2020","")</f>
        <v/>
      </c>
      <c r="BI293" s="90">
        <v>196651</v>
      </c>
      <c r="BJ293" s="90" t="str">
        <f>L293</f>
        <v>8C82BS89008-96</v>
      </c>
      <c r="BK293" s="127">
        <v>43508</v>
      </c>
      <c r="BL293" s="127">
        <v>44239</v>
      </c>
      <c r="BM293" s="128">
        <f>P293*1.1</f>
        <v>2911576.8000000003</v>
      </c>
      <c r="BN293" s="129">
        <f>P293*0.9</f>
        <v>2382199.2000000002</v>
      </c>
      <c r="BO293" s="130">
        <f>P293*0.8</f>
        <v>2117510.4</v>
      </c>
      <c r="BP293" s="90">
        <f>IF(Z293="Y",BM293*0.4,BM293*1.05)</f>
        <v>3057155.6400000006</v>
      </c>
      <c r="BQ293" s="90">
        <f>BP293*0.8</f>
        <v>2445724.5120000006</v>
      </c>
      <c r="BR293" s="90" t="str">
        <f>IF(ISNUMBER(SEARCH("subrecipient",AI289)),P293*0.6,"")</f>
        <v/>
      </c>
      <c r="BS293" s="90">
        <v>196651</v>
      </c>
      <c r="BT293" s="90" t="str">
        <f>BJ293</f>
        <v>8C82BS89008-96</v>
      </c>
      <c r="BU293" s="127">
        <f>BK293</f>
        <v>43508</v>
      </c>
      <c r="BV293" s="127">
        <f>BL293</f>
        <v>44239</v>
      </c>
      <c r="BW293" s="90" t="str">
        <f>H293</f>
        <v>ACF</v>
      </c>
      <c r="BX293" s="90" t="str">
        <f>IF(H293="NATIONAL HEMOPHILIA FOUNDATION","Non Federal","Federal")</f>
        <v>Federal</v>
      </c>
      <c r="BY293" s="128">
        <f>BM293</f>
        <v>2911576.8000000003</v>
      </c>
      <c r="BZ293" s="90" t="str">
        <f>IF(LEN(BR293)&gt;0,1,"")</f>
        <v/>
      </c>
      <c r="CA293" s="90" t="str">
        <f>IF(LEN(BR293)&gt;0,"VIRAL HEPATITIS PROJECT","")</f>
        <v/>
      </c>
      <c r="CB293" s="129" t="str">
        <f>IF(LEN(BR293)&gt;0,BM293*0.7,"")</f>
        <v/>
      </c>
      <c r="CC293" s="90">
        <f>BP293</f>
        <v>3057155.6400000006</v>
      </c>
      <c r="CD293" s="90" t="str">
        <f>IF(LEN(BR293)&gt;0,"70%","")</f>
        <v/>
      </c>
      <c r="CE293" s="90">
        <f>BS293</f>
        <v>196651</v>
      </c>
      <c r="CF293" s="90" t="str">
        <f>CA293</f>
        <v/>
      </c>
      <c r="CG293" s="90"/>
      <c r="CH293" s="90"/>
      <c r="CI293" s="90"/>
      <c r="CJ293" s="90"/>
      <c r="CK293" s="90"/>
      <c r="CL293" s="90"/>
      <c r="CM293" s="90"/>
      <c r="CN293" s="90"/>
      <c r="CO293" s="90"/>
      <c r="CP293" s="90"/>
      <c r="CQ293" s="90"/>
      <c r="CR293" s="90"/>
      <c r="CS293" s="90"/>
      <c r="CT293" s="137"/>
    </row>
    <row r="294" spans="1:98" ht="90">
      <c r="A294" s="89">
        <v>196758</v>
      </c>
      <c r="B294" s="90">
        <v>2020</v>
      </c>
      <c r="C294" s="90" t="s">
        <v>81</v>
      </c>
      <c r="D294" s="90" t="s">
        <v>981</v>
      </c>
      <c r="E294" s="125" t="s">
        <v>781</v>
      </c>
      <c r="F294" s="24" t="s">
        <v>982</v>
      </c>
      <c r="G294" s="90" t="s">
        <v>85</v>
      </c>
      <c r="H294" s="90" t="s">
        <v>86</v>
      </c>
      <c r="I294" s="90">
        <v>93</v>
      </c>
      <c r="J294" s="90">
        <v>157</v>
      </c>
      <c r="K294" s="90" t="s">
        <v>85</v>
      </c>
      <c r="L294" s="90" t="s">
        <v>983</v>
      </c>
      <c r="M294" s="90" t="s">
        <v>119</v>
      </c>
      <c r="N294" s="24" t="s">
        <v>764</v>
      </c>
      <c r="O294" s="24" t="str">
        <f>IF(ISNUMBER(SEARCH("Cancer",N294)),"Cancer",IF(ISNUMBER(SEARCH("health",N294)),"Public health",IF(ISNUMBER(SEARCH("disabilities",N294)),"Disabilities","Other")))</f>
        <v>Other</v>
      </c>
      <c r="P294" s="126">
        <v>2960591</v>
      </c>
      <c r="Q294" s="90" t="s">
        <v>85</v>
      </c>
      <c r="R294" s="90" t="str">
        <f>IF(P294&gt;20000000,"B","A")</f>
        <v>A</v>
      </c>
      <c r="S294" s="90" t="s">
        <v>90</v>
      </c>
      <c r="T294" s="90" t="s">
        <v>119</v>
      </c>
      <c r="U294" s="90" t="s">
        <v>119</v>
      </c>
      <c r="V294" s="90" t="s">
        <v>119</v>
      </c>
      <c r="W294" s="90" t="s">
        <v>119</v>
      </c>
      <c r="X294" s="90" t="s">
        <v>119</v>
      </c>
      <c r="Y294" s="90" t="s">
        <v>119</v>
      </c>
      <c r="Z294" s="90" t="s">
        <v>119</v>
      </c>
      <c r="AA294" s="90" t="s">
        <v>119</v>
      </c>
      <c r="AB294" s="90" t="s">
        <v>119</v>
      </c>
      <c r="AC294" s="90" t="s">
        <v>119</v>
      </c>
      <c r="AD294" s="90" t="s">
        <v>119</v>
      </c>
      <c r="AE294" s="24">
        <v>0</v>
      </c>
      <c r="AF294" s="90">
        <v>0</v>
      </c>
      <c r="AG294" s="24">
        <v>0</v>
      </c>
      <c r="AH294" s="90">
        <v>89767</v>
      </c>
      <c r="AI294" s="24" t="s">
        <v>94</v>
      </c>
      <c r="AJ294" s="24" t="s">
        <v>984</v>
      </c>
      <c r="AK294" s="90" t="s">
        <v>85</v>
      </c>
      <c r="AL294" s="90">
        <v>196758</v>
      </c>
      <c r="AM294" s="90" t="s">
        <v>81</v>
      </c>
      <c r="AN294" s="90" t="s">
        <v>981</v>
      </c>
      <c r="AO294" s="125" t="s">
        <v>781</v>
      </c>
      <c r="AP294" s="24" t="s">
        <v>764</v>
      </c>
      <c r="AQ294" s="90" t="s">
        <v>983</v>
      </c>
      <c r="AR294" s="24" t="s">
        <v>764</v>
      </c>
      <c r="AS294" s="90" t="s">
        <v>119</v>
      </c>
      <c r="AT294" s="24" t="s">
        <v>94</v>
      </c>
      <c r="AU294" s="90" t="s">
        <v>119</v>
      </c>
      <c r="AV294" s="90" t="str">
        <f>IF(ISNUMBER(SEARCH("disagree",AE294)),"N","Y")</f>
        <v>Y</v>
      </c>
      <c r="AW294" s="90" t="s">
        <v>119</v>
      </c>
      <c r="AX294" s="24" t="s">
        <v>119</v>
      </c>
      <c r="AY294" s="90" t="str">
        <f>CONCATENATE(AZ294,BA294,BB294,BC294)</f>
        <v/>
      </c>
      <c r="AZ294" s="90" t="str">
        <f>IF(ISNUMBER(SEARCH("Y",AC294)),"R","")</f>
        <v/>
      </c>
      <c r="BA294" s="90" t="str">
        <f>IF(ISNUMBER(SEARCH("Y",Y294)),"M","")</f>
        <v/>
      </c>
      <c r="BB294" s="90" t="str">
        <f>IF(ISNUMBER(SEARCH("Y",AB294)),"QC","")</f>
        <v/>
      </c>
      <c r="BC294" s="90" t="str">
        <f>IF(ISNUMBER(SEARCH("Y",Z294)),"S","")</f>
        <v/>
      </c>
      <c r="BD294" s="90"/>
      <c r="BE294" s="24" t="s">
        <v>119</v>
      </c>
      <c r="BF294" s="125" t="str">
        <f>IF(AND(AW294&gt;=56543,AW294&lt;=76543,LEN(AW294)&gt;0),"3 Feb 2020",IF(AND(AW294&gt;=66544,AW294&lt;=99999,LEN(AW294)&gt;0),"12 Sep 2020",""))</f>
        <v/>
      </c>
      <c r="BG294" s="125" t="str">
        <f>IF((AND(BF294="3 Feb 2020",LEN(BF294)&gt;0)),"Completed",IF((AND(BF294="12 Sep 2020",LEN(BF294)&gt;0)),"Pending",""))</f>
        <v/>
      </c>
      <c r="BH294" s="90" t="str">
        <f>IF((AND(BF294="3 Feb 2020",LEN(BF294)&gt;0)),"3 Feb 2020","")</f>
        <v/>
      </c>
      <c r="BI294" s="90">
        <v>196758</v>
      </c>
      <c r="BJ294" s="90" t="str">
        <f>L294</f>
        <v>7B58IR84816-80</v>
      </c>
      <c r="BK294" s="127">
        <v>43508</v>
      </c>
      <c r="BL294" s="127">
        <v>44239</v>
      </c>
      <c r="BM294" s="128">
        <f>P294*1.1</f>
        <v>3256650.1</v>
      </c>
      <c r="BN294" s="129">
        <f>P294*0.9</f>
        <v>2664531.9</v>
      </c>
      <c r="BO294" s="130">
        <f>P294*0.8</f>
        <v>2368472.8000000003</v>
      </c>
      <c r="BP294" s="90">
        <f>IF(Z294="Y",BM294*0.4,BM294*1.05)</f>
        <v>3419482.6050000004</v>
      </c>
      <c r="BQ294" s="90">
        <f>BP294*0.8</f>
        <v>2735586.0840000007</v>
      </c>
      <c r="BR294" s="90" t="str">
        <f>IF(ISNUMBER(SEARCH("subrecipient",AI290)),P294*0.6,"")</f>
        <v/>
      </c>
      <c r="BS294" s="90">
        <v>196758</v>
      </c>
      <c r="BT294" s="90" t="str">
        <f>BJ294</f>
        <v>7B58IR84816-80</v>
      </c>
      <c r="BU294" s="127">
        <f>BK294</f>
        <v>43508</v>
      </c>
      <c r="BV294" s="127">
        <f>BL294</f>
        <v>44239</v>
      </c>
      <c r="BW294" s="90" t="str">
        <f>H294</f>
        <v>CDC</v>
      </c>
      <c r="BX294" s="90" t="str">
        <f>IF(H294="NATIONAL HEMOPHILIA FOUNDATION","Non Federal","Federal")</f>
        <v>Federal</v>
      </c>
      <c r="BY294" s="128">
        <f>BM294</f>
        <v>3256650.1</v>
      </c>
      <c r="BZ294" s="90" t="str">
        <f>IF(LEN(BR294)&gt;0,1,"")</f>
        <v/>
      </c>
      <c r="CA294" s="90" t="str">
        <f>IF(LEN(BR294)&gt;0,"VIRAL HEPATITIS PROJECT","")</f>
        <v/>
      </c>
      <c r="CB294" s="129" t="str">
        <f>IF(LEN(BR294)&gt;0,BM294*0.7,"")</f>
        <v/>
      </c>
      <c r="CC294" s="90">
        <f>BP294</f>
        <v>3419482.6050000004</v>
      </c>
      <c r="CD294" s="90" t="str">
        <f>IF(LEN(BR294)&gt;0,"70%","")</f>
        <v/>
      </c>
      <c r="CE294" s="90">
        <f>BS294</f>
        <v>196758</v>
      </c>
      <c r="CF294" s="90" t="str">
        <f>CA294</f>
        <v/>
      </c>
      <c r="CG294" s="90"/>
      <c r="CH294" s="90"/>
      <c r="CI294" s="90"/>
      <c r="CJ294" s="90"/>
      <c r="CK294" s="90"/>
      <c r="CL294" s="90"/>
      <c r="CM294" s="90"/>
      <c r="CN294" s="90"/>
      <c r="CO294" s="90"/>
      <c r="CP294" s="90"/>
      <c r="CQ294" s="90"/>
      <c r="CR294" s="90"/>
      <c r="CS294" s="90"/>
      <c r="CT294" s="137"/>
    </row>
    <row r="295" spans="1:98" ht="45">
      <c r="A295" s="89">
        <v>196758</v>
      </c>
      <c r="B295" s="90">
        <v>2020</v>
      </c>
      <c r="C295" s="90" t="s">
        <v>81</v>
      </c>
      <c r="D295" s="90" t="s">
        <v>981</v>
      </c>
      <c r="E295" s="125" t="s">
        <v>784</v>
      </c>
      <c r="F295" s="24" t="s">
        <v>982</v>
      </c>
      <c r="G295" s="90" t="s">
        <v>85</v>
      </c>
      <c r="H295" s="90" t="s">
        <v>86</v>
      </c>
      <c r="I295" s="90">
        <v>93</v>
      </c>
      <c r="J295" s="90">
        <v>157</v>
      </c>
      <c r="K295" s="90" t="s">
        <v>85</v>
      </c>
      <c r="L295" s="90" t="s">
        <v>983</v>
      </c>
      <c r="M295" s="90" t="s">
        <v>119</v>
      </c>
      <c r="N295" s="24" t="s">
        <v>764</v>
      </c>
      <c r="O295" s="24" t="str">
        <f>IF(ISNUMBER(SEARCH("Cancer",N295)),"Cancer",IF(ISNUMBER(SEARCH("health",N295)),"Public health",IF(ISNUMBER(SEARCH("disabilities",N295)),"Disabilities","Other")))</f>
        <v>Other</v>
      </c>
      <c r="P295" s="126">
        <v>2960591</v>
      </c>
      <c r="Q295" s="90" t="s">
        <v>85</v>
      </c>
      <c r="R295" s="90" t="str">
        <f>IF(P295&gt;20000000,"B","A")</f>
        <v>A</v>
      </c>
      <c r="S295" s="90" t="s">
        <v>90</v>
      </c>
      <c r="T295" s="90" t="s">
        <v>119</v>
      </c>
      <c r="U295" s="90" t="s">
        <v>119</v>
      </c>
      <c r="V295" s="90" t="s">
        <v>119</v>
      </c>
      <c r="W295" s="90" t="s">
        <v>119</v>
      </c>
      <c r="X295" s="90" t="s">
        <v>119</v>
      </c>
      <c r="Y295" s="90" t="s">
        <v>119</v>
      </c>
      <c r="Z295" s="90" t="s">
        <v>119</v>
      </c>
      <c r="AA295" s="90" t="s">
        <v>119</v>
      </c>
      <c r="AB295" s="90" t="s">
        <v>119</v>
      </c>
      <c r="AC295" s="90" t="s">
        <v>119</v>
      </c>
      <c r="AD295" s="90" t="s">
        <v>119</v>
      </c>
      <c r="AE295" s="24">
        <v>0</v>
      </c>
      <c r="AF295" s="90">
        <v>0</v>
      </c>
      <c r="AG295" s="24">
        <v>0</v>
      </c>
      <c r="AH295" s="90">
        <v>89766</v>
      </c>
      <c r="AI295" s="24" t="s">
        <v>102</v>
      </c>
      <c r="AJ295" s="24" t="s">
        <v>103</v>
      </c>
      <c r="AK295" s="90" t="s">
        <v>85</v>
      </c>
      <c r="AL295" s="90">
        <v>196758</v>
      </c>
      <c r="AM295" s="90" t="s">
        <v>81</v>
      </c>
      <c r="AN295" s="90" t="s">
        <v>981</v>
      </c>
      <c r="AO295" s="125" t="s">
        <v>784</v>
      </c>
      <c r="AP295" s="24" t="s">
        <v>764</v>
      </c>
      <c r="AQ295" s="90" t="s">
        <v>983</v>
      </c>
      <c r="AR295" s="24" t="s">
        <v>764</v>
      </c>
      <c r="AS295" s="90" t="s">
        <v>119</v>
      </c>
      <c r="AT295" s="24" t="s">
        <v>102</v>
      </c>
      <c r="AU295" s="90" t="s">
        <v>119</v>
      </c>
      <c r="AV295" s="90" t="str">
        <f>IF(ISNUMBER(SEARCH("disagree",AE295)),"N","Y")</f>
        <v>Y</v>
      </c>
      <c r="AW295" s="90" t="s">
        <v>119</v>
      </c>
      <c r="AX295" s="24" t="s">
        <v>119</v>
      </c>
      <c r="AY295" s="90" t="str">
        <f>CONCATENATE(AZ295,BA295,BB295,BC295)</f>
        <v/>
      </c>
      <c r="AZ295" s="90" t="str">
        <f>IF(ISNUMBER(SEARCH("Y",AC295)),"R","")</f>
        <v/>
      </c>
      <c r="BA295" s="90" t="str">
        <f>IF(ISNUMBER(SEARCH("Y",Y295)),"M","")</f>
        <v/>
      </c>
      <c r="BB295" s="90" t="str">
        <f>IF(ISNUMBER(SEARCH("Y",AB295)),"QC","")</f>
        <v/>
      </c>
      <c r="BC295" s="90" t="str">
        <f>IF(ISNUMBER(SEARCH("Y",Z295)),"S","")</f>
        <v/>
      </c>
      <c r="BD295" s="90"/>
      <c r="BE295" s="24" t="s">
        <v>119</v>
      </c>
      <c r="BF295" s="125" t="str">
        <f>IF(AND(AW295&gt;=56543,AW295&lt;=76543,LEN(AW295)&gt;0),"3 Feb 2020",IF(AND(AW295&gt;=66544,AW295&lt;=99999,LEN(AW295)&gt;0),"12 Sep 2020",""))</f>
        <v/>
      </c>
      <c r="BG295" s="125" t="str">
        <f>IF((AND(BF295="3 Feb 2020",LEN(BF295)&gt;0)),"Completed",IF((AND(BF295="12 Sep 2020",LEN(BF295)&gt;0)),"Pending",""))</f>
        <v/>
      </c>
      <c r="BH295" s="90" t="str">
        <f>IF((AND(BF295="3 Feb 2020",LEN(BF295)&gt;0)),"3 Feb 2020","")</f>
        <v/>
      </c>
      <c r="BI295" s="90">
        <v>196758</v>
      </c>
      <c r="BJ295" s="90" t="str">
        <f>L295</f>
        <v>7B58IR84816-80</v>
      </c>
      <c r="BK295" s="127">
        <v>43508</v>
      </c>
      <c r="BL295" s="127">
        <v>44239</v>
      </c>
      <c r="BM295" s="128">
        <f>P295*1.1</f>
        <v>3256650.1</v>
      </c>
      <c r="BN295" s="129">
        <f>P295*0.9</f>
        <v>2664531.9</v>
      </c>
      <c r="BO295" s="130">
        <f>P295*0.8</f>
        <v>2368472.8000000003</v>
      </c>
      <c r="BP295" s="90">
        <f>IF(Z295="Y",BM295*0.4,BM295*1.05)</f>
        <v>3419482.6050000004</v>
      </c>
      <c r="BQ295" s="90">
        <f>BP295*0.8</f>
        <v>2735586.0840000007</v>
      </c>
      <c r="BR295" s="90" t="str">
        <f>IF(ISNUMBER(SEARCH("subrecipient",AI291)),P295*0.6,"")</f>
        <v/>
      </c>
      <c r="BS295" s="90">
        <v>196758</v>
      </c>
      <c r="BT295" s="90" t="str">
        <f>BJ295</f>
        <v>7B58IR84816-80</v>
      </c>
      <c r="BU295" s="127">
        <f>BK295</f>
        <v>43508</v>
      </c>
      <c r="BV295" s="127">
        <f>BL295</f>
        <v>44239</v>
      </c>
      <c r="BW295" s="90" t="str">
        <f>H295</f>
        <v>CDC</v>
      </c>
      <c r="BX295" s="90" t="str">
        <f>IF(H295="NATIONAL HEMOPHILIA FOUNDATION","Non Federal","Federal")</f>
        <v>Federal</v>
      </c>
      <c r="BY295" s="128">
        <f>BM295</f>
        <v>3256650.1</v>
      </c>
      <c r="BZ295" s="90" t="str">
        <f>IF(LEN(BR295)&gt;0,1,"")</f>
        <v/>
      </c>
      <c r="CA295" s="90" t="str">
        <f>IF(LEN(BR295)&gt;0,"VIRAL HEPATITIS PROJECT","")</f>
        <v/>
      </c>
      <c r="CB295" s="129" t="str">
        <f>IF(LEN(BR295)&gt;0,BM295*0.7,"")</f>
        <v/>
      </c>
      <c r="CC295" s="90">
        <f>BP295</f>
        <v>3419482.6050000004</v>
      </c>
      <c r="CD295" s="90" t="str">
        <f>IF(LEN(BR295)&gt;0,"70%","")</f>
        <v/>
      </c>
      <c r="CE295" s="90">
        <f>BS295</f>
        <v>196758</v>
      </c>
      <c r="CF295" s="90" t="str">
        <f>CA295</f>
        <v/>
      </c>
      <c r="CG295" s="90"/>
      <c r="CH295" s="90"/>
      <c r="CI295" s="90"/>
      <c r="CJ295" s="90"/>
      <c r="CK295" s="90"/>
      <c r="CL295" s="90"/>
      <c r="CM295" s="90"/>
      <c r="CN295" s="90"/>
      <c r="CO295" s="90"/>
      <c r="CP295" s="90"/>
      <c r="CQ295" s="90"/>
      <c r="CR295" s="90"/>
      <c r="CS295" s="90"/>
      <c r="CT295" s="137"/>
    </row>
    <row r="296" spans="1:98" ht="120">
      <c r="A296" s="89">
        <v>198258</v>
      </c>
      <c r="B296" s="90">
        <v>2020</v>
      </c>
      <c r="C296" s="90" t="s">
        <v>81</v>
      </c>
      <c r="D296" s="90" t="s">
        <v>985</v>
      </c>
      <c r="E296" s="125" t="s">
        <v>790</v>
      </c>
      <c r="F296" s="24" t="s">
        <v>986</v>
      </c>
      <c r="G296" s="90" t="s">
        <v>85</v>
      </c>
      <c r="H296" s="90" t="s">
        <v>117</v>
      </c>
      <c r="I296" s="90">
        <v>93</v>
      </c>
      <c r="J296" s="90">
        <v>157</v>
      </c>
      <c r="K296" s="90" t="s">
        <v>85</v>
      </c>
      <c r="L296" s="90" t="s">
        <v>987</v>
      </c>
      <c r="M296" s="90" t="s">
        <v>119</v>
      </c>
      <c r="N296" s="24" t="s">
        <v>988</v>
      </c>
      <c r="O296" s="24" t="str">
        <f>IF(ISNUMBER(SEARCH("Cancer",N296)),"Cancer",IF(ISNUMBER(SEARCH("health",N296)),"Public health",IF(ISNUMBER(SEARCH("disabilities",N296)),"Disabilities","Other")))</f>
        <v>Public health</v>
      </c>
      <c r="P296" s="126">
        <v>2109425</v>
      </c>
      <c r="Q296" s="90" t="s">
        <v>85</v>
      </c>
      <c r="R296" s="90" t="str">
        <f>IF(P296&gt;20000000,"B","A")</f>
        <v>A</v>
      </c>
      <c r="S296" s="90" t="s">
        <v>90</v>
      </c>
      <c r="T296" s="90" t="s">
        <v>119</v>
      </c>
      <c r="U296" s="90" t="s">
        <v>119</v>
      </c>
      <c r="V296" s="90" t="s">
        <v>119</v>
      </c>
      <c r="W296" s="90" t="s">
        <v>119</v>
      </c>
      <c r="X296" s="90" t="s">
        <v>119</v>
      </c>
      <c r="Y296" s="90" t="s">
        <v>119</v>
      </c>
      <c r="Z296" s="90" t="s">
        <v>119</v>
      </c>
      <c r="AA296" s="90" t="s">
        <v>119</v>
      </c>
      <c r="AB296" s="90" t="s">
        <v>119</v>
      </c>
      <c r="AC296" s="90" t="s">
        <v>119</v>
      </c>
      <c r="AD296" s="90" t="s">
        <v>119</v>
      </c>
      <c r="AE296" s="24">
        <v>0</v>
      </c>
      <c r="AF296" s="90">
        <v>0</v>
      </c>
      <c r="AG296" s="24">
        <v>0</v>
      </c>
      <c r="AH296" s="90">
        <v>86555</v>
      </c>
      <c r="AI296" s="24" t="s">
        <v>94</v>
      </c>
      <c r="AJ296" s="24" t="s">
        <v>989</v>
      </c>
      <c r="AK296" s="90" t="s">
        <v>85</v>
      </c>
      <c r="AL296" s="90">
        <v>198258</v>
      </c>
      <c r="AM296" s="90" t="s">
        <v>81</v>
      </c>
      <c r="AN296" s="90" t="s">
        <v>985</v>
      </c>
      <c r="AO296" s="125" t="s">
        <v>790</v>
      </c>
      <c r="AP296" s="24" t="s">
        <v>988</v>
      </c>
      <c r="AQ296" s="90" t="s">
        <v>987</v>
      </c>
      <c r="AR296" s="24" t="s">
        <v>988</v>
      </c>
      <c r="AS296" s="90" t="s">
        <v>119</v>
      </c>
      <c r="AT296" s="24" t="s">
        <v>94</v>
      </c>
      <c r="AU296" s="90" t="s">
        <v>119</v>
      </c>
      <c r="AV296" s="90" t="str">
        <f>IF(ISNUMBER(SEARCH("disagree",AE296)),"N","Y")</f>
        <v>Y</v>
      </c>
      <c r="AW296" s="90" t="s">
        <v>119</v>
      </c>
      <c r="AX296" s="24" t="s">
        <v>119</v>
      </c>
      <c r="AY296" s="90" t="str">
        <f>CONCATENATE(AZ296,BA296,BB296,BC296)</f>
        <v/>
      </c>
      <c r="AZ296" s="90" t="str">
        <f>IF(ISNUMBER(SEARCH("Y",AC296)),"R","")</f>
        <v/>
      </c>
      <c r="BA296" s="90" t="str">
        <f>IF(ISNUMBER(SEARCH("Y",Y296)),"M","")</f>
        <v/>
      </c>
      <c r="BB296" s="90" t="str">
        <f>IF(ISNUMBER(SEARCH("Y",AB296)),"QC","")</f>
        <v/>
      </c>
      <c r="BC296" s="90" t="str">
        <f>IF(ISNUMBER(SEARCH("Y",Z296)),"S","")</f>
        <v/>
      </c>
      <c r="BD296" s="90"/>
      <c r="BE296" s="24" t="s">
        <v>119</v>
      </c>
      <c r="BF296" s="125" t="str">
        <f>IF(AND(AW296&gt;=56543,AW296&lt;=76543,LEN(AW296)&gt;0),"3 Feb 2020",IF(AND(AW296&gt;=66544,AW296&lt;=99999,LEN(AW296)&gt;0),"12 Sep 2020",""))</f>
        <v/>
      </c>
      <c r="BG296" s="125" t="str">
        <f>IF((AND(BF296="3 Feb 2020",LEN(BF296)&gt;0)),"Completed",IF((AND(BF296="12 Sep 2020",LEN(BF296)&gt;0)),"Pending",""))</f>
        <v/>
      </c>
      <c r="BH296" s="90" t="str">
        <f>IF((AND(BF296="3 Feb 2020",LEN(BF296)&gt;0)),"3 Feb 2020","")</f>
        <v/>
      </c>
      <c r="BI296" s="90">
        <v>198258</v>
      </c>
      <c r="BJ296" s="90" t="str">
        <f>L296</f>
        <v>9B40CR89083-88</v>
      </c>
      <c r="BK296" s="127">
        <v>43508</v>
      </c>
      <c r="BL296" s="127">
        <v>44239</v>
      </c>
      <c r="BM296" s="128">
        <f>P296*1.1</f>
        <v>2320367.5</v>
      </c>
      <c r="BN296" s="129">
        <f>P296*0.9</f>
        <v>1898482.5</v>
      </c>
      <c r="BO296" s="130">
        <f>P296*0.8</f>
        <v>1687540</v>
      </c>
      <c r="BP296" s="90">
        <f>IF(Z296="Y",BM296*0.4,BM296*1.05)</f>
        <v>2436385.875</v>
      </c>
      <c r="BQ296" s="90">
        <f>BP296*0.8</f>
        <v>1949108.7000000002</v>
      </c>
      <c r="BR296" s="90" t="str">
        <f>IF(ISNUMBER(SEARCH("subrecipient",AI292)),P296*0.6,"")</f>
        <v/>
      </c>
      <c r="BS296" s="90">
        <v>198258</v>
      </c>
      <c r="BT296" s="90" t="str">
        <f>BJ296</f>
        <v>9B40CR89083-88</v>
      </c>
      <c r="BU296" s="127">
        <f>BK296</f>
        <v>43508</v>
      </c>
      <c r="BV296" s="127">
        <f>BL296</f>
        <v>44239</v>
      </c>
      <c r="BW296" s="90" t="str">
        <f>H296</f>
        <v>NIH</v>
      </c>
      <c r="BX296" s="90" t="str">
        <f>IF(H296="NATIONAL HEMOPHILIA FOUNDATION","Non Federal","Federal")</f>
        <v>Federal</v>
      </c>
      <c r="BY296" s="128">
        <f>BM296</f>
        <v>2320367.5</v>
      </c>
      <c r="BZ296" s="90" t="str">
        <f>IF(LEN(BR296)&gt;0,1,"")</f>
        <v/>
      </c>
      <c r="CA296" s="90" t="str">
        <f>IF(LEN(BR296)&gt;0,"VIRAL HEPATITIS PROJECT","")</f>
        <v/>
      </c>
      <c r="CB296" s="129" t="str">
        <f>IF(LEN(BR296)&gt;0,BM296*0.7,"")</f>
        <v/>
      </c>
      <c r="CC296" s="90">
        <f>BP296</f>
        <v>2436385.875</v>
      </c>
      <c r="CD296" s="90" t="str">
        <f>IF(LEN(BR296)&gt;0,"70%","")</f>
        <v/>
      </c>
      <c r="CE296" s="90">
        <f>BS296</f>
        <v>198258</v>
      </c>
      <c r="CF296" s="90" t="str">
        <f>CA296</f>
        <v/>
      </c>
      <c r="CG296" s="90"/>
      <c r="CH296" s="90"/>
      <c r="CI296" s="90"/>
      <c r="CJ296" s="90"/>
      <c r="CK296" s="90"/>
      <c r="CL296" s="90"/>
      <c r="CM296" s="90"/>
      <c r="CN296" s="90"/>
      <c r="CO296" s="90"/>
      <c r="CP296" s="90"/>
      <c r="CQ296" s="90"/>
      <c r="CR296" s="90"/>
      <c r="CS296" s="90"/>
      <c r="CT296" s="137"/>
    </row>
    <row r="297" spans="1:98" ht="120">
      <c r="A297" s="89">
        <v>198258</v>
      </c>
      <c r="B297" s="90">
        <v>2020</v>
      </c>
      <c r="C297" s="90" t="s">
        <v>81</v>
      </c>
      <c r="D297" s="90" t="s">
        <v>985</v>
      </c>
      <c r="E297" s="125" t="s">
        <v>791</v>
      </c>
      <c r="F297" s="24" t="s">
        <v>986</v>
      </c>
      <c r="G297" s="90" t="s">
        <v>85</v>
      </c>
      <c r="H297" s="90" t="s">
        <v>117</v>
      </c>
      <c r="I297" s="90">
        <v>93</v>
      </c>
      <c r="J297" s="90">
        <v>157</v>
      </c>
      <c r="K297" s="90" t="s">
        <v>85</v>
      </c>
      <c r="L297" s="90" t="s">
        <v>987</v>
      </c>
      <c r="M297" s="90" t="s">
        <v>119</v>
      </c>
      <c r="N297" s="24" t="s">
        <v>988</v>
      </c>
      <c r="O297" s="24" t="str">
        <f>IF(ISNUMBER(SEARCH("Cancer",N297)),"Cancer",IF(ISNUMBER(SEARCH("health",N297)),"Public health",IF(ISNUMBER(SEARCH("disabilities",N297)),"Disabilities","Other")))</f>
        <v>Public health</v>
      </c>
      <c r="P297" s="126">
        <v>2109425</v>
      </c>
      <c r="Q297" s="90" t="s">
        <v>85</v>
      </c>
      <c r="R297" s="90" t="str">
        <f>IF(P297&gt;20000000,"B","A")</f>
        <v>A</v>
      </c>
      <c r="S297" s="90" t="s">
        <v>90</v>
      </c>
      <c r="T297" s="90" t="s">
        <v>119</v>
      </c>
      <c r="U297" s="90" t="s">
        <v>119</v>
      </c>
      <c r="V297" s="90" t="s">
        <v>119</v>
      </c>
      <c r="W297" s="90" t="s">
        <v>119</v>
      </c>
      <c r="X297" s="90" t="s">
        <v>119</v>
      </c>
      <c r="Y297" s="90" t="s">
        <v>119</v>
      </c>
      <c r="Z297" s="90" t="s">
        <v>119</v>
      </c>
      <c r="AA297" s="90" t="s">
        <v>119</v>
      </c>
      <c r="AB297" s="90" t="s">
        <v>119</v>
      </c>
      <c r="AC297" s="90" t="s">
        <v>119</v>
      </c>
      <c r="AD297" s="90" t="s">
        <v>119</v>
      </c>
      <c r="AE297" s="24">
        <v>0</v>
      </c>
      <c r="AF297" s="90">
        <v>0</v>
      </c>
      <c r="AG297" s="24">
        <v>0</v>
      </c>
      <c r="AH297" s="90">
        <v>86557</v>
      </c>
      <c r="AI297" s="24" t="s">
        <v>102</v>
      </c>
      <c r="AJ297" s="24" t="s">
        <v>990</v>
      </c>
      <c r="AK297" s="90" t="s">
        <v>85</v>
      </c>
      <c r="AL297" s="90">
        <v>198258</v>
      </c>
      <c r="AM297" s="90" t="s">
        <v>81</v>
      </c>
      <c r="AN297" s="90" t="s">
        <v>985</v>
      </c>
      <c r="AO297" s="125" t="s">
        <v>791</v>
      </c>
      <c r="AP297" s="24" t="s">
        <v>988</v>
      </c>
      <c r="AQ297" s="90" t="s">
        <v>987</v>
      </c>
      <c r="AR297" s="24" t="s">
        <v>988</v>
      </c>
      <c r="AS297" s="90" t="s">
        <v>119</v>
      </c>
      <c r="AT297" s="24" t="s">
        <v>102</v>
      </c>
      <c r="AU297" s="90" t="s">
        <v>119</v>
      </c>
      <c r="AV297" s="90" t="str">
        <f>IF(ISNUMBER(SEARCH("disagree",AE297)),"N","Y")</f>
        <v>Y</v>
      </c>
      <c r="AW297" s="90" t="s">
        <v>119</v>
      </c>
      <c r="AX297" s="24" t="s">
        <v>119</v>
      </c>
      <c r="AY297" s="90" t="str">
        <f>CONCATENATE(AZ297,BA297,BB297,BC297)</f>
        <v/>
      </c>
      <c r="AZ297" s="90" t="str">
        <f>IF(ISNUMBER(SEARCH("Y",AC297)),"R","")</f>
        <v/>
      </c>
      <c r="BA297" s="90" t="str">
        <f>IF(ISNUMBER(SEARCH("Y",Y297)),"M","")</f>
        <v/>
      </c>
      <c r="BB297" s="90" t="str">
        <f>IF(ISNUMBER(SEARCH("Y",AB297)),"QC","")</f>
        <v/>
      </c>
      <c r="BC297" s="90" t="str">
        <f>IF(ISNUMBER(SEARCH("Y",Z297)),"S","")</f>
        <v/>
      </c>
      <c r="BD297" s="90"/>
      <c r="BE297" s="24" t="s">
        <v>119</v>
      </c>
      <c r="BF297" s="125" t="str">
        <f>IF(AND(AW297&gt;=56543,AW297&lt;=76543,LEN(AW297)&gt;0),"3 Feb 2020",IF(AND(AW297&gt;=66544,AW297&lt;=99999,LEN(AW297)&gt;0),"12 Sep 2020",""))</f>
        <v/>
      </c>
      <c r="BG297" s="125" t="str">
        <f>IF((AND(BF297="3 Feb 2020",LEN(BF297)&gt;0)),"Completed",IF((AND(BF297="12 Sep 2020",LEN(BF297)&gt;0)),"Pending",""))</f>
        <v/>
      </c>
      <c r="BH297" s="90" t="str">
        <f>IF((AND(BF297="3 Feb 2020",LEN(BF297)&gt;0)),"3 Feb 2020","")</f>
        <v/>
      </c>
      <c r="BI297" s="90">
        <v>198258</v>
      </c>
      <c r="BJ297" s="90" t="str">
        <f>L297</f>
        <v>9B40CR89083-88</v>
      </c>
      <c r="BK297" s="127">
        <v>43508</v>
      </c>
      <c r="BL297" s="127">
        <v>44239</v>
      </c>
      <c r="BM297" s="128">
        <f>P297*1.1</f>
        <v>2320367.5</v>
      </c>
      <c r="BN297" s="129">
        <f>P297*0.9</f>
        <v>1898482.5</v>
      </c>
      <c r="BO297" s="130">
        <f>P297*0.8</f>
        <v>1687540</v>
      </c>
      <c r="BP297" s="90">
        <f>IF(Z297="Y",BM297*0.4,BM297*1.05)</f>
        <v>2436385.875</v>
      </c>
      <c r="BQ297" s="90">
        <f>BP297*0.8</f>
        <v>1949108.7000000002</v>
      </c>
      <c r="BR297" s="90" t="str">
        <f>IF(ISNUMBER(SEARCH("subrecipient",AI293)),P297*0.6,"")</f>
        <v/>
      </c>
      <c r="BS297" s="90">
        <v>198258</v>
      </c>
      <c r="BT297" s="90" t="str">
        <f>BJ297</f>
        <v>9B40CR89083-88</v>
      </c>
      <c r="BU297" s="127">
        <f>BK297</f>
        <v>43508</v>
      </c>
      <c r="BV297" s="127">
        <f>BL297</f>
        <v>44239</v>
      </c>
      <c r="BW297" s="90" t="str">
        <f>H297</f>
        <v>NIH</v>
      </c>
      <c r="BX297" s="90" t="str">
        <f>IF(H297="NATIONAL HEMOPHILIA FOUNDATION","Non Federal","Federal")</f>
        <v>Federal</v>
      </c>
      <c r="BY297" s="128">
        <f>BM297</f>
        <v>2320367.5</v>
      </c>
      <c r="BZ297" s="90" t="str">
        <f>IF(LEN(BR297)&gt;0,1,"")</f>
        <v/>
      </c>
      <c r="CA297" s="90" t="str">
        <f>IF(LEN(BR297)&gt;0,"VIRAL HEPATITIS PROJECT","")</f>
        <v/>
      </c>
      <c r="CB297" s="129" t="str">
        <f>IF(LEN(BR297)&gt;0,BM297*0.7,"")</f>
        <v/>
      </c>
      <c r="CC297" s="90">
        <f>BP297</f>
        <v>2436385.875</v>
      </c>
      <c r="CD297" s="90" t="str">
        <f>IF(LEN(BR297)&gt;0,"70%","")</f>
        <v/>
      </c>
      <c r="CE297" s="90">
        <f>BS297</f>
        <v>198258</v>
      </c>
      <c r="CF297" s="90" t="str">
        <f>CA297</f>
        <v/>
      </c>
      <c r="CG297" s="90"/>
      <c r="CH297" s="90"/>
      <c r="CI297" s="90"/>
      <c r="CJ297" s="90"/>
      <c r="CK297" s="90"/>
      <c r="CL297" s="90"/>
      <c r="CM297" s="90"/>
      <c r="CN297" s="90"/>
      <c r="CO297" s="90"/>
      <c r="CP297" s="90"/>
      <c r="CQ297" s="90"/>
      <c r="CR297" s="90"/>
      <c r="CS297" s="90"/>
      <c r="CT297" s="137"/>
    </row>
    <row r="298" spans="1:98" ht="120">
      <c r="A298" s="89">
        <v>198258</v>
      </c>
      <c r="B298" s="90">
        <v>2020</v>
      </c>
      <c r="C298" s="90" t="s">
        <v>81</v>
      </c>
      <c r="D298" s="90" t="s">
        <v>985</v>
      </c>
      <c r="E298" s="125" t="s">
        <v>793</v>
      </c>
      <c r="F298" s="24" t="s">
        <v>986</v>
      </c>
      <c r="G298" s="90" t="s">
        <v>85</v>
      </c>
      <c r="H298" s="90" t="s">
        <v>117</v>
      </c>
      <c r="I298" s="90">
        <v>93</v>
      </c>
      <c r="J298" s="90">
        <v>157</v>
      </c>
      <c r="K298" s="90" t="s">
        <v>85</v>
      </c>
      <c r="L298" s="90" t="s">
        <v>987</v>
      </c>
      <c r="M298" s="90" t="s">
        <v>119</v>
      </c>
      <c r="N298" s="24" t="s">
        <v>988</v>
      </c>
      <c r="O298" s="24" t="str">
        <f>IF(ISNUMBER(SEARCH("Cancer",N298)),"Cancer",IF(ISNUMBER(SEARCH("health",N298)),"Public health",IF(ISNUMBER(SEARCH("disabilities",N298)),"Disabilities","Other")))</f>
        <v>Public health</v>
      </c>
      <c r="P298" s="126">
        <v>2109425</v>
      </c>
      <c r="Q298" s="90" t="s">
        <v>85</v>
      </c>
      <c r="R298" s="90" t="str">
        <f>IF(P298&gt;20000000,"B","A")</f>
        <v>A</v>
      </c>
      <c r="S298" s="90" t="s">
        <v>90</v>
      </c>
      <c r="T298" s="90" t="s">
        <v>119</v>
      </c>
      <c r="U298" s="90" t="s">
        <v>119</v>
      </c>
      <c r="V298" s="90" t="s">
        <v>119</v>
      </c>
      <c r="W298" s="90" t="s">
        <v>119</v>
      </c>
      <c r="X298" s="90" t="s">
        <v>119</v>
      </c>
      <c r="Y298" s="90" t="s">
        <v>119</v>
      </c>
      <c r="Z298" s="90" t="s">
        <v>119</v>
      </c>
      <c r="AA298" s="90" t="s">
        <v>119</v>
      </c>
      <c r="AB298" s="90" t="s">
        <v>119</v>
      </c>
      <c r="AC298" s="90" t="s">
        <v>119</v>
      </c>
      <c r="AD298" s="90" t="s">
        <v>119</v>
      </c>
      <c r="AE298" s="24">
        <v>0</v>
      </c>
      <c r="AF298" s="90">
        <v>0</v>
      </c>
      <c r="AG298" s="24">
        <v>0</v>
      </c>
      <c r="AH298" s="90">
        <v>86558</v>
      </c>
      <c r="AI298" s="24" t="s">
        <v>991</v>
      </c>
      <c r="AJ298" s="24" t="s">
        <v>992</v>
      </c>
      <c r="AK298" s="90" t="s">
        <v>85</v>
      </c>
      <c r="AL298" s="90">
        <v>198258</v>
      </c>
      <c r="AM298" s="90" t="s">
        <v>81</v>
      </c>
      <c r="AN298" s="90" t="s">
        <v>985</v>
      </c>
      <c r="AO298" s="125" t="s">
        <v>793</v>
      </c>
      <c r="AP298" s="24" t="s">
        <v>988</v>
      </c>
      <c r="AQ298" s="90" t="s">
        <v>987</v>
      </c>
      <c r="AR298" s="24" t="s">
        <v>988</v>
      </c>
      <c r="AS298" s="90" t="s">
        <v>119</v>
      </c>
      <c r="AT298" s="24" t="s">
        <v>991</v>
      </c>
      <c r="AU298" s="90" t="s">
        <v>119</v>
      </c>
      <c r="AV298" s="90" t="str">
        <f>IF(ISNUMBER(SEARCH("disagree",AE298)),"N","Y")</f>
        <v>Y</v>
      </c>
      <c r="AW298" s="90" t="s">
        <v>119</v>
      </c>
      <c r="AX298" s="24" t="s">
        <v>119</v>
      </c>
      <c r="AY298" s="90" t="str">
        <f>CONCATENATE(AZ298,BA298,BB298,BC298)</f>
        <v/>
      </c>
      <c r="AZ298" s="90" t="str">
        <f>IF(ISNUMBER(SEARCH("Y",AC298)),"R","")</f>
        <v/>
      </c>
      <c r="BA298" s="90" t="str">
        <f>IF(ISNUMBER(SEARCH("Y",Y298)),"M","")</f>
        <v/>
      </c>
      <c r="BB298" s="90" t="str">
        <f>IF(ISNUMBER(SEARCH("Y",AB298)),"QC","")</f>
        <v/>
      </c>
      <c r="BC298" s="90" t="str">
        <f>IF(ISNUMBER(SEARCH("Y",Z298)),"S","")</f>
        <v/>
      </c>
      <c r="BD298" s="90"/>
      <c r="BE298" s="24" t="s">
        <v>119</v>
      </c>
      <c r="BF298" s="125" t="str">
        <f>IF(AND(AW298&gt;=56543,AW298&lt;=76543,LEN(AW298)&gt;0),"3 Feb 2020",IF(AND(AW298&gt;=66544,AW298&lt;=99999,LEN(AW298)&gt;0),"12 Sep 2020",""))</f>
        <v/>
      </c>
      <c r="BG298" s="125" t="str">
        <f>IF((AND(BF298="3 Feb 2020",LEN(BF298)&gt;0)),"Completed",IF((AND(BF298="12 Sep 2020",LEN(BF298)&gt;0)),"Pending",""))</f>
        <v/>
      </c>
      <c r="BH298" s="90" t="str">
        <f>IF((AND(BF298="3 Feb 2020",LEN(BF298)&gt;0)),"3 Feb 2020","")</f>
        <v/>
      </c>
      <c r="BI298" s="90">
        <v>198258</v>
      </c>
      <c r="BJ298" s="90" t="str">
        <f>L298</f>
        <v>9B40CR89083-88</v>
      </c>
      <c r="BK298" s="127">
        <v>43508</v>
      </c>
      <c r="BL298" s="127">
        <v>44239</v>
      </c>
      <c r="BM298" s="128">
        <f>P298*1.1</f>
        <v>2320367.5</v>
      </c>
      <c r="BN298" s="129">
        <f>P298*0.9</f>
        <v>1898482.5</v>
      </c>
      <c r="BO298" s="130">
        <f>P298*0.8</f>
        <v>1687540</v>
      </c>
      <c r="BP298" s="90">
        <f>IF(Z298="Y",BM298*0.4,BM298*1.05)</f>
        <v>2436385.875</v>
      </c>
      <c r="BQ298" s="90">
        <f>BP298*0.8</f>
        <v>1949108.7000000002</v>
      </c>
      <c r="BR298" s="90" t="str">
        <f>IF(ISNUMBER(SEARCH("subrecipient",AI294)),P298*0.6,"")</f>
        <v/>
      </c>
      <c r="BS298" s="90">
        <v>198258</v>
      </c>
      <c r="BT298" s="90" t="str">
        <f>BJ298</f>
        <v>9B40CR89083-88</v>
      </c>
      <c r="BU298" s="127">
        <f>BK298</f>
        <v>43508</v>
      </c>
      <c r="BV298" s="127">
        <f>BL298</f>
        <v>44239</v>
      </c>
      <c r="BW298" s="90" t="str">
        <f>H298</f>
        <v>NIH</v>
      </c>
      <c r="BX298" s="90" t="str">
        <f>IF(H298="NATIONAL HEMOPHILIA FOUNDATION","Non Federal","Federal")</f>
        <v>Federal</v>
      </c>
      <c r="BY298" s="128">
        <f>BM298</f>
        <v>2320367.5</v>
      </c>
      <c r="BZ298" s="90" t="str">
        <f>IF(LEN(BR298)&gt;0,1,"")</f>
        <v/>
      </c>
      <c r="CA298" s="90" t="str">
        <f>IF(LEN(BR298)&gt;0,"VIRAL HEPATITIS PROJECT","")</f>
        <v/>
      </c>
      <c r="CB298" s="129" t="str">
        <f>IF(LEN(BR298)&gt;0,BM298*0.7,"")</f>
        <v/>
      </c>
      <c r="CC298" s="90">
        <f>BP298</f>
        <v>2436385.875</v>
      </c>
      <c r="CD298" s="90" t="str">
        <f>IF(LEN(BR298)&gt;0,"70%","")</f>
        <v/>
      </c>
      <c r="CE298" s="90">
        <f>BS298</f>
        <v>198258</v>
      </c>
      <c r="CF298" s="90" t="str">
        <f>CA298</f>
        <v/>
      </c>
      <c r="CG298" s="90"/>
      <c r="CH298" s="90"/>
      <c r="CI298" s="90"/>
      <c r="CJ298" s="90"/>
      <c r="CK298" s="90"/>
      <c r="CL298" s="90"/>
      <c r="CM298" s="90"/>
      <c r="CN298" s="90"/>
      <c r="CO298" s="90"/>
      <c r="CP298" s="90"/>
      <c r="CQ298" s="90"/>
      <c r="CR298" s="90"/>
      <c r="CS298" s="90"/>
      <c r="CT298" s="137"/>
    </row>
    <row r="299" spans="1:98" ht="120">
      <c r="A299" s="89">
        <v>198258</v>
      </c>
      <c r="B299" s="90">
        <v>2020</v>
      </c>
      <c r="C299" s="90" t="s">
        <v>81</v>
      </c>
      <c r="D299" s="90" t="s">
        <v>985</v>
      </c>
      <c r="E299" s="125" t="s">
        <v>780</v>
      </c>
      <c r="F299" s="24" t="s">
        <v>986</v>
      </c>
      <c r="G299" s="90" t="s">
        <v>85</v>
      </c>
      <c r="H299" s="90" t="s">
        <v>117</v>
      </c>
      <c r="I299" s="90">
        <v>93</v>
      </c>
      <c r="J299" s="90">
        <v>157</v>
      </c>
      <c r="K299" s="90" t="s">
        <v>85</v>
      </c>
      <c r="L299" s="90" t="s">
        <v>987</v>
      </c>
      <c r="M299" s="90" t="s">
        <v>119</v>
      </c>
      <c r="N299" s="24" t="s">
        <v>988</v>
      </c>
      <c r="O299" s="24" t="str">
        <f>IF(ISNUMBER(SEARCH("Cancer",N299)),"Cancer",IF(ISNUMBER(SEARCH("health",N299)),"Public health",IF(ISNUMBER(SEARCH("disabilities",N299)),"Disabilities","Other")))</f>
        <v>Public health</v>
      </c>
      <c r="P299" s="126">
        <v>2109425</v>
      </c>
      <c r="Q299" s="90" t="s">
        <v>85</v>
      </c>
      <c r="R299" s="90" t="str">
        <f>IF(P299&gt;20000000,"B","A")</f>
        <v>A</v>
      </c>
      <c r="S299" s="90" t="s">
        <v>90</v>
      </c>
      <c r="T299" s="90" t="s">
        <v>119</v>
      </c>
      <c r="U299" s="90" t="s">
        <v>119</v>
      </c>
      <c r="V299" s="90" t="s">
        <v>119</v>
      </c>
      <c r="W299" s="90" t="s">
        <v>119</v>
      </c>
      <c r="X299" s="90" t="s">
        <v>119</v>
      </c>
      <c r="Y299" s="90" t="s">
        <v>119</v>
      </c>
      <c r="Z299" s="90" t="s">
        <v>119</v>
      </c>
      <c r="AA299" s="90" t="s">
        <v>119</v>
      </c>
      <c r="AB299" s="90" t="s">
        <v>119</v>
      </c>
      <c r="AC299" s="90" t="s">
        <v>119</v>
      </c>
      <c r="AD299" s="90" t="s">
        <v>119</v>
      </c>
      <c r="AE299" s="24">
        <v>0</v>
      </c>
      <c r="AF299" s="90">
        <v>0</v>
      </c>
      <c r="AG299" s="24">
        <v>0</v>
      </c>
      <c r="AH299" s="90">
        <v>86556</v>
      </c>
      <c r="AI299" s="24" t="s">
        <v>269</v>
      </c>
      <c r="AJ299" s="24" t="s">
        <v>993</v>
      </c>
      <c r="AK299" s="90" t="s">
        <v>85</v>
      </c>
      <c r="AL299" s="90">
        <v>198258</v>
      </c>
      <c r="AM299" s="90" t="s">
        <v>81</v>
      </c>
      <c r="AN299" s="90" t="s">
        <v>985</v>
      </c>
      <c r="AO299" s="125" t="s">
        <v>780</v>
      </c>
      <c r="AP299" s="24" t="s">
        <v>988</v>
      </c>
      <c r="AQ299" s="90" t="s">
        <v>987</v>
      </c>
      <c r="AR299" s="24" t="s">
        <v>988</v>
      </c>
      <c r="AS299" s="90" t="s">
        <v>119</v>
      </c>
      <c r="AT299" s="24" t="s">
        <v>269</v>
      </c>
      <c r="AU299" s="90" t="s">
        <v>119</v>
      </c>
      <c r="AV299" s="90" t="str">
        <f>IF(ISNUMBER(SEARCH("disagree",AE299)),"N","Y")</f>
        <v>Y</v>
      </c>
      <c r="AW299" s="90" t="s">
        <v>119</v>
      </c>
      <c r="AX299" s="24" t="s">
        <v>119</v>
      </c>
      <c r="AY299" s="90" t="str">
        <f>CONCATENATE(AZ299,BA299,BB299,BC299)</f>
        <v/>
      </c>
      <c r="AZ299" s="90" t="str">
        <f>IF(ISNUMBER(SEARCH("Y",AC299)),"R","")</f>
        <v/>
      </c>
      <c r="BA299" s="90" t="str">
        <f>IF(ISNUMBER(SEARCH("Y",Y299)),"M","")</f>
        <v/>
      </c>
      <c r="BB299" s="90" t="str">
        <f>IF(ISNUMBER(SEARCH("Y",AB299)),"QC","")</f>
        <v/>
      </c>
      <c r="BC299" s="90" t="str">
        <f>IF(ISNUMBER(SEARCH("Y",Z299)),"S","")</f>
        <v/>
      </c>
      <c r="BD299" s="90"/>
      <c r="BE299" s="24" t="s">
        <v>119</v>
      </c>
      <c r="BF299" s="125" t="str">
        <f>IF(AND(AW299&gt;=56543,AW299&lt;=76543,LEN(AW299)&gt;0),"3 Feb 2020",IF(AND(AW299&gt;=66544,AW299&lt;=99999,LEN(AW299)&gt;0),"12 Sep 2020",""))</f>
        <v/>
      </c>
      <c r="BG299" s="125" t="str">
        <f>IF((AND(BF299="3 Feb 2020",LEN(BF299)&gt;0)),"Completed",IF((AND(BF299="12 Sep 2020",LEN(BF299)&gt;0)),"Pending",""))</f>
        <v/>
      </c>
      <c r="BH299" s="90" t="str">
        <f>IF((AND(BF299="3 Feb 2020",LEN(BF299)&gt;0)),"3 Feb 2020","")</f>
        <v/>
      </c>
      <c r="BI299" s="90">
        <v>198258</v>
      </c>
      <c r="BJ299" s="90" t="str">
        <f>L299</f>
        <v>9B40CR89083-88</v>
      </c>
      <c r="BK299" s="127">
        <v>43508</v>
      </c>
      <c r="BL299" s="127">
        <v>44239</v>
      </c>
      <c r="BM299" s="128">
        <f>P299*1.1</f>
        <v>2320367.5</v>
      </c>
      <c r="BN299" s="129">
        <f>P299*0.9</f>
        <v>1898482.5</v>
      </c>
      <c r="BO299" s="130">
        <f>P299*0.8</f>
        <v>1687540</v>
      </c>
      <c r="BP299" s="90">
        <f>IF(Z299="Y",BM299*0.4,BM299*1.05)</f>
        <v>2436385.875</v>
      </c>
      <c r="BQ299" s="90">
        <f>BP299*0.8</f>
        <v>1949108.7000000002</v>
      </c>
      <c r="BR299" s="90" t="str">
        <f>IF(ISNUMBER(SEARCH("subrecipient",AI295)),P299*0.6,"")</f>
        <v/>
      </c>
      <c r="BS299" s="90">
        <v>198258</v>
      </c>
      <c r="BT299" s="90" t="str">
        <f>BJ299</f>
        <v>9B40CR89083-88</v>
      </c>
      <c r="BU299" s="127">
        <f>BK299</f>
        <v>43508</v>
      </c>
      <c r="BV299" s="127">
        <f>BL299</f>
        <v>44239</v>
      </c>
      <c r="BW299" s="90" t="str">
        <f>H299</f>
        <v>NIH</v>
      </c>
      <c r="BX299" s="90" t="str">
        <f>IF(H299="NATIONAL HEMOPHILIA FOUNDATION","Non Federal","Federal")</f>
        <v>Federal</v>
      </c>
      <c r="BY299" s="128">
        <f>BM299</f>
        <v>2320367.5</v>
      </c>
      <c r="BZ299" s="90" t="str">
        <f>IF(LEN(BR299)&gt;0,1,"")</f>
        <v/>
      </c>
      <c r="CA299" s="90" t="str">
        <f>IF(LEN(BR299)&gt;0,"VIRAL HEPATITIS PROJECT","")</f>
        <v/>
      </c>
      <c r="CB299" s="129" t="str">
        <f>IF(LEN(BR299)&gt;0,BM299*0.7,"")</f>
        <v/>
      </c>
      <c r="CC299" s="90">
        <f>BP299</f>
        <v>2436385.875</v>
      </c>
      <c r="CD299" s="90" t="str">
        <f>IF(LEN(BR299)&gt;0,"70%","")</f>
        <v/>
      </c>
      <c r="CE299" s="90">
        <f>BS299</f>
        <v>198258</v>
      </c>
      <c r="CF299" s="90" t="str">
        <f>CA299</f>
        <v/>
      </c>
      <c r="CG299" s="90"/>
      <c r="CH299" s="90"/>
      <c r="CI299" s="90"/>
      <c r="CJ299" s="90"/>
      <c r="CK299" s="90"/>
      <c r="CL299" s="90"/>
      <c r="CM299" s="90"/>
      <c r="CN299" s="90"/>
      <c r="CO299" s="90"/>
      <c r="CP299" s="90"/>
      <c r="CQ299" s="90"/>
      <c r="CR299" s="90"/>
      <c r="CS299" s="90"/>
      <c r="CT299" s="137"/>
    </row>
    <row r="300" spans="1:98" ht="45">
      <c r="A300" s="89">
        <v>198991</v>
      </c>
      <c r="B300" s="90">
        <v>2020</v>
      </c>
      <c r="C300" s="90" t="s">
        <v>81</v>
      </c>
      <c r="D300" s="90" t="s">
        <v>994</v>
      </c>
      <c r="E300" s="125" t="s">
        <v>781</v>
      </c>
      <c r="F300" s="24" t="s">
        <v>995</v>
      </c>
      <c r="G300" s="90" t="s">
        <v>85</v>
      </c>
      <c r="H300" s="90" t="s">
        <v>132</v>
      </c>
      <c r="I300" s="90">
        <v>93</v>
      </c>
      <c r="J300" s="90">
        <v>157</v>
      </c>
      <c r="K300" s="90" t="s">
        <v>85</v>
      </c>
      <c r="L300" s="90" t="s">
        <v>996</v>
      </c>
      <c r="M300" s="90" t="s">
        <v>119</v>
      </c>
      <c r="N300" s="24" t="s">
        <v>997</v>
      </c>
      <c r="O300" s="24" t="str">
        <f>IF(ISNUMBER(SEARCH("Cancer",N300)),"Cancer",IF(ISNUMBER(SEARCH("health",N300)),"Public health",IF(ISNUMBER(SEARCH("disabilities",N300)),"Disabilities","Other")))</f>
        <v>Other</v>
      </c>
      <c r="P300" s="126">
        <v>2241100</v>
      </c>
      <c r="Q300" s="90" t="s">
        <v>85</v>
      </c>
      <c r="R300" s="90" t="str">
        <f>IF(P300&gt;20000000,"B","A")</f>
        <v>A</v>
      </c>
      <c r="S300" s="90" t="s">
        <v>90</v>
      </c>
      <c r="T300" s="90" t="s">
        <v>119</v>
      </c>
      <c r="U300" s="90" t="s">
        <v>119</v>
      </c>
      <c r="V300" s="90" t="s">
        <v>119</v>
      </c>
      <c r="W300" s="90" t="s">
        <v>119</v>
      </c>
      <c r="X300" s="90" t="s">
        <v>119</v>
      </c>
      <c r="Y300" s="90" t="s">
        <v>119</v>
      </c>
      <c r="Z300" s="90" t="s">
        <v>119</v>
      </c>
      <c r="AA300" s="90" t="s">
        <v>119</v>
      </c>
      <c r="AB300" s="90" t="s">
        <v>119</v>
      </c>
      <c r="AC300" s="90" t="s">
        <v>119</v>
      </c>
      <c r="AD300" s="90" t="s">
        <v>119</v>
      </c>
      <c r="AE300" s="24">
        <v>0</v>
      </c>
      <c r="AF300" s="90">
        <v>0</v>
      </c>
      <c r="AG300" s="24">
        <v>0</v>
      </c>
      <c r="AH300" s="90">
        <v>77007</v>
      </c>
      <c r="AI300" s="24" t="s">
        <v>94</v>
      </c>
      <c r="AJ300" s="24" t="s">
        <v>95</v>
      </c>
      <c r="AK300" s="90" t="s">
        <v>85</v>
      </c>
      <c r="AL300" s="90">
        <v>198991</v>
      </c>
      <c r="AM300" s="90" t="s">
        <v>81</v>
      </c>
      <c r="AN300" s="90" t="s">
        <v>994</v>
      </c>
      <c r="AO300" s="125" t="s">
        <v>781</v>
      </c>
      <c r="AP300" s="24" t="s">
        <v>997</v>
      </c>
      <c r="AQ300" s="90" t="s">
        <v>996</v>
      </c>
      <c r="AR300" s="24" t="s">
        <v>997</v>
      </c>
      <c r="AS300" s="90" t="s">
        <v>119</v>
      </c>
      <c r="AT300" s="24" t="s">
        <v>94</v>
      </c>
      <c r="AU300" s="90" t="s">
        <v>119</v>
      </c>
      <c r="AV300" s="90" t="str">
        <f>IF(ISNUMBER(SEARCH("disagree",AE300)),"N","Y")</f>
        <v>Y</v>
      </c>
      <c r="AW300" s="90" t="s">
        <v>119</v>
      </c>
      <c r="AX300" s="24" t="s">
        <v>119</v>
      </c>
      <c r="AY300" s="90" t="str">
        <f>CONCATENATE(AZ300,BA300,BB300,BC300)</f>
        <v/>
      </c>
      <c r="AZ300" s="90" t="str">
        <f>IF(ISNUMBER(SEARCH("Y",AC300)),"R","")</f>
        <v/>
      </c>
      <c r="BA300" s="90" t="str">
        <f>IF(ISNUMBER(SEARCH("Y",Y300)),"M","")</f>
        <v/>
      </c>
      <c r="BB300" s="90" t="str">
        <f>IF(ISNUMBER(SEARCH("Y",AB300)),"QC","")</f>
        <v/>
      </c>
      <c r="BC300" s="90" t="str">
        <f>IF(ISNUMBER(SEARCH("Y",Z300)),"S","")</f>
        <v/>
      </c>
      <c r="BD300" s="90"/>
      <c r="BE300" s="24" t="s">
        <v>119</v>
      </c>
      <c r="BF300" s="125" t="str">
        <f>IF(AND(AW300&gt;=56543,AW300&lt;=76543,LEN(AW300)&gt;0),"3 Feb 2020",IF(AND(AW300&gt;=66544,AW300&lt;=99999,LEN(AW300)&gt;0),"12 Sep 2020",""))</f>
        <v/>
      </c>
      <c r="BG300" s="125" t="str">
        <f>IF((AND(BF300="3 Feb 2020",LEN(BF300)&gt;0)),"Completed",IF((AND(BF300="12 Sep 2020",LEN(BF300)&gt;0)),"Pending",""))</f>
        <v/>
      </c>
      <c r="BH300" s="90" t="str">
        <f>IF((AND(BF300="3 Feb 2020",LEN(BF300)&gt;0)),"3 Feb 2020","")</f>
        <v/>
      </c>
      <c r="BI300" s="90">
        <v>198991</v>
      </c>
      <c r="BJ300" s="90" t="str">
        <f>L300</f>
        <v>5B89AR89766-62</v>
      </c>
      <c r="BK300" s="127">
        <v>43508</v>
      </c>
      <c r="BL300" s="127">
        <v>44239</v>
      </c>
      <c r="BM300" s="128">
        <f>P300*1.1</f>
        <v>2465210</v>
      </c>
      <c r="BN300" s="129">
        <f>P300*0.9</f>
        <v>2016990</v>
      </c>
      <c r="BO300" s="130">
        <f>P300*0.8</f>
        <v>1792880</v>
      </c>
      <c r="BP300" s="90">
        <f>IF(Z300="Y",BM300*0.4,BM300*1.05)</f>
        <v>2588470.5</v>
      </c>
      <c r="BQ300" s="90">
        <f>BP300*0.8</f>
        <v>2070776.4000000001</v>
      </c>
      <c r="BR300" s="90" t="str">
        <f>IF(ISNUMBER(SEARCH("subrecipient",AI296)),P300*0.6,"")</f>
        <v/>
      </c>
      <c r="BS300" s="90">
        <v>198991</v>
      </c>
      <c r="BT300" s="90" t="str">
        <f>BJ300</f>
        <v>5B89AR89766-62</v>
      </c>
      <c r="BU300" s="127">
        <f>BK300</f>
        <v>43508</v>
      </c>
      <c r="BV300" s="127">
        <f>BL300</f>
        <v>44239</v>
      </c>
      <c r="BW300" s="90" t="str">
        <f>H300</f>
        <v>FDA</v>
      </c>
      <c r="BX300" s="90" t="str">
        <f>IF(H300="NATIONAL HEMOPHILIA FOUNDATION","Non Federal","Federal")</f>
        <v>Federal</v>
      </c>
      <c r="BY300" s="128">
        <f>BM300</f>
        <v>2465210</v>
      </c>
      <c r="BZ300" s="90" t="str">
        <f>IF(LEN(BR300)&gt;0,1,"")</f>
        <v/>
      </c>
      <c r="CA300" s="90" t="str">
        <f>IF(LEN(BR300)&gt;0,"VIRAL HEPATITIS PROJECT","")</f>
        <v/>
      </c>
      <c r="CB300" s="129" t="str">
        <f>IF(LEN(BR300)&gt;0,BM300*0.7,"")</f>
        <v/>
      </c>
      <c r="CC300" s="90">
        <f>BP300</f>
        <v>2588470.5</v>
      </c>
      <c r="CD300" s="90" t="str">
        <f>IF(LEN(BR300)&gt;0,"70%","")</f>
        <v/>
      </c>
      <c r="CE300" s="90">
        <f>BS300</f>
        <v>198991</v>
      </c>
      <c r="CF300" s="90" t="str">
        <f>CA300</f>
        <v/>
      </c>
      <c r="CG300" s="90"/>
      <c r="CH300" s="90"/>
      <c r="CI300" s="90"/>
      <c r="CJ300" s="90"/>
      <c r="CK300" s="90"/>
      <c r="CL300" s="90"/>
      <c r="CM300" s="90"/>
      <c r="CN300" s="90"/>
      <c r="CO300" s="90"/>
      <c r="CP300" s="90"/>
      <c r="CQ300" s="90"/>
      <c r="CR300" s="90"/>
      <c r="CS300" s="90"/>
      <c r="CT300" s="137"/>
    </row>
    <row r="301" spans="1:98" ht="30">
      <c r="A301" s="89">
        <v>198991</v>
      </c>
      <c r="B301" s="90">
        <v>2020</v>
      </c>
      <c r="C301" s="90" t="s">
        <v>81</v>
      </c>
      <c r="D301" s="90" t="s">
        <v>994</v>
      </c>
      <c r="E301" s="125" t="s">
        <v>784</v>
      </c>
      <c r="F301" s="24" t="s">
        <v>995</v>
      </c>
      <c r="G301" s="90" t="s">
        <v>85</v>
      </c>
      <c r="H301" s="90" t="s">
        <v>132</v>
      </c>
      <c r="I301" s="90">
        <v>93</v>
      </c>
      <c r="J301" s="90">
        <v>157</v>
      </c>
      <c r="K301" s="90" t="s">
        <v>85</v>
      </c>
      <c r="L301" s="90" t="s">
        <v>996</v>
      </c>
      <c r="M301" s="90" t="s">
        <v>119</v>
      </c>
      <c r="N301" s="24" t="s">
        <v>997</v>
      </c>
      <c r="O301" s="24" t="str">
        <f>IF(ISNUMBER(SEARCH("Cancer",N301)),"Cancer",IF(ISNUMBER(SEARCH("health",N301)),"Public health",IF(ISNUMBER(SEARCH("disabilities",N301)),"Disabilities","Other")))</f>
        <v>Other</v>
      </c>
      <c r="P301" s="126">
        <v>2241100</v>
      </c>
      <c r="Q301" s="90" t="s">
        <v>85</v>
      </c>
      <c r="R301" s="90" t="str">
        <f>IF(P301&gt;20000000,"B","A")</f>
        <v>A</v>
      </c>
      <c r="S301" s="90" t="s">
        <v>90</v>
      </c>
      <c r="T301" s="90" t="s">
        <v>119</v>
      </c>
      <c r="U301" s="90" t="s">
        <v>119</v>
      </c>
      <c r="V301" s="90" t="s">
        <v>119</v>
      </c>
      <c r="W301" s="90" t="s">
        <v>119</v>
      </c>
      <c r="X301" s="90" t="s">
        <v>119</v>
      </c>
      <c r="Y301" s="90" t="s">
        <v>119</v>
      </c>
      <c r="Z301" s="90" t="s">
        <v>119</v>
      </c>
      <c r="AA301" s="90" t="s">
        <v>119</v>
      </c>
      <c r="AB301" s="90" t="s">
        <v>119</v>
      </c>
      <c r="AC301" s="90" t="s">
        <v>119</v>
      </c>
      <c r="AD301" s="90" t="s">
        <v>119</v>
      </c>
      <c r="AE301" s="24">
        <v>0</v>
      </c>
      <c r="AF301" s="90">
        <v>0</v>
      </c>
      <c r="AG301" s="24">
        <v>0</v>
      </c>
      <c r="AH301" s="90">
        <v>77008</v>
      </c>
      <c r="AI301" s="24" t="s">
        <v>102</v>
      </c>
      <c r="AJ301" s="24" t="s">
        <v>103</v>
      </c>
      <c r="AK301" s="90" t="s">
        <v>85</v>
      </c>
      <c r="AL301" s="90">
        <v>198991</v>
      </c>
      <c r="AM301" s="90" t="s">
        <v>81</v>
      </c>
      <c r="AN301" s="90" t="s">
        <v>994</v>
      </c>
      <c r="AO301" s="125" t="s">
        <v>784</v>
      </c>
      <c r="AP301" s="24" t="s">
        <v>997</v>
      </c>
      <c r="AQ301" s="90" t="s">
        <v>996</v>
      </c>
      <c r="AR301" s="24" t="s">
        <v>997</v>
      </c>
      <c r="AS301" s="90" t="s">
        <v>119</v>
      </c>
      <c r="AT301" s="24" t="s">
        <v>102</v>
      </c>
      <c r="AU301" s="90" t="s">
        <v>119</v>
      </c>
      <c r="AV301" s="90" t="str">
        <f>IF(ISNUMBER(SEARCH("disagree",AE301)),"N","Y")</f>
        <v>Y</v>
      </c>
      <c r="AW301" s="90" t="s">
        <v>119</v>
      </c>
      <c r="AX301" s="24" t="s">
        <v>119</v>
      </c>
      <c r="AY301" s="90" t="str">
        <f>CONCATENATE(AZ301,BA301,BB301,BC301)</f>
        <v/>
      </c>
      <c r="AZ301" s="90" t="str">
        <f>IF(ISNUMBER(SEARCH("Y",AC301)),"R","")</f>
        <v/>
      </c>
      <c r="BA301" s="90" t="str">
        <f>IF(ISNUMBER(SEARCH("Y",Y301)),"M","")</f>
        <v/>
      </c>
      <c r="BB301" s="90" t="str">
        <f>IF(ISNUMBER(SEARCH("Y",AB301)),"QC","")</f>
        <v/>
      </c>
      <c r="BC301" s="90" t="str">
        <f>IF(ISNUMBER(SEARCH("Y",Z301)),"S","")</f>
        <v/>
      </c>
      <c r="BD301" s="90"/>
      <c r="BE301" s="24" t="s">
        <v>119</v>
      </c>
      <c r="BF301" s="125" t="str">
        <f>IF(AND(AW301&gt;=56543,AW301&lt;=76543,LEN(AW301)&gt;0),"3 Feb 2020",IF(AND(AW301&gt;=66544,AW301&lt;=99999,LEN(AW301)&gt;0),"12 Sep 2020",""))</f>
        <v/>
      </c>
      <c r="BG301" s="125" t="str">
        <f>IF((AND(BF301="3 Feb 2020",LEN(BF301)&gt;0)),"Completed",IF((AND(BF301="12 Sep 2020",LEN(BF301)&gt;0)),"Pending",""))</f>
        <v/>
      </c>
      <c r="BH301" s="90" t="str">
        <f>IF((AND(BF301="3 Feb 2020",LEN(BF301)&gt;0)),"3 Feb 2020","")</f>
        <v/>
      </c>
      <c r="BI301" s="90">
        <v>198991</v>
      </c>
      <c r="BJ301" s="90" t="str">
        <f>L301</f>
        <v>5B89AR89766-62</v>
      </c>
      <c r="BK301" s="127">
        <v>43508</v>
      </c>
      <c r="BL301" s="127">
        <v>44239</v>
      </c>
      <c r="BM301" s="128">
        <f>P301*1.1</f>
        <v>2465210</v>
      </c>
      <c r="BN301" s="129">
        <f>P301*0.9</f>
        <v>2016990</v>
      </c>
      <c r="BO301" s="130">
        <f>P301*0.8</f>
        <v>1792880</v>
      </c>
      <c r="BP301" s="90">
        <f>IF(Z301="Y",BM301*0.4,BM301*1.05)</f>
        <v>2588470.5</v>
      </c>
      <c r="BQ301" s="90">
        <f>BP301*0.8</f>
        <v>2070776.4000000001</v>
      </c>
      <c r="BR301" s="90" t="str">
        <f>IF(ISNUMBER(SEARCH("subrecipient",AI297)),P301*0.6,"")</f>
        <v/>
      </c>
      <c r="BS301" s="90">
        <v>198991</v>
      </c>
      <c r="BT301" s="90" t="str">
        <f>BJ301</f>
        <v>5B89AR89766-62</v>
      </c>
      <c r="BU301" s="127">
        <f>BK301</f>
        <v>43508</v>
      </c>
      <c r="BV301" s="127">
        <f>BL301</f>
        <v>44239</v>
      </c>
      <c r="BW301" s="90" t="str">
        <f>H301</f>
        <v>FDA</v>
      </c>
      <c r="BX301" s="90" t="str">
        <f>IF(H301="NATIONAL HEMOPHILIA FOUNDATION","Non Federal","Federal")</f>
        <v>Federal</v>
      </c>
      <c r="BY301" s="128">
        <f>BM301</f>
        <v>2465210</v>
      </c>
      <c r="BZ301" s="90" t="str">
        <f>IF(LEN(BR301)&gt;0,1,"")</f>
        <v/>
      </c>
      <c r="CA301" s="90" t="str">
        <f>IF(LEN(BR301)&gt;0,"VIRAL HEPATITIS PROJECT","")</f>
        <v/>
      </c>
      <c r="CB301" s="129" t="str">
        <f>IF(LEN(BR301)&gt;0,BM301*0.7,"")</f>
        <v/>
      </c>
      <c r="CC301" s="90">
        <f>BP301</f>
        <v>2588470.5</v>
      </c>
      <c r="CD301" s="90" t="str">
        <f>IF(LEN(BR301)&gt;0,"70%","")</f>
        <v/>
      </c>
      <c r="CE301" s="90">
        <f>BS301</f>
        <v>198991</v>
      </c>
      <c r="CF301" s="90" t="str">
        <f>CA301</f>
        <v/>
      </c>
      <c r="CG301" s="90"/>
      <c r="CH301" s="90"/>
      <c r="CI301" s="90"/>
      <c r="CJ301" s="90"/>
      <c r="CK301" s="90"/>
      <c r="CL301" s="90"/>
      <c r="CM301" s="90"/>
      <c r="CN301" s="90"/>
      <c r="CO301" s="90"/>
      <c r="CP301" s="90"/>
      <c r="CQ301" s="90"/>
      <c r="CR301" s="90"/>
      <c r="CS301" s="90"/>
      <c r="CT301" s="137"/>
    </row>
    <row r="302" spans="1:98" ht="30">
      <c r="A302" s="89">
        <v>198991</v>
      </c>
      <c r="B302" s="90">
        <v>2020</v>
      </c>
      <c r="C302" s="90" t="s">
        <v>81</v>
      </c>
      <c r="D302" s="90" t="s">
        <v>994</v>
      </c>
      <c r="E302" s="125" t="s">
        <v>790</v>
      </c>
      <c r="F302" s="24" t="s">
        <v>995</v>
      </c>
      <c r="G302" s="90" t="s">
        <v>85</v>
      </c>
      <c r="H302" s="90" t="s">
        <v>132</v>
      </c>
      <c r="I302" s="90">
        <v>93</v>
      </c>
      <c r="J302" s="90">
        <v>157</v>
      </c>
      <c r="K302" s="90" t="s">
        <v>85</v>
      </c>
      <c r="L302" s="90" t="s">
        <v>996</v>
      </c>
      <c r="M302" s="90" t="s">
        <v>119</v>
      </c>
      <c r="N302" s="24" t="s">
        <v>997</v>
      </c>
      <c r="O302" s="24" t="str">
        <f>IF(ISNUMBER(SEARCH("Cancer",N302)),"Cancer",IF(ISNUMBER(SEARCH("health",N302)),"Public health",IF(ISNUMBER(SEARCH("disabilities",N302)),"Disabilities","Other")))</f>
        <v>Other</v>
      </c>
      <c r="P302" s="126">
        <v>2241100</v>
      </c>
      <c r="Q302" s="90" t="s">
        <v>85</v>
      </c>
      <c r="R302" s="90" t="str">
        <f>IF(P302&gt;20000000,"B","A")</f>
        <v>A</v>
      </c>
      <c r="S302" s="90" t="s">
        <v>90</v>
      </c>
      <c r="T302" s="90" t="s">
        <v>119</v>
      </c>
      <c r="U302" s="90" t="s">
        <v>119</v>
      </c>
      <c r="V302" s="90" t="s">
        <v>119</v>
      </c>
      <c r="W302" s="90" t="s">
        <v>119</v>
      </c>
      <c r="X302" s="90" t="s">
        <v>119</v>
      </c>
      <c r="Y302" s="90" t="s">
        <v>119</v>
      </c>
      <c r="Z302" s="90" t="s">
        <v>119</v>
      </c>
      <c r="AA302" s="90" t="s">
        <v>119</v>
      </c>
      <c r="AB302" s="90" t="s">
        <v>119</v>
      </c>
      <c r="AC302" s="90" t="s">
        <v>119</v>
      </c>
      <c r="AD302" s="90" t="s">
        <v>119</v>
      </c>
      <c r="AE302" s="24">
        <v>0</v>
      </c>
      <c r="AF302" s="90">
        <v>0</v>
      </c>
      <c r="AG302" s="24">
        <v>0</v>
      </c>
      <c r="AH302" s="90">
        <v>77009</v>
      </c>
      <c r="AI302" s="24" t="s">
        <v>110</v>
      </c>
      <c r="AJ302" s="24" t="s">
        <v>998</v>
      </c>
      <c r="AK302" s="90" t="s">
        <v>85</v>
      </c>
      <c r="AL302" s="90">
        <v>198991</v>
      </c>
      <c r="AM302" s="90" t="s">
        <v>81</v>
      </c>
      <c r="AN302" s="90" t="s">
        <v>994</v>
      </c>
      <c r="AO302" s="125" t="s">
        <v>790</v>
      </c>
      <c r="AP302" s="24" t="s">
        <v>997</v>
      </c>
      <c r="AQ302" s="90" t="s">
        <v>996</v>
      </c>
      <c r="AR302" s="24" t="s">
        <v>997</v>
      </c>
      <c r="AS302" s="90" t="s">
        <v>119</v>
      </c>
      <c r="AT302" s="24" t="s">
        <v>110</v>
      </c>
      <c r="AU302" s="90" t="s">
        <v>119</v>
      </c>
      <c r="AV302" s="90" t="str">
        <f>IF(ISNUMBER(SEARCH("disagree",AE302)),"N","Y")</f>
        <v>Y</v>
      </c>
      <c r="AW302" s="90" t="s">
        <v>119</v>
      </c>
      <c r="AX302" s="24" t="s">
        <v>119</v>
      </c>
      <c r="AY302" s="90" t="str">
        <f>CONCATENATE(AZ302,BA302,BB302,BC302)</f>
        <v/>
      </c>
      <c r="AZ302" s="90" t="str">
        <f>IF(ISNUMBER(SEARCH("Y",AC302)),"R","")</f>
        <v/>
      </c>
      <c r="BA302" s="90" t="str">
        <f>IF(ISNUMBER(SEARCH("Y",Y302)),"M","")</f>
        <v/>
      </c>
      <c r="BB302" s="90" t="str">
        <f>IF(ISNUMBER(SEARCH("Y",AB302)),"QC","")</f>
        <v/>
      </c>
      <c r="BC302" s="90" t="str">
        <f>IF(ISNUMBER(SEARCH("Y",Z302)),"S","")</f>
        <v/>
      </c>
      <c r="BD302" s="90"/>
      <c r="BE302" s="24" t="s">
        <v>119</v>
      </c>
      <c r="BF302" s="125" t="str">
        <f>IF(AND(AW302&gt;=56543,AW302&lt;=76543,LEN(AW302)&gt;0),"3 Feb 2020",IF(AND(AW302&gt;=66544,AW302&lt;=99999,LEN(AW302)&gt;0),"12 Sep 2020",""))</f>
        <v/>
      </c>
      <c r="BG302" s="125" t="str">
        <f>IF((AND(BF302="3 Feb 2020",LEN(BF302)&gt;0)),"Completed",IF((AND(BF302="12 Sep 2020",LEN(BF302)&gt;0)),"Pending",""))</f>
        <v/>
      </c>
      <c r="BH302" s="90" t="str">
        <f>IF((AND(BF302="3 Feb 2020",LEN(BF302)&gt;0)),"3 Feb 2020","")</f>
        <v/>
      </c>
      <c r="BI302" s="90">
        <v>198991</v>
      </c>
      <c r="BJ302" s="90" t="str">
        <f>L302</f>
        <v>5B89AR89766-62</v>
      </c>
      <c r="BK302" s="127">
        <v>43508</v>
      </c>
      <c r="BL302" s="127">
        <v>44239</v>
      </c>
      <c r="BM302" s="128">
        <f>P302*1.1</f>
        <v>2465210</v>
      </c>
      <c r="BN302" s="129">
        <f>P302*0.9</f>
        <v>2016990</v>
      </c>
      <c r="BO302" s="130">
        <f>P302*0.8</f>
        <v>1792880</v>
      </c>
      <c r="BP302" s="90">
        <f>IF(Z302="Y",BM302*0.4,BM302*1.05)</f>
        <v>2588470.5</v>
      </c>
      <c r="BQ302" s="90">
        <f>BP302*0.8</f>
        <v>2070776.4000000001</v>
      </c>
      <c r="BR302" s="90" t="str">
        <f>IF(ISNUMBER(SEARCH("subrecipient",AI298)),P302*0.6,"")</f>
        <v/>
      </c>
      <c r="BS302" s="90">
        <v>198991</v>
      </c>
      <c r="BT302" s="90" t="str">
        <f>BJ302</f>
        <v>5B89AR89766-62</v>
      </c>
      <c r="BU302" s="127">
        <f>BK302</f>
        <v>43508</v>
      </c>
      <c r="BV302" s="127">
        <f>BL302</f>
        <v>44239</v>
      </c>
      <c r="BW302" s="90" t="str">
        <f>H302</f>
        <v>FDA</v>
      </c>
      <c r="BX302" s="90" t="str">
        <f>IF(H302="NATIONAL HEMOPHILIA FOUNDATION","Non Federal","Federal")</f>
        <v>Federal</v>
      </c>
      <c r="BY302" s="128">
        <f>BM302</f>
        <v>2465210</v>
      </c>
      <c r="BZ302" s="90" t="str">
        <f>IF(LEN(BR302)&gt;0,1,"")</f>
        <v/>
      </c>
      <c r="CA302" s="90" t="str">
        <f>IF(LEN(BR302)&gt;0,"VIRAL HEPATITIS PROJECT","")</f>
        <v/>
      </c>
      <c r="CB302" s="129" t="str">
        <f>IF(LEN(BR302)&gt;0,BM302*0.7,"")</f>
        <v/>
      </c>
      <c r="CC302" s="90">
        <f>BP302</f>
        <v>2588470.5</v>
      </c>
      <c r="CD302" s="90" t="str">
        <f>IF(LEN(BR302)&gt;0,"70%","")</f>
        <v/>
      </c>
      <c r="CE302" s="90">
        <f>BS302</f>
        <v>198991</v>
      </c>
      <c r="CF302" s="90" t="str">
        <f>CA302</f>
        <v/>
      </c>
      <c r="CG302" s="90"/>
      <c r="CH302" s="90"/>
      <c r="CI302" s="90"/>
      <c r="CJ302" s="90"/>
      <c r="CK302" s="90"/>
      <c r="CL302" s="90"/>
      <c r="CM302" s="90"/>
      <c r="CN302" s="90"/>
      <c r="CO302" s="90"/>
      <c r="CP302" s="90"/>
      <c r="CQ302" s="90"/>
      <c r="CR302" s="90"/>
      <c r="CS302" s="90"/>
      <c r="CT302" s="137"/>
    </row>
    <row r="303" spans="1:98" ht="135">
      <c r="A303" s="89">
        <v>199212</v>
      </c>
      <c r="B303" s="90">
        <v>2020</v>
      </c>
      <c r="C303" s="90" t="s">
        <v>81</v>
      </c>
      <c r="D303" s="90" t="s">
        <v>999</v>
      </c>
      <c r="E303" s="125" t="s">
        <v>791</v>
      </c>
      <c r="F303" s="24" t="s">
        <v>1000</v>
      </c>
      <c r="G303" s="90" t="s">
        <v>85</v>
      </c>
      <c r="H303" s="90" t="s">
        <v>150</v>
      </c>
      <c r="I303" s="90">
        <v>93</v>
      </c>
      <c r="J303" s="90">
        <v>157</v>
      </c>
      <c r="K303" s="90" t="s">
        <v>85</v>
      </c>
      <c r="L303" s="90" t="s">
        <v>1001</v>
      </c>
      <c r="M303" s="90" t="s">
        <v>119</v>
      </c>
      <c r="N303" s="24" t="s">
        <v>1002</v>
      </c>
      <c r="O303" s="24" t="str">
        <f>IF(ISNUMBER(SEARCH("Cancer",N303)),"Cancer",IF(ISNUMBER(SEARCH("health",N303)),"Public health",IF(ISNUMBER(SEARCH("disabilities",N303)),"Disabilities","Other")))</f>
        <v>Other</v>
      </c>
      <c r="P303" s="126">
        <v>2964588</v>
      </c>
      <c r="Q303" s="90" t="s">
        <v>85</v>
      </c>
      <c r="R303" s="90" t="str">
        <f>IF(P303&gt;20000000,"B","A")</f>
        <v>A</v>
      </c>
      <c r="S303" s="90" t="s">
        <v>90</v>
      </c>
      <c r="T303" s="90" t="s">
        <v>119</v>
      </c>
      <c r="U303" s="90" t="s">
        <v>119</v>
      </c>
      <c r="V303" s="90" t="s">
        <v>119</v>
      </c>
      <c r="W303" s="90" t="s">
        <v>119</v>
      </c>
      <c r="X303" s="90" t="s">
        <v>119</v>
      </c>
      <c r="Y303" s="90" t="s">
        <v>119</v>
      </c>
      <c r="Z303" s="90" t="s">
        <v>119</v>
      </c>
      <c r="AA303" s="90" t="s">
        <v>119</v>
      </c>
      <c r="AB303" s="90" t="s">
        <v>119</v>
      </c>
      <c r="AC303" s="90" t="s">
        <v>119</v>
      </c>
      <c r="AD303" s="90" t="s">
        <v>119</v>
      </c>
      <c r="AE303" s="24">
        <v>0</v>
      </c>
      <c r="AF303" s="90">
        <v>0</v>
      </c>
      <c r="AG303" s="24">
        <v>0</v>
      </c>
      <c r="AH303" s="90">
        <v>85796</v>
      </c>
      <c r="AI303" s="24" t="s">
        <v>94</v>
      </c>
      <c r="AJ303" s="24" t="s">
        <v>1003</v>
      </c>
      <c r="AK303" s="90" t="s">
        <v>85</v>
      </c>
      <c r="AL303" s="90">
        <v>199212</v>
      </c>
      <c r="AM303" s="90" t="s">
        <v>81</v>
      </c>
      <c r="AN303" s="90" t="s">
        <v>999</v>
      </c>
      <c r="AO303" s="125" t="s">
        <v>791</v>
      </c>
      <c r="AP303" s="24" t="s">
        <v>1002</v>
      </c>
      <c r="AQ303" s="90" t="s">
        <v>1001</v>
      </c>
      <c r="AR303" s="24" t="s">
        <v>1002</v>
      </c>
      <c r="AS303" s="90" t="s">
        <v>119</v>
      </c>
      <c r="AT303" s="24" t="s">
        <v>94</v>
      </c>
      <c r="AU303" s="90" t="s">
        <v>119</v>
      </c>
      <c r="AV303" s="90" t="str">
        <f>IF(ISNUMBER(SEARCH("disagree",AE303)),"N","Y")</f>
        <v>Y</v>
      </c>
      <c r="AW303" s="90" t="s">
        <v>119</v>
      </c>
      <c r="AX303" s="24" t="s">
        <v>119</v>
      </c>
      <c r="AY303" s="90" t="str">
        <f>CONCATENATE(AZ303,BA303,BB303,BC303)</f>
        <v/>
      </c>
      <c r="AZ303" s="90" t="str">
        <f>IF(ISNUMBER(SEARCH("Y",AC303)),"R","")</f>
        <v/>
      </c>
      <c r="BA303" s="90" t="str">
        <f>IF(ISNUMBER(SEARCH("Y",Y303)),"M","")</f>
        <v/>
      </c>
      <c r="BB303" s="90" t="str">
        <f>IF(ISNUMBER(SEARCH("Y",AB303)),"QC","")</f>
        <v/>
      </c>
      <c r="BC303" s="90" t="str">
        <f>IF(ISNUMBER(SEARCH("Y",Z303)),"S","")</f>
        <v/>
      </c>
      <c r="BD303" s="90"/>
      <c r="BE303" s="24" t="s">
        <v>119</v>
      </c>
      <c r="BF303" s="125" t="str">
        <f>IF(AND(AW303&gt;=56543,AW303&lt;=76543,LEN(AW303)&gt;0),"3 Feb 2020",IF(AND(AW303&gt;=66544,AW303&lt;=99999,LEN(AW303)&gt;0),"12 Sep 2020",""))</f>
        <v/>
      </c>
      <c r="BG303" s="125" t="str">
        <f>IF((AND(BF303="3 Feb 2020",LEN(BF303)&gt;0)),"Completed",IF((AND(BF303="12 Sep 2020",LEN(BF303)&gt;0)),"Pending",""))</f>
        <v/>
      </c>
      <c r="BH303" s="90" t="str">
        <f>IF((AND(BF303="3 Feb 2020",LEN(BF303)&gt;0)),"3 Feb 2020","")</f>
        <v/>
      </c>
      <c r="BI303" s="90">
        <v>199212</v>
      </c>
      <c r="BJ303" s="90" t="str">
        <f>L303</f>
        <v>4D67CT86557-61</v>
      </c>
      <c r="BK303" s="127">
        <v>43508</v>
      </c>
      <c r="BL303" s="127">
        <v>44239</v>
      </c>
      <c r="BM303" s="128">
        <f>P303*1.1</f>
        <v>3261046.8000000003</v>
      </c>
      <c r="BN303" s="129">
        <f>P303*0.9</f>
        <v>2668129.2000000002</v>
      </c>
      <c r="BO303" s="130">
        <f>P303*0.8</f>
        <v>2371670.4</v>
      </c>
      <c r="BP303" s="90">
        <f>IF(Z303="Y",BM303*0.4,BM303*1.05)</f>
        <v>3424099.1400000006</v>
      </c>
      <c r="BQ303" s="90">
        <f>BP303*0.8</f>
        <v>2739279.3120000008</v>
      </c>
      <c r="BR303" s="90" t="str">
        <f>IF(ISNUMBER(SEARCH("subrecipient",AI299)),P303*0.6,"")</f>
        <v/>
      </c>
      <c r="BS303" s="90">
        <v>199212</v>
      </c>
      <c r="BT303" s="90" t="str">
        <f>BJ303</f>
        <v>4D67CT86557-61</v>
      </c>
      <c r="BU303" s="127">
        <f>BK303</f>
        <v>43508</v>
      </c>
      <c r="BV303" s="127">
        <f>BL303</f>
        <v>44239</v>
      </c>
      <c r="BW303" s="90" t="str">
        <f>H303</f>
        <v>ACF</v>
      </c>
      <c r="BX303" s="90" t="str">
        <f>IF(H303="NATIONAL HEMOPHILIA FOUNDATION","Non Federal","Federal")</f>
        <v>Federal</v>
      </c>
      <c r="BY303" s="128">
        <f>BM303</f>
        <v>3261046.8000000003</v>
      </c>
      <c r="BZ303" s="90" t="str">
        <f>IF(LEN(BR303)&gt;0,1,"")</f>
        <v/>
      </c>
      <c r="CA303" s="90" t="str">
        <f>IF(LEN(BR303)&gt;0,"VIRAL HEPATITIS PROJECT","")</f>
        <v/>
      </c>
      <c r="CB303" s="129" t="str">
        <f>IF(LEN(BR303)&gt;0,BM303*0.7,"")</f>
        <v/>
      </c>
      <c r="CC303" s="90">
        <f>BP303</f>
        <v>3424099.1400000006</v>
      </c>
      <c r="CD303" s="90" t="str">
        <f>IF(LEN(BR303)&gt;0,"70%","")</f>
        <v/>
      </c>
      <c r="CE303" s="90">
        <f>BS303</f>
        <v>199212</v>
      </c>
      <c r="CF303" s="90" t="str">
        <f>CA303</f>
        <v/>
      </c>
      <c r="CG303" s="90"/>
      <c r="CH303" s="90"/>
      <c r="CI303" s="90"/>
      <c r="CJ303" s="90"/>
      <c r="CK303" s="90"/>
      <c r="CL303" s="90"/>
      <c r="CM303" s="90"/>
      <c r="CN303" s="90"/>
      <c r="CO303" s="90"/>
      <c r="CP303" s="90"/>
      <c r="CQ303" s="90"/>
      <c r="CR303" s="90"/>
      <c r="CS303" s="90"/>
      <c r="CT303" s="137"/>
    </row>
    <row r="304" spans="1:98" ht="45">
      <c r="A304" s="89">
        <v>199212</v>
      </c>
      <c r="B304" s="90">
        <v>2020</v>
      </c>
      <c r="C304" s="90" t="s">
        <v>81</v>
      </c>
      <c r="D304" s="90" t="s">
        <v>999</v>
      </c>
      <c r="E304" s="125" t="s">
        <v>793</v>
      </c>
      <c r="F304" s="24" t="s">
        <v>1000</v>
      </c>
      <c r="G304" s="90" t="s">
        <v>85</v>
      </c>
      <c r="H304" s="90" t="s">
        <v>150</v>
      </c>
      <c r="I304" s="90">
        <v>93</v>
      </c>
      <c r="J304" s="90">
        <v>157</v>
      </c>
      <c r="K304" s="90" t="s">
        <v>85</v>
      </c>
      <c r="L304" s="90" t="s">
        <v>1001</v>
      </c>
      <c r="M304" s="90" t="s">
        <v>119</v>
      </c>
      <c r="N304" s="24" t="s">
        <v>1002</v>
      </c>
      <c r="O304" s="24" t="str">
        <f>IF(ISNUMBER(SEARCH("Cancer",N304)),"Cancer",IF(ISNUMBER(SEARCH("health",N304)),"Public health",IF(ISNUMBER(SEARCH("disabilities",N304)),"Disabilities","Other")))</f>
        <v>Other</v>
      </c>
      <c r="P304" s="126">
        <v>2964588</v>
      </c>
      <c r="Q304" s="90" t="s">
        <v>85</v>
      </c>
      <c r="R304" s="90" t="str">
        <f>IF(P304&gt;20000000,"B","A")</f>
        <v>A</v>
      </c>
      <c r="S304" s="90" t="s">
        <v>90</v>
      </c>
      <c r="T304" s="90" t="s">
        <v>119</v>
      </c>
      <c r="U304" s="90" t="s">
        <v>119</v>
      </c>
      <c r="V304" s="90" t="s">
        <v>119</v>
      </c>
      <c r="W304" s="90" t="s">
        <v>119</v>
      </c>
      <c r="X304" s="90" t="s">
        <v>119</v>
      </c>
      <c r="Y304" s="90" t="s">
        <v>119</v>
      </c>
      <c r="Z304" s="90" t="s">
        <v>119</v>
      </c>
      <c r="AA304" s="90" t="s">
        <v>119</v>
      </c>
      <c r="AB304" s="90" t="s">
        <v>119</v>
      </c>
      <c r="AC304" s="90" t="s">
        <v>119</v>
      </c>
      <c r="AD304" s="90" t="s">
        <v>119</v>
      </c>
      <c r="AE304" s="24">
        <v>0</v>
      </c>
      <c r="AF304" s="90">
        <v>0</v>
      </c>
      <c r="AG304" s="24">
        <v>0</v>
      </c>
      <c r="AH304" s="90">
        <v>85797</v>
      </c>
      <c r="AI304" s="24" t="s">
        <v>102</v>
      </c>
      <c r="AJ304" s="24" t="s">
        <v>103</v>
      </c>
      <c r="AK304" s="90" t="s">
        <v>85</v>
      </c>
      <c r="AL304" s="90">
        <v>199212</v>
      </c>
      <c r="AM304" s="90" t="s">
        <v>81</v>
      </c>
      <c r="AN304" s="90" t="s">
        <v>999</v>
      </c>
      <c r="AO304" s="125" t="s">
        <v>793</v>
      </c>
      <c r="AP304" s="24" t="s">
        <v>1002</v>
      </c>
      <c r="AQ304" s="90" t="s">
        <v>1001</v>
      </c>
      <c r="AR304" s="24" t="s">
        <v>1002</v>
      </c>
      <c r="AS304" s="90" t="s">
        <v>119</v>
      </c>
      <c r="AT304" s="24" t="s">
        <v>102</v>
      </c>
      <c r="AU304" s="90" t="s">
        <v>119</v>
      </c>
      <c r="AV304" s="90" t="str">
        <f>IF(ISNUMBER(SEARCH("disagree",AE304)),"N","Y")</f>
        <v>Y</v>
      </c>
      <c r="AW304" s="90" t="s">
        <v>119</v>
      </c>
      <c r="AX304" s="24" t="s">
        <v>119</v>
      </c>
      <c r="AY304" s="90" t="str">
        <f>CONCATENATE(AZ304,BA304,BB304,BC304)</f>
        <v/>
      </c>
      <c r="AZ304" s="90" t="str">
        <f>IF(ISNUMBER(SEARCH("Y",AC304)),"R","")</f>
        <v/>
      </c>
      <c r="BA304" s="90" t="str">
        <f>IF(ISNUMBER(SEARCH("Y",Y304)),"M","")</f>
        <v/>
      </c>
      <c r="BB304" s="90" t="str">
        <f>IF(ISNUMBER(SEARCH("Y",AB304)),"QC","")</f>
        <v/>
      </c>
      <c r="BC304" s="90" t="str">
        <f>IF(ISNUMBER(SEARCH("Y",Z304)),"S","")</f>
        <v/>
      </c>
      <c r="BD304" s="90"/>
      <c r="BE304" s="24" t="s">
        <v>119</v>
      </c>
      <c r="BF304" s="125" t="str">
        <f>IF(AND(AW304&gt;=56543,AW304&lt;=76543,LEN(AW304)&gt;0),"3 Feb 2020",IF(AND(AW304&gt;=66544,AW304&lt;=99999,LEN(AW304)&gt;0),"12 Sep 2020",""))</f>
        <v/>
      </c>
      <c r="BG304" s="125" t="str">
        <f>IF((AND(BF304="3 Feb 2020",LEN(BF304)&gt;0)),"Completed",IF((AND(BF304="12 Sep 2020",LEN(BF304)&gt;0)),"Pending",""))</f>
        <v/>
      </c>
      <c r="BH304" s="90" t="str">
        <f>IF((AND(BF304="3 Feb 2020",LEN(BF304)&gt;0)),"3 Feb 2020","")</f>
        <v/>
      </c>
      <c r="BI304" s="90">
        <v>199212</v>
      </c>
      <c r="BJ304" s="90" t="str">
        <f>L304</f>
        <v>4D67CT86557-61</v>
      </c>
      <c r="BK304" s="127">
        <v>43508</v>
      </c>
      <c r="BL304" s="127">
        <v>44239</v>
      </c>
      <c r="BM304" s="128">
        <f>P304*1.1</f>
        <v>3261046.8000000003</v>
      </c>
      <c r="BN304" s="129">
        <f>P304*0.9</f>
        <v>2668129.2000000002</v>
      </c>
      <c r="BO304" s="130">
        <f>P304*0.8</f>
        <v>2371670.4</v>
      </c>
      <c r="BP304" s="90">
        <f>IF(Z304="Y",BM304*0.4,BM304*1.05)</f>
        <v>3424099.1400000006</v>
      </c>
      <c r="BQ304" s="90">
        <f>BP304*0.8</f>
        <v>2739279.3120000008</v>
      </c>
      <c r="BR304" s="90" t="str">
        <f>IF(ISNUMBER(SEARCH("subrecipient",AI300)),P304*0.6,"")</f>
        <v/>
      </c>
      <c r="BS304" s="90">
        <v>199212</v>
      </c>
      <c r="BT304" s="90" t="str">
        <f>BJ304</f>
        <v>4D67CT86557-61</v>
      </c>
      <c r="BU304" s="127">
        <f>BK304</f>
        <v>43508</v>
      </c>
      <c r="BV304" s="127">
        <f>BL304</f>
        <v>44239</v>
      </c>
      <c r="BW304" s="90" t="str">
        <f>H304</f>
        <v>ACF</v>
      </c>
      <c r="BX304" s="90" t="str">
        <f>IF(H304="NATIONAL HEMOPHILIA FOUNDATION","Non Federal","Federal")</f>
        <v>Federal</v>
      </c>
      <c r="BY304" s="128">
        <f>BM304</f>
        <v>3261046.8000000003</v>
      </c>
      <c r="BZ304" s="90" t="str">
        <f>IF(LEN(BR304)&gt;0,1,"")</f>
        <v/>
      </c>
      <c r="CA304" s="90" t="str">
        <f>IF(LEN(BR304)&gt;0,"VIRAL HEPATITIS PROJECT","")</f>
        <v/>
      </c>
      <c r="CB304" s="129" t="str">
        <f>IF(LEN(BR304)&gt;0,BM304*0.7,"")</f>
        <v/>
      </c>
      <c r="CC304" s="90">
        <f>BP304</f>
        <v>3424099.1400000006</v>
      </c>
      <c r="CD304" s="90" t="str">
        <f>IF(LEN(BR304)&gt;0,"70%","")</f>
        <v/>
      </c>
      <c r="CE304" s="90">
        <f>BS304</f>
        <v>199212</v>
      </c>
      <c r="CF304" s="90" t="str">
        <f>CA304</f>
        <v/>
      </c>
      <c r="CG304" s="90"/>
      <c r="CH304" s="90"/>
      <c r="CI304" s="90"/>
      <c r="CJ304" s="90"/>
      <c r="CK304" s="90"/>
      <c r="CL304" s="90"/>
      <c r="CM304" s="90"/>
      <c r="CN304" s="90"/>
      <c r="CO304" s="90"/>
      <c r="CP304" s="90"/>
      <c r="CQ304" s="90"/>
      <c r="CR304" s="90"/>
      <c r="CS304" s="90"/>
      <c r="CT304" s="137"/>
    </row>
    <row r="305" spans="1:98" ht="45">
      <c r="A305" s="89">
        <v>199212</v>
      </c>
      <c r="B305" s="90">
        <v>2020</v>
      </c>
      <c r="C305" s="90" t="s">
        <v>81</v>
      </c>
      <c r="D305" s="90" t="s">
        <v>999</v>
      </c>
      <c r="E305" s="125" t="s">
        <v>780</v>
      </c>
      <c r="F305" s="24" t="s">
        <v>1000</v>
      </c>
      <c r="G305" s="90" t="s">
        <v>85</v>
      </c>
      <c r="H305" s="90" t="s">
        <v>150</v>
      </c>
      <c r="I305" s="90">
        <v>93</v>
      </c>
      <c r="J305" s="90">
        <v>157</v>
      </c>
      <c r="K305" s="90" t="s">
        <v>85</v>
      </c>
      <c r="L305" s="90" t="s">
        <v>1001</v>
      </c>
      <c r="M305" s="90" t="s">
        <v>119</v>
      </c>
      <c r="N305" s="24" t="s">
        <v>1002</v>
      </c>
      <c r="O305" s="24" t="str">
        <f>IF(ISNUMBER(SEARCH("Cancer",N305)),"Cancer",IF(ISNUMBER(SEARCH("health",N305)),"Public health",IF(ISNUMBER(SEARCH("disabilities",N305)),"Disabilities","Other")))</f>
        <v>Other</v>
      </c>
      <c r="P305" s="126">
        <v>2964588</v>
      </c>
      <c r="Q305" s="90" t="s">
        <v>85</v>
      </c>
      <c r="R305" s="90" t="str">
        <f>IF(P305&gt;20000000,"B","A")</f>
        <v>A</v>
      </c>
      <c r="S305" s="90" t="s">
        <v>90</v>
      </c>
      <c r="T305" s="90" t="s">
        <v>119</v>
      </c>
      <c r="U305" s="90" t="s">
        <v>119</v>
      </c>
      <c r="V305" s="90" t="s">
        <v>119</v>
      </c>
      <c r="W305" s="90" t="s">
        <v>119</v>
      </c>
      <c r="X305" s="90" t="s">
        <v>119</v>
      </c>
      <c r="Y305" s="90" t="s">
        <v>119</v>
      </c>
      <c r="Z305" s="90" t="s">
        <v>119</v>
      </c>
      <c r="AA305" s="90" t="s">
        <v>119</v>
      </c>
      <c r="AB305" s="90" t="s">
        <v>119</v>
      </c>
      <c r="AC305" s="90" t="s">
        <v>119</v>
      </c>
      <c r="AD305" s="90" t="s">
        <v>119</v>
      </c>
      <c r="AE305" s="24">
        <v>0</v>
      </c>
      <c r="AF305" s="90">
        <v>0</v>
      </c>
      <c r="AG305" s="24">
        <v>0</v>
      </c>
      <c r="AH305" s="90">
        <v>85798</v>
      </c>
      <c r="AI305" s="24" t="s">
        <v>110</v>
      </c>
      <c r="AJ305" s="24" t="s">
        <v>1004</v>
      </c>
      <c r="AK305" s="90" t="s">
        <v>85</v>
      </c>
      <c r="AL305" s="90">
        <v>199212</v>
      </c>
      <c r="AM305" s="90" t="s">
        <v>81</v>
      </c>
      <c r="AN305" s="90" t="s">
        <v>999</v>
      </c>
      <c r="AO305" s="125" t="s">
        <v>780</v>
      </c>
      <c r="AP305" s="24" t="s">
        <v>1002</v>
      </c>
      <c r="AQ305" s="90" t="s">
        <v>1001</v>
      </c>
      <c r="AR305" s="24" t="s">
        <v>1002</v>
      </c>
      <c r="AS305" s="90" t="s">
        <v>119</v>
      </c>
      <c r="AT305" s="24" t="s">
        <v>110</v>
      </c>
      <c r="AU305" s="90" t="s">
        <v>119</v>
      </c>
      <c r="AV305" s="90" t="str">
        <f>IF(ISNUMBER(SEARCH("disagree",AE305)),"N","Y")</f>
        <v>Y</v>
      </c>
      <c r="AW305" s="90" t="s">
        <v>119</v>
      </c>
      <c r="AX305" s="24" t="s">
        <v>119</v>
      </c>
      <c r="AY305" s="90" t="str">
        <f>CONCATENATE(AZ305,BA305,BB305,BC305)</f>
        <v/>
      </c>
      <c r="AZ305" s="90" t="str">
        <f>IF(ISNUMBER(SEARCH("Y",AC305)),"R","")</f>
        <v/>
      </c>
      <c r="BA305" s="90" t="str">
        <f>IF(ISNUMBER(SEARCH("Y",Y305)),"M","")</f>
        <v/>
      </c>
      <c r="BB305" s="90" t="str">
        <f>IF(ISNUMBER(SEARCH("Y",AB305)),"QC","")</f>
        <v/>
      </c>
      <c r="BC305" s="90" t="str">
        <f>IF(ISNUMBER(SEARCH("Y",Z305)),"S","")</f>
        <v/>
      </c>
      <c r="BD305" s="90"/>
      <c r="BE305" s="24" t="s">
        <v>119</v>
      </c>
      <c r="BF305" s="125" t="str">
        <f>IF(AND(AW305&gt;=56543,AW305&lt;=76543,LEN(AW305)&gt;0),"3 Feb 2020",IF(AND(AW305&gt;=66544,AW305&lt;=99999,LEN(AW305)&gt;0),"12 Sep 2020",""))</f>
        <v/>
      </c>
      <c r="BG305" s="125" t="str">
        <f>IF((AND(BF305="3 Feb 2020",LEN(BF305)&gt;0)),"Completed",IF((AND(BF305="12 Sep 2020",LEN(BF305)&gt;0)),"Pending",""))</f>
        <v/>
      </c>
      <c r="BH305" s="90" t="str">
        <f>IF((AND(BF305="3 Feb 2020",LEN(BF305)&gt;0)),"3 Feb 2020","")</f>
        <v/>
      </c>
      <c r="BI305" s="90">
        <v>199212</v>
      </c>
      <c r="BJ305" s="90" t="str">
        <f>L305</f>
        <v>4D67CT86557-61</v>
      </c>
      <c r="BK305" s="127">
        <v>43508</v>
      </c>
      <c r="BL305" s="127">
        <v>44239</v>
      </c>
      <c r="BM305" s="128">
        <f>P305*1.1</f>
        <v>3261046.8000000003</v>
      </c>
      <c r="BN305" s="129">
        <f>P305*0.9</f>
        <v>2668129.2000000002</v>
      </c>
      <c r="BO305" s="130">
        <f>P305*0.8</f>
        <v>2371670.4</v>
      </c>
      <c r="BP305" s="90">
        <f>IF(Z305="Y",BM305*0.4,BM305*1.05)</f>
        <v>3424099.1400000006</v>
      </c>
      <c r="BQ305" s="90">
        <f>BP305*0.8</f>
        <v>2739279.3120000008</v>
      </c>
      <c r="BR305" s="90" t="str">
        <f>IF(ISNUMBER(SEARCH("subrecipient",AI301)),P305*0.6,"")</f>
        <v/>
      </c>
      <c r="BS305" s="90">
        <v>199212</v>
      </c>
      <c r="BT305" s="90" t="str">
        <f>BJ305</f>
        <v>4D67CT86557-61</v>
      </c>
      <c r="BU305" s="127">
        <f>BK305</f>
        <v>43508</v>
      </c>
      <c r="BV305" s="127">
        <f>BL305</f>
        <v>44239</v>
      </c>
      <c r="BW305" s="90" t="str">
        <f>H305</f>
        <v>ACF</v>
      </c>
      <c r="BX305" s="90" t="str">
        <f>IF(H305="NATIONAL HEMOPHILIA FOUNDATION","Non Federal","Federal")</f>
        <v>Federal</v>
      </c>
      <c r="BY305" s="128">
        <f>BM305</f>
        <v>3261046.8000000003</v>
      </c>
      <c r="BZ305" s="90" t="str">
        <f>IF(LEN(BR305)&gt;0,1,"")</f>
        <v/>
      </c>
      <c r="CA305" s="90" t="str">
        <f>IF(LEN(BR305)&gt;0,"VIRAL HEPATITIS PROJECT","")</f>
        <v/>
      </c>
      <c r="CB305" s="129" t="str">
        <f>IF(LEN(BR305)&gt;0,BM305*0.7,"")</f>
        <v/>
      </c>
      <c r="CC305" s="90">
        <f>BP305</f>
        <v>3424099.1400000006</v>
      </c>
      <c r="CD305" s="90" t="str">
        <f>IF(LEN(BR305)&gt;0,"70%","")</f>
        <v/>
      </c>
      <c r="CE305" s="90">
        <f>BS305</f>
        <v>199212</v>
      </c>
      <c r="CF305" s="90" t="str">
        <f>CA305</f>
        <v/>
      </c>
      <c r="CG305" s="90"/>
      <c r="CH305" s="90"/>
      <c r="CI305" s="90"/>
      <c r="CJ305" s="90"/>
      <c r="CK305" s="90"/>
      <c r="CL305" s="90"/>
      <c r="CM305" s="90"/>
      <c r="CN305" s="90"/>
      <c r="CO305" s="90"/>
      <c r="CP305" s="90"/>
      <c r="CQ305" s="90"/>
      <c r="CR305" s="90"/>
      <c r="CS305" s="90"/>
      <c r="CT305" s="137"/>
    </row>
    <row r="306" spans="1:98" ht="90">
      <c r="A306" s="89">
        <v>199301</v>
      </c>
      <c r="B306" s="90">
        <v>2020</v>
      </c>
      <c r="C306" s="90" t="s">
        <v>81</v>
      </c>
      <c r="D306" s="90" t="s">
        <v>1005</v>
      </c>
      <c r="E306" s="125" t="s">
        <v>781</v>
      </c>
      <c r="F306" s="24" t="s">
        <v>1006</v>
      </c>
      <c r="G306" s="90" t="s">
        <v>85</v>
      </c>
      <c r="H306" s="90" t="s">
        <v>86</v>
      </c>
      <c r="I306" s="90">
        <v>93</v>
      </c>
      <c r="J306" s="90">
        <v>157</v>
      </c>
      <c r="K306" s="90" t="s">
        <v>85</v>
      </c>
      <c r="L306" s="90" t="s">
        <v>1007</v>
      </c>
      <c r="M306" s="90" t="s">
        <v>119</v>
      </c>
      <c r="N306" s="24" t="s">
        <v>1008</v>
      </c>
      <c r="O306" s="24" t="str">
        <f>IF(ISNUMBER(SEARCH("Cancer",N306)),"Cancer",IF(ISNUMBER(SEARCH("health",N306)),"Public health",IF(ISNUMBER(SEARCH("disabilities",N306)),"Disabilities","Other")))</f>
        <v>Other</v>
      </c>
      <c r="P306" s="126">
        <v>2881500</v>
      </c>
      <c r="Q306" s="90" t="s">
        <v>85</v>
      </c>
      <c r="R306" s="90" t="str">
        <f>IF(P306&gt;20000000,"B","A")</f>
        <v>A</v>
      </c>
      <c r="S306" s="90" t="s">
        <v>90</v>
      </c>
      <c r="T306" s="90" t="s">
        <v>119</v>
      </c>
      <c r="U306" s="90" t="s">
        <v>119</v>
      </c>
      <c r="V306" s="90" t="s">
        <v>119</v>
      </c>
      <c r="W306" s="90" t="s">
        <v>119</v>
      </c>
      <c r="X306" s="90" t="s">
        <v>119</v>
      </c>
      <c r="Y306" s="90" t="s">
        <v>119</v>
      </c>
      <c r="Z306" s="90" t="s">
        <v>119</v>
      </c>
      <c r="AA306" s="90" t="s">
        <v>119</v>
      </c>
      <c r="AB306" s="90" t="s">
        <v>119</v>
      </c>
      <c r="AC306" s="90" t="s">
        <v>119</v>
      </c>
      <c r="AD306" s="90" t="s">
        <v>119</v>
      </c>
      <c r="AE306" s="24">
        <v>0</v>
      </c>
      <c r="AF306" s="90">
        <v>0</v>
      </c>
      <c r="AG306" s="24">
        <v>0</v>
      </c>
      <c r="AH306" s="90">
        <v>84547</v>
      </c>
      <c r="AI306" s="24" t="s">
        <v>94</v>
      </c>
      <c r="AJ306" s="24" t="s">
        <v>1009</v>
      </c>
      <c r="AK306" s="90" t="s">
        <v>85</v>
      </c>
      <c r="AL306" s="90">
        <v>199301</v>
      </c>
      <c r="AM306" s="90" t="s">
        <v>81</v>
      </c>
      <c r="AN306" s="90" t="s">
        <v>1005</v>
      </c>
      <c r="AO306" s="125" t="s">
        <v>781</v>
      </c>
      <c r="AP306" s="24" t="s">
        <v>1008</v>
      </c>
      <c r="AQ306" s="90" t="s">
        <v>1007</v>
      </c>
      <c r="AR306" s="24" t="s">
        <v>1008</v>
      </c>
      <c r="AS306" s="90" t="s">
        <v>119</v>
      </c>
      <c r="AT306" s="24" t="s">
        <v>94</v>
      </c>
      <c r="AU306" s="90" t="s">
        <v>119</v>
      </c>
      <c r="AV306" s="90" t="str">
        <f>IF(ISNUMBER(SEARCH("disagree",AE306)),"N","Y")</f>
        <v>Y</v>
      </c>
      <c r="AW306" s="90" t="s">
        <v>119</v>
      </c>
      <c r="AX306" s="24" t="s">
        <v>119</v>
      </c>
      <c r="AY306" s="90" t="str">
        <f>CONCATENATE(AZ306,BA306,BB306,BC306)</f>
        <v/>
      </c>
      <c r="AZ306" s="90" t="str">
        <f>IF(ISNUMBER(SEARCH("Y",AC306)),"R","")</f>
        <v/>
      </c>
      <c r="BA306" s="90" t="str">
        <f>IF(ISNUMBER(SEARCH("Y",Y306)),"M","")</f>
        <v/>
      </c>
      <c r="BB306" s="90" t="str">
        <f>IF(ISNUMBER(SEARCH("Y",AB306)),"QC","")</f>
        <v/>
      </c>
      <c r="BC306" s="90" t="str">
        <f>IF(ISNUMBER(SEARCH("Y",Z306)),"S","")</f>
        <v/>
      </c>
      <c r="BD306" s="90"/>
      <c r="BE306" s="24" t="s">
        <v>119</v>
      </c>
      <c r="BF306" s="125" t="str">
        <f>IF(AND(AW306&gt;=56543,AW306&lt;=76543,LEN(AW306)&gt;0),"3 Feb 2020",IF(AND(AW306&gt;=66544,AW306&lt;=99999,LEN(AW306)&gt;0),"12 Sep 2020",""))</f>
        <v/>
      </c>
      <c r="BG306" s="125" t="str">
        <f>IF((AND(BF306="3 Feb 2020",LEN(BF306)&gt;0)),"Completed",IF((AND(BF306="12 Sep 2020",LEN(BF306)&gt;0)),"Pending",""))</f>
        <v/>
      </c>
      <c r="BH306" s="90" t="str">
        <f>IF((AND(BF306="3 Feb 2020",LEN(BF306)&gt;0)),"3 Feb 2020","")</f>
        <v/>
      </c>
      <c r="BI306" s="90">
        <v>199301</v>
      </c>
      <c r="BJ306" s="90" t="str">
        <f>L306</f>
        <v>5C36DS86556-87</v>
      </c>
      <c r="BK306" s="127">
        <v>43508</v>
      </c>
      <c r="BL306" s="127">
        <v>44239</v>
      </c>
      <c r="BM306" s="128">
        <f>P306*1.1</f>
        <v>3169650.0000000005</v>
      </c>
      <c r="BN306" s="129">
        <f>P306*0.9</f>
        <v>2593350</v>
      </c>
      <c r="BO306" s="130">
        <f>P306*0.8</f>
        <v>2305200</v>
      </c>
      <c r="BP306" s="90">
        <f>IF(Z306="Y",BM306*0.4,BM306*1.05)</f>
        <v>3328132.5000000005</v>
      </c>
      <c r="BQ306" s="90">
        <f>BP306*0.8</f>
        <v>2662506.0000000005</v>
      </c>
      <c r="BR306" s="90" t="str">
        <f>IF(ISNUMBER(SEARCH("subrecipient",AI302)),P306*0.6,"")</f>
        <v/>
      </c>
      <c r="BS306" s="90">
        <v>199301</v>
      </c>
      <c r="BT306" s="90" t="str">
        <f>BJ306</f>
        <v>5C36DS86556-87</v>
      </c>
      <c r="BU306" s="127">
        <f>BK306</f>
        <v>43508</v>
      </c>
      <c r="BV306" s="127">
        <f>BL306</f>
        <v>44239</v>
      </c>
      <c r="BW306" s="90" t="str">
        <f>H306</f>
        <v>CDC</v>
      </c>
      <c r="BX306" s="90" t="str">
        <f>IF(H306="NATIONAL HEMOPHILIA FOUNDATION","Non Federal","Federal")</f>
        <v>Federal</v>
      </c>
      <c r="BY306" s="128">
        <f>BM306</f>
        <v>3169650.0000000005</v>
      </c>
      <c r="BZ306" s="90" t="str">
        <f>IF(LEN(BR306)&gt;0,1,"")</f>
        <v/>
      </c>
      <c r="CA306" s="90" t="str">
        <f>IF(LEN(BR306)&gt;0,"VIRAL HEPATITIS PROJECT","")</f>
        <v/>
      </c>
      <c r="CB306" s="129" t="str">
        <f>IF(LEN(BR306)&gt;0,BM306*0.7,"")</f>
        <v/>
      </c>
      <c r="CC306" s="90">
        <f>BP306</f>
        <v>3328132.5000000005</v>
      </c>
      <c r="CD306" s="90" t="str">
        <f>IF(LEN(BR306)&gt;0,"70%","")</f>
        <v/>
      </c>
      <c r="CE306" s="90">
        <f>BS306</f>
        <v>199301</v>
      </c>
      <c r="CF306" s="90" t="str">
        <f>CA306</f>
        <v/>
      </c>
      <c r="CG306" s="90"/>
      <c r="CH306" s="90"/>
      <c r="CI306" s="90"/>
      <c r="CJ306" s="90"/>
      <c r="CK306" s="90"/>
      <c r="CL306" s="90"/>
      <c r="CM306" s="90"/>
      <c r="CN306" s="90"/>
      <c r="CO306" s="90"/>
      <c r="CP306" s="90"/>
      <c r="CQ306" s="90"/>
      <c r="CR306" s="90"/>
      <c r="CS306" s="90"/>
      <c r="CT306" s="137"/>
    </row>
    <row r="307" spans="1:98" ht="30">
      <c r="A307" s="89">
        <v>199301</v>
      </c>
      <c r="B307" s="90">
        <v>2020</v>
      </c>
      <c r="C307" s="90" t="s">
        <v>81</v>
      </c>
      <c r="D307" s="90" t="s">
        <v>1005</v>
      </c>
      <c r="E307" s="125" t="s">
        <v>784</v>
      </c>
      <c r="F307" s="24" t="s">
        <v>1006</v>
      </c>
      <c r="G307" s="90" t="s">
        <v>85</v>
      </c>
      <c r="H307" s="90" t="s">
        <v>86</v>
      </c>
      <c r="I307" s="90">
        <v>93</v>
      </c>
      <c r="J307" s="90">
        <v>157</v>
      </c>
      <c r="K307" s="90" t="s">
        <v>85</v>
      </c>
      <c r="L307" s="90" t="s">
        <v>1007</v>
      </c>
      <c r="M307" s="90" t="s">
        <v>119</v>
      </c>
      <c r="N307" s="24" t="s">
        <v>1008</v>
      </c>
      <c r="O307" s="24" t="str">
        <f>IF(ISNUMBER(SEARCH("Cancer",N307)),"Cancer",IF(ISNUMBER(SEARCH("health",N307)),"Public health",IF(ISNUMBER(SEARCH("disabilities",N307)),"Disabilities","Other")))</f>
        <v>Other</v>
      </c>
      <c r="P307" s="126">
        <v>2881500</v>
      </c>
      <c r="Q307" s="90" t="s">
        <v>85</v>
      </c>
      <c r="R307" s="90" t="str">
        <f>IF(P307&gt;20000000,"B","A")</f>
        <v>A</v>
      </c>
      <c r="S307" s="90" t="s">
        <v>90</v>
      </c>
      <c r="T307" s="90" t="s">
        <v>119</v>
      </c>
      <c r="U307" s="90" t="s">
        <v>119</v>
      </c>
      <c r="V307" s="90" t="s">
        <v>119</v>
      </c>
      <c r="W307" s="90" t="s">
        <v>119</v>
      </c>
      <c r="X307" s="90" t="s">
        <v>119</v>
      </c>
      <c r="Y307" s="90" t="s">
        <v>119</v>
      </c>
      <c r="Z307" s="90" t="s">
        <v>119</v>
      </c>
      <c r="AA307" s="90" t="s">
        <v>119</v>
      </c>
      <c r="AB307" s="90" t="s">
        <v>119</v>
      </c>
      <c r="AC307" s="90" t="s">
        <v>119</v>
      </c>
      <c r="AD307" s="90" t="s">
        <v>119</v>
      </c>
      <c r="AE307" s="24">
        <v>0</v>
      </c>
      <c r="AF307" s="90">
        <v>0</v>
      </c>
      <c r="AG307" s="24">
        <v>0</v>
      </c>
      <c r="AH307" s="90">
        <v>84548</v>
      </c>
      <c r="AI307" s="24" t="s">
        <v>102</v>
      </c>
      <c r="AJ307" s="24" t="s">
        <v>103</v>
      </c>
      <c r="AK307" s="90" t="s">
        <v>85</v>
      </c>
      <c r="AL307" s="90">
        <v>199301</v>
      </c>
      <c r="AM307" s="90" t="s">
        <v>81</v>
      </c>
      <c r="AN307" s="90" t="s">
        <v>1005</v>
      </c>
      <c r="AO307" s="125" t="s">
        <v>784</v>
      </c>
      <c r="AP307" s="24" t="s">
        <v>1008</v>
      </c>
      <c r="AQ307" s="90" t="s">
        <v>1007</v>
      </c>
      <c r="AR307" s="24" t="s">
        <v>1008</v>
      </c>
      <c r="AS307" s="90" t="s">
        <v>119</v>
      </c>
      <c r="AT307" s="24" t="s">
        <v>102</v>
      </c>
      <c r="AU307" s="90" t="s">
        <v>119</v>
      </c>
      <c r="AV307" s="90" t="str">
        <f>IF(ISNUMBER(SEARCH("disagree",AE307)),"N","Y")</f>
        <v>Y</v>
      </c>
      <c r="AW307" s="90" t="s">
        <v>119</v>
      </c>
      <c r="AX307" s="24" t="s">
        <v>119</v>
      </c>
      <c r="AY307" s="90" t="str">
        <f>CONCATENATE(AZ307,BA307,BB307,BC307)</f>
        <v/>
      </c>
      <c r="AZ307" s="90" t="str">
        <f>IF(ISNUMBER(SEARCH("Y",AC307)),"R","")</f>
        <v/>
      </c>
      <c r="BA307" s="90" t="str">
        <f>IF(ISNUMBER(SEARCH("Y",Y307)),"M","")</f>
        <v/>
      </c>
      <c r="BB307" s="90" t="str">
        <f>IF(ISNUMBER(SEARCH("Y",AB307)),"QC","")</f>
        <v/>
      </c>
      <c r="BC307" s="90" t="str">
        <f>IF(ISNUMBER(SEARCH("Y",Z307)),"S","")</f>
        <v/>
      </c>
      <c r="BD307" s="90"/>
      <c r="BE307" s="24" t="s">
        <v>119</v>
      </c>
      <c r="BF307" s="125" t="str">
        <f>IF(AND(AW307&gt;=56543,AW307&lt;=76543,LEN(AW307)&gt;0),"3 Feb 2020",IF(AND(AW307&gt;=66544,AW307&lt;=99999,LEN(AW307)&gt;0),"12 Sep 2020",""))</f>
        <v/>
      </c>
      <c r="BG307" s="125" t="str">
        <f>IF((AND(BF307="3 Feb 2020",LEN(BF307)&gt;0)),"Completed",IF((AND(BF307="12 Sep 2020",LEN(BF307)&gt;0)),"Pending",""))</f>
        <v/>
      </c>
      <c r="BH307" s="90" t="str">
        <f>IF((AND(BF307="3 Feb 2020",LEN(BF307)&gt;0)),"3 Feb 2020","")</f>
        <v/>
      </c>
      <c r="BI307" s="90">
        <v>199301</v>
      </c>
      <c r="BJ307" s="90" t="str">
        <f>L307</f>
        <v>5C36DS86556-87</v>
      </c>
      <c r="BK307" s="127">
        <v>43508</v>
      </c>
      <c r="BL307" s="127">
        <v>44239</v>
      </c>
      <c r="BM307" s="128">
        <f>P307*1.1</f>
        <v>3169650.0000000005</v>
      </c>
      <c r="BN307" s="129">
        <f>P307*0.9</f>
        <v>2593350</v>
      </c>
      <c r="BO307" s="130">
        <f>P307*0.8</f>
        <v>2305200</v>
      </c>
      <c r="BP307" s="90">
        <f>IF(Z307="Y",BM307*0.4,BM307*1.05)</f>
        <v>3328132.5000000005</v>
      </c>
      <c r="BQ307" s="90">
        <f>BP307*0.8</f>
        <v>2662506.0000000005</v>
      </c>
      <c r="BR307" s="90" t="str">
        <f>IF(ISNUMBER(SEARCH("subrecipient",AI303)),P307*0.6,"")</f>
        <v/>
      </c>
      <c r="BS307" s="90">
        <v>199301</v>
      </c>
      <c r="BT307" s="90" t="str">
        <f>BJ307</f>
        <v>5C36DS86556-87</v>
      </c>
      <c r="BU307" s="127">
        <f>BK307</f>
        <v>43508</v>
      </c>
      <c r="BV307" s="127">
        <f>BL307</f>
        <v>44239</v>
      </c>
      <c r="BW307" s="90" t="str">
        <f>H307</f>
        <v>CDC</v>
      </c>
      <c r="BX307" s="90" t="str">
        <f>IF(H307="NATIONAL HEMOPHILIA FOUNDATION","Non Federal","Federal")</f>
        <v>Federal</v>
      </c>
      <c r="BY307" s="128">
        <f>BM307</f>
        <v>3169650.0000000005</v>
      </c>
      <c r="BZ307" s="90" t="str">
        <f>IF(LEN(BR307)&gt;0,1,"")</f>
        <v/>
      </c>
      <c r="CA307" s="90" t="str">
        <f>IF(LEN(BR307)&gt;0,"VIRAL HEPATITIS PROJECT","")</f>
        <v/>
      </c>
      <c r="CB307" s="129" t="str">
        <f>IF(LEN(BR307)&gt;0,BM307*0.7,"")</f>
        <v/>
      </c>
      <c r="CC307" s="90">
        <f>BP307</f>
        <v>3328132.5000000005</v>
      </c>
      <c r="CD307" s="90" t="str">
        <f>IF(LEN(BR307)&gt;0,"70%","")</f>
        <v/>
      </c>
      <c r="CE307" s="90">
        <f>BS307</f>
        <v>199301</v>
      </c>
      <c r="CF307" s="90" t="str">
        <f>CA307</f>
        <v/>
      </c>
      <c r="CG307" s="90"/>
      <c r="CH307" s="90"/>
      <c r="CI307" s="90"/>
      <c r="CJ307" s="90"/>
      <c r="CK307" s="90"/>
      <c r="CL307" s="90"/>
      <c r="CM307" s="90"/>
      <c r="CN307" s="90"/>
      <c r="CO307" s="90"/>
      <c r="CP307" s="90"/>
      <c r="CQ307" s="90"/>
      <c r="CR307" s="90"/>
      <c r="CS307" s="90"/>
      <c r="CT307" s="137"/>
    </row>
    <row r="308" spans="1:98" ht="30">
      <c r="A308" s="89">
        <v>199301</v>
      </c>
      <c r="B308" s="90">
        <v>2020</v>
      </c>
      <c r="C308" s="90" t="s">
        <v>81</v>
      </c>
      <c r="D308" s="90" t="s">
        <v>1005</v>
      </c>
      <c r="E308" s="125" t="s">
        <v>790</v>
      </c>
      <c r="F308" s="24" t="s">
        <v>1006</v>
      </c>
      <c r="G308" s="90" t="s">
        <v>85</v>
      </c>
      <c r="H308" s="90" t="s">
        <v>86</v>
      </c>
      <c r="I308" s="90">
        <v>93</v>
      </c>
      <c r="J308" s="90">
        <v>157</v>
      </c>
      <c r="K308" s="90" t="s">
        <v>85</v>
      </c>
      <c r="L308" s="90" t="s">
        <v>1007</v>
      </c>
      <c r="M308" s="90" t="s">
        <v>119</v>
      </c>
      <c r="N308" s="24" t="s">
        <v>1008</v>
      </c>
      <c r="O308" s="24" t="str">
        <f>IF(ISNUMBER(SEARCH("Cancer",N308)),"Cancer",IF(ISNUMBER(SEARCH("health",N308)),"Public health",IF(ISNUMBER(SEARCH("disabilities",N308)),"Disabilities","Other")))</f>
        <v>Other</v>
      </c>
      <c r="P308" s="126">
        <v>2881500</v>
      </c>
      <c r="Q308" s="90" t="s">
        <v>85</v>
      </c>
      <c r="R308" s="90" t="str">
        <f>IF(P308&gt;20000000,"B","A")</f>
        <v>A</v>
      </c>
      <c r="S308" s="90" t="s">
        <v>90</v>
      </c>
      <c r="T308" s="90" t="s">
        <v>119</v>
      </c>
      <c r="U308" s="90" t="s">
        <v>119</v>
      </c>
      <c r="V308" s="90" t="s">
        <v>119</v>
      </c>
      <c r="W308" s="90" t="s">
        <v>119</v>
      </c>
      <c r="X308" s="90" t="s">
        <v>119</v>
      </c>
      <c r="Y308" s="90" t="s">
        <v>119</v>
      </c>
      <c r="Z308" s="90" t="s">
        <v>119</v>
      </c>
      <c r="AA308" s="90" t="s">
        <v>119</v>
      </c>
      <c r="AB308" s="90" t="s">
        <v>119</v>
      </c>
      <c r="AC308" s="90" t="s">
        <v>119</v>
      </c>
      <c r="AD308" s="90" t="s">
        <v>119</v>
      </c>
      <c r="AE308" s="24">
        <v>0</v>
      </c>
      <c r="AF308" s="90">
        <v>0</v>
      </c>
      <c r="AG308" s="24">
        <v>0</v>
      </c>
      <c r="AH308" s="90">
        <v>84549</v>
      </c>
      <c r="AI308" s="24" t="s">
        <v>110</v>
      </c>
      <c r="AJ308" s="24" t="s">
        <v>1010</v>
      </c>
      <c r="AK308" s="90" t="s">
        <v>85</v>
      </c>
      <c r="AL308" s="90">
        <v>199301</v>
      </c>
      <c r="AM308" s="90" t="s">
        <v>81</v>
      </c>
      <c r="AN308" s="90" t="s">
        <v>1005</v>
      </c>
      <c r="AO308" s="125" t="s">
        <v>790</v>
      </c>
      <c r="AP308" s="24" t="s">
        <v>1008</v>
      </c>
      <c r="AQ308" s="90" t="s">
        <v>1007</v>
      </c>
      <c r="AR308" s="24" t="s">
        <v>1008</v>
      </c>
      <c r="AS308" s="90" t="s">
        <v>119</v>
      </c>
      <c r="AT308" s="24" t="s">
        <v>110</v>
      </c>
      <c r="AU308" s="90" t="s">
        <v>119</v>
      </c>
      <c r="AV308" s="90" t="str">
        <f>IF(ISNUMBER(SEARCH("disagree",AE308)),"N","Y")</f>
        <v>Y</v>
      </c>
      <c r="AW308" s="90" t="s">
        <v>119</v>
      </c>
      <c r="AX308" s="24" t="s">
        <v>119</v>
      </c>
      <c r="AY308" s="90" t="str">
        <f>CONCATENATE(AZ308,BA308,BB308,BC308)</f>
        <v/>
      </c>
      <c r="AZ308" s="90" t="str">
        <f>IF(ISNUMBER(SEARCH("Y",AC308)),"R","")</f>
        <v/>
      </c>
      <c r="BA308" s="90" t="str">
        <f>IF(ISNUMBER(SEARCH("Y",Y308)),"M","")</f>
        <v/>
      </c>
      <c r="BB308" s="90" t="str">
        <f>IF(ISNUMBER(SEARCH("Y",AB308)),"QC","")</f>
        <v/>
      </c>
      <c r="BC308" s="90" t="str">
        <f>IF(ISNUMBER(SEARCH("Y",Z308)),"S","")</f>
        <v/>
      </c>
      <c r="BD308" s="90"/>
      <c r="BE308" s="24" t="s">
        <v>119</v>
      </c>
      <c r="BF308" s="125" t="str">
        <f>IF(AND(AW308&gt;=56543,AW308&lt;=76543,LEN(AW308)&gt;0),"3 Feb 2020",IF(AND(AW308&gt;=66544,AW308&lt;=99999,LEN(AW308)&gt;0),"12 Sep 2020",""))</f>
        <v/>
      </c>
      <c r="BG308" s="125" t="str">
        <f>IF((AND(BF308="3 Feb 2020",LEN(BF308)&gt;0)),"Completed",IF((AND(BF308="12 Sep 2020",LEN(BF308)&gt;0)),"Pending",""))</f>
        <v/>
      </c>
      <c r="BH308" s="90" t="str">
        <f>IF((AND(BF308="3 Feb 2020",LEN(BF308)&gt;0)),"3 Feb 2020","")</f>
        <v/>
      </c>
      <c r="BI308" s="90">
        <v>199301</v>
      </c>
      <c r="BJ308" s="90" t="str">
        <f>L308</f>
        <v>5C36DS86556-87</v>
      </c>
      <c r="BK308" s="127">
        <v>43508</v>
      </c>
      <c r="BL308" s="127">
        <v>44239</v>
      </c>
      <c r="BM308" s="128">
        <f>P308*1.1</f>
        <v>3169650.0000000005</v>
      </c>
      <c r="BN308" s="129">
        <f>P308*0.9</f>
        <v>2593350</v>
      </c>
      <c r="BO308" s="130">
        <f>P308*0.8</f>
        <v>2305200</v>
      </c>
      <c r="BP308" s="90">
        <f>IF(Z308="Y",BM308*0.4,BM308*1.05)</f>
        <v>3328132.5000000005</v>
      </c>
      <c r="BQ308" s="90">
        <f>BP308*0.8</f>
        <v>2662506.0000000005</v>
      </c>
      <c r="BR308" s="90" t="str">
        <f>IF(ISNUMBER(SEARCH("subrecipient",AI304)),P308*0.6,"")</f>
        <v/>
      </c>
      <c r="BS308" s="90">
        <v>199301</v>
      </c>
      <c r="BT308" s="90" t="str">
        <f>BJ308</f>
        <v>5C36DS86556-87</v>
      </c>
      <c r="BU308" s="127">
        <f>BK308</f>
        <v>43508</v>
      </c>
      <c r="BV308" s="127">
        <f>BL308</f>
        <v>44239</v>
      </c>
      <c r="BW308" s="90" t="str">
        <f>H308</f>
        <v>CDC</v>
      </c>
      <c r="BX308" s="90" t="str">
        <f>IF(H308="NATIONAL HEMOPHILIA FOUNDATION","Non Federal","Federal")</f>
        <v>Federal</v>
      </c>
      <c r="BY308" s="128">
        <f>BM308</f>
        <v>3169650.0000000005</v>
      </c>
      <c r="BZ308" s="90" t="str">
        <f>IF(LEN(BR308)&gt;0,1,"")</f>
        <v/>
      </c>
      <c r="CA308" s="90" t="str">
        <f>IF(LEN(BR308)&gt;0,"VIRAL HEPATITIS PROJECT","")</f>
        <v/>
      </c>
      <c r="CB308" s="129" t="str">
        <f>IF(LEN(BR308)&gt;0,BM308*0.7,"")</f>
        <v/>
      </c>
      <c r="CC308" s="90">
        <f>BP308</f>
        <v>3328132.5000000005</v>
      </c>
      <c r="CD308" s="90" t="str">
        <f>IF(LEN(BR308)&gt;0,"70%","")</f>
        <v/>
      </c>
      <c r="CE308" s="90">
        <f>BS308</f>
        <v>199301</v>
      </c>
      <c r="CF308" s="90" t="str">
        <f>CA308</f>
        <v/>
      </c>
      <c r="CG308" s="90"/>
      <c r="CH308" s="90"/>
      <c r="CI308" s="90"/>
      <c r="CJ308" s="90"/>
      <c r="CK308" s="90"/>
      <c r="CL308" s="90"/>
      <c r="CM308" s="90"/>
      <c r="CN308" s="90"/>
      <c r="CO308" s="90"/>
      <c r="CP308" s="90"/>
      <c r="CQ308" s="90"/>
      <c r="CR308" s="90"/>
      <c r="CS308" s="90"/>
      <c r="CT308" s="137"/>
    </row>
    <row r="309" spans="1:98" ht="45">
      <c r="A309" s="89">
        <v>200162</v>
      </c>
      <c r="B309" s="90">
        <v>2020</v>
      </c>
      <c r="C309" s="90" t="s">
        <v>81</v>
      </c>
      <c r="D309" s="90" t="s">
        <v>1011</v>
      </c>
      <c r="E309" s="125" t="s">
        <v>791</v>
      </c>
      <c r="F309" s="24" t="s">
        <v>1012</v>
      </c>
      <c r="G309" s="90" t="s">
        <v>85</v>
      </c>
      <c r="H309" s="90" t="s">
        <v>117</v>
      </c>
      <c r="I309" s="90">
        <v>93</v>
      </c>
      <c r="J309" s="90">
        <v>157</v>
      </c>
      <c r="K309" s="90" t="s">
        <v>85</v>
      </c>
      <c r="L309" s="90" t="s">
        <v>1013</v>
      </c>
      <c r="M309" s="90" t="s">
        <v>119</v>
      </c>
      <c r="N309" s="24" t="s">
        <v>1014</v>
      </c>
      <c r="O309" s="24" t="str">
        <f>IF(ISNUMBER(SEARCH("Cancer",N309)),"Cancer",IF(ISNUMBER(SEARCH("health",N309)),"Public health",IF(ISNUMBER(SEARCH("disabilities",N309)),"Disabilities","Other")))</f>
        <v>Other</v>
      </c>
      <c r="P309" s="126">
        <v>2498683</v>
      </c>
      <c r="Q309" s="90" t="s">
        <v>85</v>
      </c>
      <c r="R309" s="90" t="str">
        <f>IF(P309&gt;20000000,"B","A")</f>
        <v>A</v>
      </c>
      <c r="S309" s="90" t="s">
        <v>90</v>
      </c>
      <c r="T309" s="90" t="s">
        <v>119</v>
      </c>
      <c r="U309" s="90" t="s">
        <v>119</v>
      </c>
      <c r="V309" s="90" t="s">
        <v>119</v>
      </c>
      <c r="W309" s="90" t="s">
        <v>119</v>
      </c>
      <c r="X309" s="90" t="s">
        <v>119</v>
      </c>
      <c r="Y309" s="90" t="s">
        <v>119</v>
      </c>
      <c r="Z309" s="90" t="s">
        <v>119</v>
      </c>
      <c r="AA309" s="90" t="s">
        <v>119</v>
      </c>
      <c r="AB309" s="90" t="s">
        <v>119</v>
      </c>
      <c r="AC309" s="90" t="s">
        <v>119</v>
      </c>
      <c r="AD309" s="90" t="s">
        <v>119</v>
      </c>
      <c r="AE309" s="24">
        <v>0</v>
      </c>
      <c r="AF309" s="90">
        <v>0</v>
      </c>
      <c r="AG309" s="24">
        <v>0</v>
      </c>
      <c r="AH309" s="90">
        <v>88137</v>
      </c>
      <c r="AI309" s="24" t="s">
        <v>94</v>
      </c>
      <c r="AJ309" s="24" t="s">
        <v>95</v>
      </c>
      <c r="AK309" s="90" t="s">
        <v>85</v>
      </c>
      <c r="AL309" s="90">
        <v>200162</v>
      </c>
      <c r="AM309" s="90" t="s">
        <v>81</v>
      </c>
      <c r="AN309" s="90" t="s">
        <v>1011</v>
      </c>
      <c r="AO309" s="125" t="s">
        <v>791</v>
      </c>
      <c r="AP309" s="24" t="s">
        <v>1014</v>
      </c>
      <c r="AQ309" s="90" t="s">
        <v>1013</v>
      </c>
      <c r="AR309" s="24" t="s">
        <v>1014</v>
      </c>
      <c r="AS309" s="90" t="s">
        <v>119</v>
      </c>
      <c r="AT309" s="24" t="s">
        <v>94</v>
      </c>
      <c r="AU309" s="90" t="s">
        <v>119</v>
      </c>
      <c r="AV309" s="90" t="str">
        <f>IF(ISNUMBER(SEARCH("disagree",AE309)),"N","Y")</f>
        <v>Y</v>
      </c>
      <c r="AW309" s="90" t="s">
        <v>119</v>
      </c>
      <c r="AX309" s="24" t="s">
        <v>119</v>
      </c>
      <c r="AY309" s="90" t="str">
        <f>CONCATENATE(AZ309,BA309,BB309,BC309)</f>
        <v/>
      </c>
      <c r="AZ309" s="90" t="str">
        <f>IF(ISNUMBER(SEARCH("Y",AC309)),"R","")</f>
        <v/>
      </c>
      <c r="BA309" s="90" t="str">
        <f>IF(ISNUMBER(SEARCH("Y",Y309)),"M","")</f>
        <v/>
      </c>
      <c r="BB309" s="90" t="str">
        <f>IF(ISNUMBER(SEARCH("Y",AB309)),"QC","")</f>
        <v/>
      </c>
      <c r="BC309" s="90" t="str">
        <f>IF(ISNUMBER(SEARCH("Y",Z309)),"S","")</f>
        <v/>
      </c>
      <c r="BD309" s="90"/>
      <c r="BE309" s="24" t="s">
        <v>119</v>
      </c>
      <c r="BF309" s="125" t="str">
        <f>IF(AND(AW309&gt;=56543,AW309&lt;=76543,LEN(AW309)&gt;0),"3 Feb 2020",IF(AND(AW309&gt;=66544,AW309&lt;=99999,LEN(AW309)&gt;0),"12 Sep 2020",""))</f>
        <v/>
      </c>
      <c r="BG309" s="125" t="str">
        <f>IF((AND(BF309="3 Feb 2020",LEN(BF309)&gt;0)),"Completed",IF((AND(BF309="12 Sep 2020",LEN(BF309)&gt;0)),"Pending",""))</f>
        <v/>
      </c>
      <c r="BH309" s="90" t="str">
        <f>IF((AND(BF309="3 Feb 2020",LEN(BF309)&gt;0)),"3 Feb 2020","")</f>
        <v/>
      </c>
      <c r="BI309" s="90">
        <v>200162</v>
      </c>
      <c r="BJ309" s="90" t="str">
        <f>L309</f>
        <v>2C72ES77009-58</v>
      </c>
      <c r="BK309" s="127">
        <v>43508</v>
      </c>
      <c r="BL309" s="127">
        <v>44239</v>
      </c>
      <c r="BM309" s="128">
        <f>P309*1.1</f>
        <v>2748551.3000000003</v>
      </c>
      <c r="BN309" s="129">
        <f>P309*0.9</f>
        <v>2248814.7000000002</v>
      </c>
      <c r="BO309" s="130">
        <f>P309*0.8</f>
        <v>1998946.4000000001</v>
      </c>
      <c r="BP309" s="90">
        <f>IF(Z309="Y",BM309*0.4,BM309*1.05)</f>
        <v>2885978.8650000002</v>
      </c>
      <c r="BQ309" s="90">
        <f>BP309*0.8</f>
        <v>2308783.0920000002</v>
      </c>
      <c r="BR309" s="90" t="str">
        <f>IF(ISNUMBER(SEARCH("subrecipient",AI305)),P309*0.6,"")</f>
        <v/>
      </c>
      <c r="BS309" s="90">
        <v>200162</v>
      </c>
      <c r="BT309" s="90" t="str">
        <f>BJ309</f>
        <v>2C72ES77009-58</v>
      </c>
      <c r="BU309" s="127">
        <f>BK309</f>
        <v>43508</v>
      </c>
      <c r="BV309" s="127">
        <f>BL309</f>
        <v>44239</v>
      </c>
      <c r="BW309" s="90" t="str">
        <f>H309</f>
        <v>NIH</v>
      </c>
      <c r="BX309" s="90" t="str">
        <f>IF(H309="NATIONAL HEMOPHILIA FOUNDATION","Non Federal","Federal")</f>
        <v>Federal</v>
      </c>
      <c r="BY309" s="128">
        <f>BM309</f>
        <v>2748551.3000000003</v>
      </c>
      <c r="BZ309" s="90" t="str">
        <f>IF(LEN(BR309)&gt;0,1,"")</f>
        <v/>
      </c>
      <c r="CA309" s="90" t="str">
        <f>IF(LEN(BR309)&gt;0,"VIRAL HEPATITIS PROJECT","")</f>
        <v/>
      </c>
      <c r="CB309" s="129" t="str">
        <f>IF(LEN(BR309)&gt;0,BM309*0.7,"")</f>
        <v/>
      </c>
      <c r="CC309" s="90">
        <f>BP309</f>
        <v>2885978.8650000002</v>
      </c>
      <c r="CD309" s="90" t="str">
        <f>IF(LEN(BR309)&gt;0,"70%","")</f>
        <v/>
      </c>
      <c r="CE309" s="90">
        <f>BS309</f>
        <v>200162</v>
      </c>
      <c r="CF309" s="90" t="str">
        <f>CA309</f>
        <v/>
      </c>
      <c r="CG309" s="90"/>
      <c r="CH309" s="90"/>
      <c r="CI309" s="90"/>
      <c r="CJ309" s="90"/>
      <c r="CK309" s="90"/>
      <c r="CL309" s="90"/>
      <c r="CM309" s="90"/>
      <c r="CN309" s="90"/>
      <c r="CO309" s="90"/>
      <c r="CP309" s="90"/>
      <c r="CQ309" s="90"/>
      <c r="CR309" s="90"/>
      <c r="CS309" s="90"/>
      <c r="CT309" s="137"/>
    </row>
    <row r="310" spans="1:98" ht="30">
      <c r="A310" s="89">
        <v>200162</v>
      </c>
      <c r="B310" s="90">
        <v>2020</v>
      </c>
      <c r="C310" s="90" t="s">
        <v>81</v>
      </c>
      <c r="D310" s="90" t="s">
        <v>1011</v>
      </c>
      <c r="E310" s="125" t="s">
        <v>793</v>
      </c>
      <c r="F310" s="24" t="s">
        <v>1012</v>
      </c>
      <c r="G310" s="90" t="s">
        <v>85</v>
      </c>
      <c r="H310" s="90" t="s">
        <v>117</v>
      </c>
      <c r="I310" s="90">
        <v>93</v>
      </c>
      <c r="J310" s="90">
        <v>157</v>
      </c>
      <c r="K310" s="90" t="s">
        <v>85</v>
      </c>
      <c r="L310" s="90" t="s">
        <v>1013</v>
      </c>
      <c r="M310" s="90" t="s">
        <v>119</v>
      </c>
      <c r="N310" s="24" t="s">
        <v>1014</v>
      </c>
      <c r="O310" s="24" t="str">
        <f>IF(ISNUMBER(SEARCH("Cancer",N310)),"Cancer",IF(ISNUMBER(SEARCH("health",N310)),"Public health",IF(ISNUMBER(SEARCH("disabilities",N310)),"Disabilities","Other")))</f>
        <v>Other</v>
      </c>
      <c r="P310" s="126">
        <v>2498683</v>
      </c>
      <c r="Q310" s="90" t="s">
        <v>85</v>
      </c>
      <c r="R310" s="90" t="str">
        <f>IF(P310&gt;20000000,"B","A")</f>
        <v>A</v>
      </c>
      <c r="S310" s="90" t="s">
        <v>90</v>
      </c>
      <c r="T310" s="90" t="s">
        <v>119</v>
      </c>
      <c r="U310" s="90" t="s">
        <v>119</v>
      </c>
      <c r="V310" s="90" t="s">
        <v>119</v>
      </c>
      <c r="W310" s="90" t="s">
        <v>119</v>
      </c>
      <c r="X310" s="90" t="s">
        <v>119</v>
      </c>
      <c r="Y310" s="90" t="s">
        <v>119</v>
      </c>
      <c r="Z310" s="90" t="s">
        <v>119</v>
      </c>
      <c r="AA310" s="90" t="s">
        <v>119</v>
      </c>
      <c r="AB310" s="90" t="s">
        <v>119</v>
      </c>
      <c r="AC310" s="90" t="s">
        <v>119</v>
      </c>
      <c r="AD310" s="90" t="s">
        <v>119</v>
      </c>
      <c r="AE310" s="24">
        <v>0</v>
      </c>
      <c r="AF310" s="90">
        <v>0</v>
      </c>
      <c r="AG310" s="24">
        <v>0</v>
      </c>
      <c r="AH310" s="90">
        <v>88136</v>
      </c>
      <c r="AI310" s="24" t="s">
        <v>102</v>
      </c>
      <c r="AJ310" s="24" t="s">
        <v>103</v>
      </c>
      <c r="AK310" s="90" t="s">
        <v>85</v>
      </c>
      <c r="AL310" s="90">
        <v>200162</v>
      </c>
      <c r="AM310" s="90" t="s">
        <v>81</v>
      </c>
      <c r="AN310" s="90" t="s">
        <v>1011</v>
      </c>
      <c r="AO310" s="125" t="s">
        <v>793</v>
      </c>
      <c r="AP310" s="24" t="s">
        <v>1014</v>
      </c>
      <c r="AQ310" s="90" t="s">
        <v>1013</v>
      </c>
      <c r="AR310" s="24" t="s">
        <v>1014</v>
      </c>
      <c r="AS310" s="90" t="s">
        <v>119</v>
      </c>
      <c r="AT310" s="24" t="s">
        <v>102</v>
      </c>
      <c r="AU310" s="90" t="s">
        <v>119</v>
      </c>
      <c r="AV310" s="90" t="str">
        <f>IF(ISNUMBER(SEARCH("disagree",AE310)),"N","Y")</f>
        <v>Y</v>
      </c>
      <c r="AW310" s="90" t="s">
        <v>119</v>
      </c>
      <c r="AX310" s="24" t="s">
        <v>119</v>
      </c>
      <c r="AY310" s="90" t="str">
        <f>CONCATENATE(AZ310,BA310,BB310,BC310)</f>
        <v/>
      </c>
      <c r="AZ310" s="90" t="str">
        <f>IF(ISNUMBER(SEARCH("Y",AC310)),"R","")</f>
        <v/>
      </c>
      <c r="BA310" s="90" t="str">
        <f>IF(ISNUMBER(SEARCH("Y",Y310)),"M","")</f>
        <v/>
      </c>
      <c r="BB310" s="90" t="str">
        <f>IF(ISNUMBER(SEARCH("Y",AB310)),"QC","")</f>
        <v/>
      </c>
      <c r="BC310" s="90" t="str">
        <f>IF(ISNUMBER(SEARCH("Y",Z310)),"S","")</f>
        <v/>
      </c>
      <c r="BD310" s="90"/>
      <c r="BE310" s="24" t="s">
        <v>119</v>
      </c>
      <c r="BF310" s="125" t="str">
        <f>IF(AND(AW310&gt;=56543,AW310&lt;=76543,LEN(AW310)&gt;0),"3 Feb 2020",IF(AND(AW310&gt;=66544,AW310&lt;=99999,LEN(AW310)&gt;0),"12 Sep 2020",""))</f>
        <v/>
      </c>
      <c r="BG310" s="125" t="str">
        <f>IF((AND(BF310="3 Feb 2020",LEN(BF310)&gt;0)),"Completed",IF((AND(BF310="12 Sep 2020",LEN(BF310)&gt;0)),"Pending",""))</f>
        <v/>
      </c>
      <c r="BH310" s="90" t="str">
        <f>IF((AND(BF310="3 Feb 2020",LEN(BF310)&gt;0)),"3 Feb 2020","")</f>
        <v/>
      </c>
      <c r="BI310" s="90">
        <v>200162</v>
      </c>
      <c r="BJ310" s="90" t="str">
        <f>L310</f>
        <v>2C72ES77009-58</v>
      </c>
      <c r="BK310" s="127">
        <v>43508</v>
      </c>
      <c r="BL310" s="127">
        <v>44239</v>
      </c>
      <c r="BM310" s="128">
        <f>P310*1.1</f>
        <v>2748551.3000000003</v>
      </c>
      <c r="BN310" s="129">
        <f>P310*0.9</f>
        <v>2248814.7000000002</v>
      </c>
      <c r="BO310" s="130">
        <f>P310*0.8</f>
        <v>1998946.4000000001</v>
      </c>
      <c r="BP310" s="90">
        <f>IF(Z310="Y",BM310*0.4,BM310*1.05)</f>
        <v>2885978.8650000002</v>
      </c>
      <c r="BQ310" s="90">
        <f>BP310*0.8</f>
        <v>2308783.0920000002</v>
      </c>
      <c r="BR310" s="90" t="str">
        <f>IF(ISNUMBER(SEARCH("subrecipient",AI306)),P310*0.6,"")</f>
        <v/>
      </c>
      <c r="BS310" s="90">
        <v>200162</v>
      </c>
      <c r="BT310" s="90" t="str">
        <f>BJ310</f>
        <v>2C72ES77009-58</v>
      </c>
      <c r="BU310" s="127">
        <f>BK310</f>
        <v>43508</v>
      </c>
      <c r="BV310" s="127">
        <f>BL310</f>
        <v>44239</v>
      </c>
      <c r="BW310" s="90" t="str">
        <f>H310</f>
        <v>NIH</v>
      </c>
      <c r="BX310" s="90" t="str">
        <f>IF(H310="NATIONAL HEMOPHILIA FOUNDATION","Non Federal","Federal")</f>
        <v>Federal</v>
      </c>
      <c r="BY310" s="128">
        <f>BM310</f>
        <v>2748551.3000000003</v>
      </c>
      <c r="BZ310" s="90" t="str">
        <f>IF(LEN(BR310)&gt;0,1,"")</f>
        <v/>
      </c>
      <c r="CA310" s="90" t="str">
        <f>IF(LEN(BR310)&gt;0,"VIRAL HEPATITIS PROJECT","")</f>
        <v/>
      </c>
      <c r="CB310" s="129" t="str">
        <f>IF(LEN(BR310)&gt;0,BM310*0.7,"")</f>
        <v/>
      </c>
      <c r="CC310" s="90">
        <f>BP310</f>
        <v>2885978.8650000002</v>
      </c>
      <c r="CD310" s="90" t="str">
        <f>IF(LEN(BR310)&gt;0,"70%","")</f>
        <v/>
      </c>
      <c r="CE310" s="90">
        <f>BS310</f>
        <v>200162</v>
      </c>
      <c r="CF310" s="90" t="str">
        <f>CA310</f>
        <v/>
      </c>
      <c r="CG310" s="90"/>
      <c r="CH310" s="90"/>
      <c r="CI310" s="90"/>
      <c r="CJ310" s="90"/>
      <c r="CK310" s="90"/>
      <c r="CL310" s="90"/>
      <c r="CM310" s="90"/>
      <c r="CN310" s="90"/>
      <c r="CO310" s="90"/>
      <c r="CP310" s="90"/>
      <c r="CQ310" s="90"/>
      <c r="CR310" s="90"/>
      <c r="CS310" s="90"/>
      <c r="CT310" s="137"/>
    </row>
    <row r="311" spans="1:98" ht="30">
      <c r="A311" s="89">
        <v>200162</v>
      </c>
      <c r="B311" s="90">
        <v>2020</v>
      </c>
      <c r="C311" s="90" t="s">
        <v>81</v>
      </c>
      <c r="D311" s="90" t="s">
        <v>1011</v>
      </c>
      <c r="E311" s="125" t="s">
        <v>780</v>
      </c>
      <c r="F311" s="24" t="s">
        <v>1012</v>
      </c>
      <c r="G311" s="90" t="s">
        <v>85</v>
      </c>
      <c r="H311" s="90" t="s">
        <v>117</v>
      </c>
      <c r="I311" s="90">
        <v>93</v>
      </c>
      <c r="J311" s="90">
        <v>157</v>
      </c>
      <c r="K311" s="90" t="s">
        <v>85</v>
      </c>
      <c r="L311" s="90" t="s">
        <v>1013</v>
      </c>
      <c r="M311" s="90" t="s">
        <v>119</v>
      </c>
      <c r="N311" s="24" t="s">
        <v>1014</v>
      </c>
      <c r="O311" s="24" t="str">
        <f>IF(ISNUMBER(SEARCH("Cancer",N311)),"Cancer",IF(ISNUMBER(SEARCH("health",N311)),"Public health",IF(ISNUMBER(SEARCH("disabilities",N311)),"Disabilities","Other")))</f>
        <v>Other</v>
      </c>
      <c r="P311" s="126">
        <v>2498683</v>
      </c>
      <c r="Q311" s="90" t="s">
        <v>85</v>
      </c>
      <c r="R311" s="90" t="str">
        <f>IF(P311&gt;20000000,"B","A")</f>
        <v>A</v>
      </c>
      <c r="S311" s="90" t="s">
        <v>90</v>
      </c>
      <c r="T311" s="90" t="s">
        <v>119</v>
      </c>
      <c r="U311" s="90" t="s">
        <v>119</v>
      </c>
      <c r="V311" s="90" t="s">
        <v>119</v>
      </c>
      <c r="W311" s="90" t="s">
        <v>119</v>
      </c>
      <c r="X311" s="90" t="s">
        <v>119</v>
      </c>
      <c r="Y311" s="90" t="s">
        <v>119</v>
      </c>
      <c r="Z311" s="90" t="s">
        <v>119</v>
      </c>
      <c r="AA311" s="90" t="s">
        <v>119</v>
      </c>
      <c r="AB311" s="90" t="s">
        <v>119</v>
      </c>
      <c r="AC311" s="90" t="s">
        <v>119</v>
      </c>
      <c r="AD311" s="90" t="s">
        <v>119</v>
      </c>
      <c r="AE311" s="24">
        <v>0</v>
      </c>
      <c r="AF311" s="90">
        <v>0</v>
      </c>
      <c r="AG311" s="24">
        <v>0</v>
      </c>
      <c r="AH311" s="90">
        <v>88135</v>
      </c>
      <c r="AI311" s="24" t="s">
        <v>110</v>
      </c>
      <c r="AJ311" s="24" t="s">
        <v>1015</v>
      </c>
      <c r="AK311" s="90" t="s">
        <v>85</v>
      </c>
      <c r="AL311" s="90">
        <v>200162</v>
      </c>
      <c r="AM311" s="90" t="s">
        <v>81</v>
      </c>
      <c r="AN311" s="90" t="s">
        <v>1011</v>
      </c>
      <c r="AO311" s="125" t="s">
        <v>780</v>
      </c>
      <c r="AP311" s="24" t="s">
        <v>1014</v>
      </c>
      <c r="AQ311" s="90" t="s">
        <v>1013</v>
      </c>
      <c r="AR311" s="24" t="s">
        <v>1014</v>
      </c>
      <c r="AS311" s="90" t="s">
        <v>119</v>
      </c>
      <c r="AT311" s="24" t="s">
        <v>110</v>
      </c>
      <c r="AU311" s="90" t="s">
        <v>119</v>
      </c>
      <c r="AV311" s="90" t="str">
        <f>IF(ISNUMBER(SEARCH("disagree",AE311)),"N","Y")</f>
        <v>Y</v>
      </c>
      <c r="AW311" s="90" t="s">
        <v>119</v>
      </c>
      <c r="AX311" s="24" t="s">
        <v>119</v>
      </c>
      <c r="AY311" s="90" t="str">
        <f>CONCATENATE(AZ311,BA311,BB311,BC311)</f>
        <v/>
      </c>
      <c r="AZ311" s="90" t="str">
        <f>IF(ISNUMBER(SEARCH("Y",AC311)),"R","")</f>
        <v/>
      </c>
      <c r="BA311" s="90" t="str">
        <f>IF(ISNUMBER(SEARCH("Y",Y311)),"M","")</f>
        <v/>
      </c>
      <c r="BB311" s="90" t="str">
        <f>IF(ISNUMBER(SEARCH("Y",AB311)),"QC","")</f>
        <v/>
      </c>
      <c r="BC311" s="90" t="str">
        <f>IF(ISNUMBER(SEARCH("Y",Z311)),"S","")</f>
        <v/>
      </c>
      <c r="BD311" s="90"/>
      <c r="BE311" s="24" t="s">
        <v>119</v>
      </c>
      <c r="BF311" s="125" t="str">
        <f>IF(AND(AW311&gt;=56543,AW311&lt;=76543,LEN(AW311)&gt;0),"3 Feb 2020",IF(AND(AW311&gt;=66544,AW311&lt;=99999,LEN(AW311)&gt;0),"12 Sep 2020",""))</f>
        <v/>
      </c>
      <c r="BG311" s="125" t="str">
        <f>IF((AND(BF311="3 Feb 2020",LEN(BF311)&gt;0)),"Completed",IF((AND(BF311="12 Sep 2020",LEN(BF311)&gt;0)),"Pending",""))</f>
        <v/>
      </c>
      <c r="BH311" s="90" t="str">
        <f>IF((AND(BF311="3 Feb 2020",LEN(BF311)&gt;0)),"3 Feb 2020","")</f>
        <v/>
      </c>
      <c r="BI311" s="90">
        <v>200162</v>
      </c>
      <c r="BJ311" s="90" t="str">
        <f>L311</f>
        <v>2C72ES77009-58</v>
      </c>
      <c r="BK311" s="127">
        <v>43508</v>
      </c>
      <c r="BL311" s="127">
        <v>44239</v>
      </c>
      <c r="BM311" s="128">
        <f>P311*1.1</f>
        <v>2748551.3000000003</v>
      </c>
      <c r="BN311" s="129">
        <f>P311*0.9</f>
        <v>2248814.7000000002</v>
      </c>
      <c r="BO311" s="130">
        <f>P311*0.8</f>
        <v>1998946.4000000001</v>
      </c>
      <c r="BP311" s="90">
        <f>IF(Z311="Y",BM311*0.4,BM311*1.05)</f>
        <v>2885978.8650000002</v>
      </c>
      <c r="BQ311" s="90">
        <f>BP311*0.8</f>
        <v>2308783.0920000002</v>
      </c>
      <c r="BR311" s="90" t="str">
        <f>IF(ISNUMBER(SEARCH("subrecipient",AI307)),P311*0.6,"")</f>
        <v/>
      </c>
      <c r="BS311" s="90">
        <v>200162</v>
      </c>
      <c r="BT311" s="90" t="str">
        <f>BJ311</f>
        <v>2C72ES77009-58</v>
      </c>
      <c r="BU311" s="127">
        <f>BK311</f>
        <v>43508</v>
      </c>
      <c r="BV311" s="127">
        <f>BL311</f>
        <v>44239</v>
      </c>
      <c r="BW311" s="90" t="str">
        <f>H311</f>
        <v>NIH</v>
      </c>
      <c r="BX311" s="90" t="str">
        <f>IF(H311="NATIONAL HEMOPHILIA FOUNDATION","Non Federal","Federal")</f>
        <v>Federal</v>
      </c>
      <c r="BY311" s="128">
        <f>BM311</f>
        <v>2748551.3000000003</v>
      </c>
      <c r="BZ311" s="90" t="str">
        <f>IF(LEN(BR311)&gt;0,1,"")</f>
        <v/>
      </c>
      <c r="CA311" s="90" t="str">
        <f>IF(LEN(BR311)&gt;0,"VIRAL HEPATITIS PROJECT","")</f>
        <v/>
      </c>
      <c r="CB311" s="129" t="str">
        <f>IF(LEN(BR311)&gt;0,BM311*0.7,"")</f>
        <v/>
      </c>
      <c r="CC311" s="90">
        <f>BP311</f>
        <v>2885978.8650000002</v>
      </c>
      <c r="CD311" s="90" t="str">
        <f>IF(LEN(BR311)&gt;0,"70%","")</f>
        <v/>
      </c>
      <c r="CE311" s="90">
        <f>BS311</f>
        <v>200162</v>
      </c>
      <c r="CF311" s="90" t="str">
        <f>CA311</f>
        <v/>
      </c>
      <c r="CG311" s="90"/>
      <c r="CH311" s="90"/>
      <c r="CI311" s="90"/>
      <c r="CJ311" s="90"/>
      <c r="CK311" s="90"/>
      <c r="CL311" s="90"/>
      <c r="CM311" s="90"/>
      <c r="CN311" s="90"/>
      <c r="CO311" s="90"/>
      <c r="CP311" s="90"/>
      <c r="CQ311" s="90"/>
      <c r="CR311" s="90"/>
      <c r="CS311" s="90"/>
      <c r="CT311" s="137"/>
    </row>
    <row r="312" spans="1:98" ht="180">
      <c r="A312" s="89">
        <v>200586</v>
      </c>
      <c r="B312" s="90">
        <v>2020</v>
      </c>
      <c r="C312" s="90" t="s">
        <v>81</v>
      </c>
      <c r="D312" s="90" t="s">
        <v>1016</v>
      </c>
      <c r="E312" s="125" t="s">
        <v>781</v>
      </c>
      <c r="F312" s="24" t="s">
        <v>1017</v>
      </c>
      <c r="G312" s="90" t="s">
        <v>85</v>
      </c>
      <c r="H312" s="90" t="s">
        <v>132</v>
      </c>
      <c r="I312" s="90">
        <v>93</v>
      </c>
      <c r="J312" s="90">
        <v>157</v>
      </c>
      <c r="K312" s="90" t="s">
        <v>85</v>
      </c>
      <c r="L312" s="90" t="s">
        <v>1018</v>
      </c>
      <c r="M312" s="90" t="s">
        <v>119</v>
      </c>
      <c r="N312" s="24" t="s">
        <v>1019</v>
      </c>
      <c r="O312" s="24" t="str">
        <f>IF(ISNUMBER(SEARCH("Cancer",N312)),"Cancer",IF(ISNUMBER(SEARCH("health",N312)),"Public health",IF(ISNUMBER(SEARCH("disabilities",N312)),"Disabilities","Other")))</f>
        <v>Other</v>
      </c>
      <c r="P312" s="126">
        <v>2251163</v>
      </c>
      <c r="Q312" s="90" t="s">
        <v>85</v>
      </c>
      <c r="R312" s="90" t="str">
        <f>IF(P312&gt;20000000,"B","A")</f>
        <v>A</v>
      </c>
      <c r="S312" s="90" t="s">
        <v>90</v>
      </c>
      <c r="T312" s="90" t="s">
        <v>119</v>
      </c>
      <c r="U312" s="90" t="s">
        <v>119</v>
      </c>
      <c r="V312" s="90" t="s">
        <v>119</v>
      </c>
      <c r="W312" s="90" t="s">
        <v>119</v>
      </c>
      <c r="X312" s="90" t="s">
        <v>119</v>
      </c>
      <c r="Y312" s="90" t="s">
        <v>119</v>
      </c>
      <c r="Z312" s="90" t="s">
        <v>119</v>
      </c>
      <c r="AA312" s="90" t="s">
        <v>119</v>
      </c>
      <c r="AB312" s="90" t="s">
        <v>119</v>
      </c>
      <c r="AC312" s="90" t="s">
        <v>119</v>
      </c>
      <c r="AD312" s="90" t="s">
        <v>119</v>
      </c>
      <c r="AE312" s="24">
        <v>0</v>
      </c>
      <c r="AF312" s="90">
        <v>0</v>
      </c>
      <c r="AG312" s="24">
        <v>0</v>
      </c>
      <c r="AH312" s="90">
        <v>84703</v>
      </c>
      <c r="AI312" s="24" t="s">
        <v>94</v>
      </c>
      <c r="AJ312" s="24" t="s">
        <v>1020</v>
      </c>
      <c r="AK312" s="90" t="s">
        <v>85</v>
      </c>
      <c r="AL312" s="90">
        <v>200586</v>
      </c>
      <c r="AM312" s="90" t="s">
        <v>81</v>
      </c>
      <c r="AN312" s="90" t="s">
        <v>1016</v>
      </c>
      <c r="AO312" s="125" t="s">
        <v>781</v>
      </c>
      <c r="AP312" s="24" t="s">
        <v>1019</v>
      </c>
      <c r="AQ312" s="90" t="s">
        <v>1018</v>
      </c>
      <c r="AR312" s="24" t="s">
        <v>1019</v>
      </c>
      <c r="AS312" s="90" t="s">
        <v>119</v>
      </c>
      <c r="AT312" s="24" t="s">
        <v>94</v>
      </c>
      <c r="AU312" s="90" t="s">
        <v>119</v>
      </c>
      <c r="AV312" s="90" t="str">
        <f>IF(ISNUMBER(SEARCH("disagree",AE312)),"N","Y")</f>
        <v>Y</v>
      </c>
      <c r="AW312" s="90" t="s">
        <v>119</v>
      </c>
      <c r="AX312" s="24" t="s">
        <v>119</v>
      </c>
      <c r="AY312" s="90" t="str">
        <f>CONCATENATE(AZ312,BA312,BB312,BC312)</f>
        <v/>
      </c>
      <c r="AZ312" s="90" t="str">
        <f>IF(ISNUMBER(SEARCH("Y",AC312)),"R","")</f>
        <v/>
      </c>
      <c r="BA312" s="90" t="str">
        <f>IF(ISNUMBER(SEARCH("Y",Y312)),"M","")</f>
        <v/>
      </c>
      <c r="BB312" s="90" t="str">
        <f>IF(ISNUMBER(SEARCH("Y",AB312)),"QC","")</f>
        <v/>
      </c>
      <c r="BC312" s="90" t="str">
        <f>IF(ISNUMBER(SEARCH("Y",Z312)),"S","")</f>
        <v/>
      </c>
      <c r="BD312" s="90"/>
      <c r="BE312" s="24" t="s">
        <v>119</v>
      </c>
      <c r="BF312" s="125" t="str">
        <f>IF(AND(AW312&gt;=56543,AW312&lt;=76543,LEN(AW312)&gt;0),"3 Feb 2020",IF(AND(AW312&gt;=66544,AW312&lt;=99999,LEN(AW312)&gt;0),"12 Sep 2020",""))</f>
        <v/>
      </c>
      <c r="BG312" s="125" t="str">
        <f>IF((AND(BF312="3 Feb 2020",LEN(BF312)&gt;0)),"Completed",IF((AND(BF312="12 Sep 2020",LEN(BF312)&gt;0)),"Pending",""))</f>
        <v/>
      </c>
      <c r="BH312" s="90" t="str">
        <f>IF((AND(BF312="3 Feb 2020",LEN(BF312)&gt;0)),"3 Feb 2020","")</f>
        <v/>
      </c>
      <c r="BI312" s="90">
        <v>200586</v>
      </c>
      <c r="BJ312" s="90" t="str">
        <f>L312</f>
        <v>8B62BR85797-70</v>
      </c>
      <c r="BK312" s="127">
        <v>43508</v>
      </c>
      <c r="BL312" s="127">
        <v>44239</v>
      </c>
      <c r="BM312" s="128">
        <f>P312*1.1</f>
        <v>2476279.3000000003</v>
      </c>
      <c r="BN312" s="129">
        <f>P312*0.9</f>
        <v>2026046.7</v>
      </c>
      <c r="BO312" s="130">
        <f>P312*0.8</f>
        <v>1800930.4000000001</v>
      </c>
      <c r="BP312" s="90">
        <f>IF(Z312="Y",BM312*0.4,BM312*1.05)</f>
        <v>2600093.2650000006</v>
      </c>
      <c r="BQ312" s="90">
        <f>BP312*0.8</f>
        <v>2080074.6120000007</v>
      </c>
      <c r="BR312" s="90" t="str">
        <f>IF(ISNUMBER(SEARCH("subrecipient",AI308)),P312*0.6,"")</f>
        <v/>
      </c>
      <c r="BS312" s="90">
        <v>200586</v>
      </c>
      <c r="BT312" s="90" t="str">
        <f>BJ312</f>
        <v>8B62BR85797-70</v>
      </c>
      <c r="BU312" s="127">
        <f>BK312</f>
        <v>43508</v>
      </c>
      <c r="BV312" s="127">
        <f>BL312</f>
        <v>44239</v>
      </c>
      <c r="BW312" s="90" t="str">
        <f>H312</f>
        <v>FDA</v>
      </c>
      <c r="BX312" s="90" t="str">
        <f>IF(H312="NATIONAL HEMOPHILIA FOUNDATION","Non Federal","Federal")</f>
        <v>Federal</v>
      </c>
      <c r="BY312" s="128">
        <f>BM312</f>
        <v>2476279.3000000003</v>
      </c>
      <c r="BZ312" s="90" t="str">
        <f>IF(LEN(BR312)&gt;0,1,"")</f>
        <v/>
      </c>
      <c r="CA312" s="90" t="str">
        <f>IF(LEN(BR312)&gt;0,"VIRAL HEPATITIS PROJECT","")</f>
        <v/>
      </c>
      <c r="CB312" s="129" t="str">
        <f>IF(LEN(BR312)&gt;0,BM312*0.7,"")</f>
        <v/>
      </c>
      <c r="CC312" s="90">
        <f>BP312</f>
        <v>2600093.2650000006</v>
      </c>
      <c r="CD312" s="90" t="str">
        <f>IF(LEN(BR312)&gt;0,"70%","")</f>
        <v/>
      </c>
      <c r="CE312" s="90">
        <f>BS312</f>
        <v>200586</v>
      </c>
      <c r="CF312" s="90" t="str">
        <f>CA312</f>
        <v/>
      </c>
      <c r="CG312" s="90"/>
      <c r="CH312" s="90"/>
      <c r="CI312" s="90"/>
      <c r="CJ312" s="90"/>
      <c r="CK312" s="90"/>
      <c r="CL312" s="90"/>
      <c r="CM312" s="90"/>
      <c r="CN312" s="90"/>
      <c r="CO312" s="90"/>
      <c r="CP312" s="90"/>
      <c r="CQ312" s="90"/>
      <c r="CR312" s="90"/>
      <c r="CS312" s="90"/>
      <c r="CT312" s="137"/>
    </row>
    <row r="313" spans="1:98" ht="180">
      <c r="A313" s="89">
        <v>200586</v>
      </c>
      <c r="B313" s="90">
        <v>2020</v>
      </c>
      <c r="C313" s="90" t="s">
        <v>81</v>
      </c>
      <c r="D313" s="90" t="s">
        <v>1016</v>
      </c>
      <c r="E313" s="125" t="s">
        <v>784</v>
      </c>
      <c r="F313" s="24" t="s">
        <v>1017</v>
      </c>
      <c r="G313" s="90" t="s">
        <v>85</v>
      </c>
      <c r="H313" s="90" t="s">
        <v>132</v>
      </c>
      <c r="I313" s="90">
        <v>93</v>
      </c>
      <c r="J313" s="90">
        <v>157</v>
      </c>
      <c r="K313" s="90" t="s">
        <v>85</v>
      </c>
      <c r="L313" s="90" t="s">
        <v>1018</v>
      </c>
      <c r="M313" s="90" t="s">
        <v>119</v>
      </c>
      <c r="N313" s="24" t="s">
        <v>1019</v>
      </c>
      <c r="O313" s="24" t="str">
        <f>IF(ISNUMBER(SEARCH("Cancer",N313)),"Cancer",IF(ISNUMBER(SEARCH("health",N313)),"Public health",IF(ISNUMBER(SEARCH("disabilities",N313)),"Disabilities","Other")))</f>
        <v>Other</v>
      </c>
      <c r="P313" s="126">
        <v>2251163</v>
      </c>
      <c r="Q313" s="90" t="s">
        <v>85</v>
      </c>
      <c r="R313" s="90" t="str">
        <f>IF(P313&gt;20000000,"B","A")</f>
        <v>A</v>
      </c>
      <c r="S313" s="90" t="s">
        <v>90</v>
      </c>
      <c r="T313" s="90" t="s">
        <v>119</v>
      </c>
      <c r="U313" s="90" t="s">
        <v>119</v>
      </c>
      <c r="V313" s="90" t="s">
        <v>119</v>
      </c>
      <c r="W313" s="90" t="s">
        <v>119</v>
      </c>
      <c r="X313" s="90" t="s">
        <v>119</v>
      </c>
      <c r="Y313" s="90" t="s">
        <v>119</v>
      </c>
      <c r="Z313" s="90" t="s">
        <v>119</v>
      </c>
      <c r="AA313" s="90" t="s">
        <v>119</v>
      </c>
      <c r="AB313" s="90" t="s">
        <v>119</v>
      </c>
      <c r="AC313" s="90" t="s">
        <v>119</v>
      </c>
      <c r="AD313" s="90" t="s">
        <v>119</v>
      </c>
      <c r="AE313" s="24">
        <v>0</v>
      </c>
      <c r="AF313" s="90">
        <v>0</v>
      </c>
      <c r="AG313" s="24">
        <v>0</v>
      </c>
      <c r="AH313" s="90">
        <v>84702</v>
      </c>
      <c r="AI313" s="24" t="s">
        <v>102</v>
      </c>
      <c r="AJ313" s="24" t="s">
        <v>103</v>
      </c>
      <c r="AK313" s="90" t="s">
        <v>85</v>
      </c>
      <c r="AL313" s="90">
        <v>200586</v>
      </c>
      <c r="AM313" s="90" t="s">
        <v>81</v>
      </c>
      <c r="AN313" s="90" t="s">
        <v>1016</v>
      </c>
      <c r="AO313" s="125" t="s">
        <v>784</v>
      </c>
      <c r="AP313" s="24" t="s">
        <v>1019</v>
      </c>
      <c r="AQ313" s="90" t="s">
        <v>1018</v>
      </c>
      <c r="AR313" s="24" t="s">
        <v>1019</v>
      </c>
      <c r="AS313" s="90" t="s">
        <v>119</v>
      </c>
      <c r="AT313" s="24" t="s">
        <v>102</v>
      </c>
      <c r="AU313" s="90" t="s">
        <v>119</v>
      </c>
      <c r="AV313" s="90" t="str">
        <f>IF(ISNUMBER(SEARCH("disagree",AE313)),"N","Y")</f>
        <v>Y</v>
      </c>
      <c r="AW313" s="90" t="s">
        <v>119</v>
      </c>
      <c r="AX313" s="24" t="s">
        <v>119</v>
      </c>
      <c r="AY313" s="90" t="str">
        <f>CONCATENATE(AZ313,BA313,BB313,BC313)</f>
        <v/>
      </c>
      <c r="AZ313" s="90" t="str">
        <f>IF(ISNUMBER(SEARCH("Y",AC313)),"R","")</f>
        <v/>
      </c>
      <c r="BA313" s="90" t="str">
        <f>IF(ISNUMBER(SEARCH("Y",Y313)),"M","")</f>
        <v/>
      </c>
      <c r="BB313" s="90" t="str">
        <f>IF(ISNUMBER(SEARCH("Y",AB313)),"QC","")</f>
        <v/>
      </c>
      <c r="BC313" s="90" t="str">
        <f>IF(ISNUMBER(SEARCH("Y",Z313)),"S","")</f>
        <v/>
      </c>
      <c r="BD313" s="90"/>
      <c r="BE313" s="24" t="s">
        <v>119</v>
      </c>
      <c r="BF313" s="125" t="str">
        <f>IF(AND(AW313&gt;=56543,AW313&lt;=76543,LEN(AW313)&gt;0),"3 Feb 2020",IF(AND(AW313&gt;=66544,AW313&lt;=99999,LEN(AW313)&gt;0),"12 Sep 2020",""))</f>
        <v/>
      </c>
      <c r="BG313" s="125" t="str">
        <f>IF((AND(BF313="3 Feb 2020",LEN(BF313)&gt;0)),"Completed",IF((AND(BF313="12 Sep 2020",LEN(BF313)&gt;0)),"Pending",""))</f>
        <v/>
      </c>
      <c r="BH313" s="90" t="str">
        <f>IF((AND(BF313="3 Feb 2020",LEN(BF313)&gt;0)),"3 Feb 2020","")</f>
        <v/>
      </c>
      <c r="BI313" s="90">
        <v>200586</v>
      </c>
      <c r="BJ313" s="90" t="str">
        <f>L313</f>
        <v>8B62BR85797-70</v>
      </c>
      <c r="BK313" s="127">
        <v>43508</v>
      </c>
      <c r="BL313" s="127">
        <v>44239</v>
      </c>
      <c r="BM313" s="128">
        <f>P313*1.1</f>
        <v>2476279.3000000003</v>
      </c>
      <c r="BN313" s="129">
        <f>P313*0.9</f>
        <v>2026046.7</v>
      </c>
      <c r="BO313" s="130">
        <f>P313*0.8</f>
        <v>1800930.4000000001</v>
      </c>
      <c r="BP313" s="90">
        <f>IF(Z313="Y",BM313*0.4,BM313*1.05)</f>
        <v>2600093.2650000006</v>
      </c>
      <c r="BQ313" s="90">
        <f>BP313*0.8</f>
        <v>2080074.6120000007</v>
      </c>
      <c r="BR313" s="90" t="str">
        <f>IF(ISNUMBER(SEARCH("subrecipient",AI309)),P313*0.6,"")</f>
        <v/>
      </c>
      <c r="BS313" s="90">
        <v>200586</v>
      </c>
      <c r="BT313" s="90" t="str">
        <f>BJ313</f>
        <v>8B62BR85797-70</v>
      </c>
      <c r="BU313" s="127">
        <f>BK313</f>
        <v>43508</v>
      </c>
      <c r="BV313" s="127">
        <f>BL313</f>
        <v>44239</v>
      </c>
      <c r="BW313" s="90" t="str">
        <f>H313</f>
        <v>FDA</v>
      </c>
      <c r="BX313" s="90" t="str">
        <f>IF(H313="NATIONAL HEMOPHILIA FOUNDATION","Non Federal","Federal")</f>
        <v>Federal</v>
      </c>
      <c r="BY313" s="128">
        <f>BM313</f>
        <v>2476279.3000000003</v>
      </c>
      <c r="BZ313" s="90" t="str">
        <f>IF(LEN(BR313)&gt;0,1,"")</f>
        <v/>
      </c>
      <c r="CA313" s="90" t="str">
        <f>IF(LEN(BR313)&gt;0,"VIRAL HEPATITIS PROJECT","")</f>
        <v/>
      </c>
      <c r="CB313" s="129" t="str">
        <f>IF(LEN(BR313)&gt;0,BM313*0.7,"")</f>
        <v/>
      </c>
      <c r="CC313" s="90">
        <f>BP313</f>
        <v>2600093.2650000006</v>
      </c>
      <c r="CD313" s="90" t="str">
        <f>IF(LEN(BR313)&gt;0,"70%","")</f>
        <v/>
      </c>
      <c r="CE313" s="90">
        <f>BS313</f>
        <v>200586</v>
      </c>
      <c r="CF313" s="90" t="str">
        <f>CA313</f>
        <v/>
      </c>
      <c r="CG313" s="90"/>
      <c r="CH313" s="90"/>
      <c r="CI313" s="90"/>
      <c r="CJ313" s="90"/>
      <c r="CK313" s="90"/>
      <c r="CL313" s="90"/>
      <c r="CM313" s="90"/>
      <c r="CN313" s="90"/>
      <c r="CO313" s="90"/>
      <c r="CP313" s="90"/>
      <c r="CQ313" s="90"/>
      <c r="CR313" s="90"/>
      <c r="CS313" s="90"/>
      <c r="CT313" s="137"/>
    </row>
    <row r="314" spans="1:98" ht="180">
      <c r="A314" s="89">
        <v>200586</v>
      </c>
      <c r="B314" s="90">
        <v>2020</v>
      </c>
      <c r="C314" s="90" t="s">
        <v>81</v>
      </c>
      <c r="D314" s="90" t="s">
        <v>1016</v>
      </c>
      <c r="E314" s="125" t="s">
        <v>790</v>
      </c>
      <c r="F314" s="24" t="s">
        <v>1017</v>
      </c>
      <c r="G314" s="90" t="s">
        <v>85</v>
      </c>
      <c r="H314" s="90" t="s">
        <v>132</v>
      </c>
      <c r="I314" s="90">
        <v>93</v>
      </c>
      <c r="J314" s="90">
        <v>157</v>
      </c>
      <c r="K314" s="90" t="s">
        <v>85</v>
      </c>
      <c r="L314" s="90" t="s">
        <v>1018</v>
      </c>
      <c r="M314" s="90" t="s">
        <v>119</v>
      </c>
      <c r="N314" s="24" t="s">
        <v>1019</v>
      </c>
      <c r="O314" s="24" t="str">
        <f>IF(ISNUMBER(SEARCH("Cancer",N314)),"Cancer",IF(ISNUMBER(SEARCH("health",N314)),"Public health",IF(ISNUMBER(SEARCH("disabilities",N314)),"Disabilities","Other")))</f>
        <v>Other</v>
      </c>
      <c r="P314" s="126">
        <v>2251163</v>
      </c>
      <c r="Q314" s="90" t="s">
        <v>85</v>
      </c>
      <c r="R314" s="90" t="str">
        <f>IF(P314&gt;20000000,"B","A")</f>
        <v>A</v>
      </c>
      <c r="S314" s="90" t="s">
        <v>90</v>
      </c>
      <c r="T314" s="90" t="s">
        <v>119</v>
      </c>
      <c r="U314" s="90" t="s">
        <v>119</v>
      </c>
      <c r="V314" s="90" t="s">
        <v>119</v>
      </c>
      <c r="W314" s="90" t="s">
        <v>119</v>
      </c>
      <c r="X314" s="90" t="s">
        <v>119</v>
      </c>
      <c r="Y314" s="90" t="s">
        <v>119</v>
      </c>
      <c r="Z314" s="90" t="s">
        <v>119</v>
      </c>
      <c r="AA314" s="90" t="s">
        <v>119</v>
      </c>
      <c r="AB314" s="90" t="s">
        <v>119</v>
      </c>
      <c r="AC314" s="90" t="s">
        <v>119</v>
      </c>
      <c r="AD314" s="90" t="s">
        <v>119</v>
      </c>
      <c r="AE314" s="24">
        <v>0</v>
      </c>
      <c r="AF314" s="90">
        <v>0</v>
      </c>
      <c r="AG314" s="24">
        <v>0</v>
      </c>
      <c r="AH314" s="90">
        <v>84701</v>
      </c>
      <c r="AI314" s="24" t="s">
        <v>110</v>
      </c>
      <c r="AJ314" s="24" t="s">
        <v>1021</v>
      </c>
      <c r="AK314" s="90" t="s">
        <v>85</v>
      </c>
      <c r="AL314" s="90">
        <v>200586</v>
      </c>
      <c r="AM314" s="90" t="s">
        <v>81</v>
      </c>
      <c r="AN314" s="90" t="s">
        <v>1016</v>
      </c>
      <c r="AO314" s="125" t="s">
        <v>790</v>
      </c>
      <c r="AP314" s="24" t="s">
        <v>1019</v>
      </c>
      <c r="AQ314" s="90" t="s">
        <v>1018</v>
      </c>
      <c r="AR314" s="24" t="s">
        <v>1019</v>
      </c>
      <c r="AS314" s="90" t="s">
        <v>119</v>
      </c>
      <c r="AT314" s="24" t="s">
        <v>110</v>
      </c>
      <c r="AU314" s="90" t="s">
        <v>119</v>
      </c>
      <c r="AV314" s="90" t="str">
        <f>IF(ISNUMBER(SEARCH("disagree",AE314)),"N","Y")</f>
        <v>Y</v>
      </c>
      <c r="AW314" s="90" t="s">
        <v>119</v>
      </c>
      <c r="AX314" s="24" t="s">
        <v>119</v>
      </c>
      <c r="AY314" s="90" t="str">
        <f>CONCATENATE(AZ314,BA314,BB314,BC314)</f>
        <v/>
      </c>
      <c r="AZ314" s="90" t="str">
        <f>IF(ISNUMBER(SEARCH("Y",AC314)),"R","")</f>
        <v/>
      </c>
      <c r="BA314" s="90" t="str">
        <f>IF(ISNUMBER(SEARCH("Y",Y314)),"M","")</f>
        <v/>
      </c>
      <c r="BB314" s="90" t="str">
        <f>IF(ISNUMBER(SEARCH("Y",AB314)),"QC","")</f>
        <v/>
      </c>
      <c r="BC314" s="90" t="str">
        <f>IF(ISNUMBER(SEARCH("Y",Z314)),"S","")</f>
        <v/>
      </c>
      <c r="BD314" s="90"/>
      <c r="BE314" s="24" t="s">
        <v>119</v>
      </c>
      <c r="BF314" s="125" t="str">
        <f>IF(AND(AW314&gt;=56543,AW314&lt;=76543,LEN(AW314)&gt;0),"3 Feb 2020",IF(AND(AW314&gt;=66544,AW314&lt;=99999,LEN(AW314)&gt;0),"12 Sep 2020",""))</f>
        <v/>
      </c>
      <c r="BG314" s="125" t="str">
        <f>IF((AND(BF314="3 Feb 2020",LEN(BF314)&gt;0)),"Completed",IF((AND(BF314="12 Sep 2020",LEN(BF314)&gt;0)),"Pending",""))</f>
        <v/>
      </c>
      <c r="BH314" s="90" t="str">
        <f>IF((AND(BF314="3 Feb 2020",LEN(BF314)&gt;0)),"3 Feb 2020","")</f>
        <v/>
      </c>
      <c r="BI314" s="90">
        <v>200586</v>
      </c>
      <c r="BJ314" s="90" t="str">
        <f>L314</f>
        <v>8B62BR85797-70</v>
      </c>
      <c r="BK314" s="127">
        <v>43508</v>
      </c>
      <c r="BL314" s="127">
        <v>44239</v>
      </c>
      <c r="BM314" s="128">
        <f>P314*1.1</f>
        <v>2476279.3000000003</v>
      </c>
      <c r="BN314" s="129">
        <f>P314*0.9</f>
        <v>2026046.7</v>
      </c>
      <c r="BO314" s="130">
        <f>P314*0.8</f>
        <v>1800930.4000000001</v>
      </c>
      <c r="BP314" s="90">
        <f>IF(Z314="Y",BM314*0.4,BM314*1.05)</f>
        <v>2600093.2650000006</v>
      </c>
      <c r="BQ314" s="90">
        <f>BP314*0.8</f>
        <v>2080074.6120000007</v>
      </c>
      <c r="BR314" s="90" t="str">
        <f>IF(ISNUMBER(SEARCH("subrecipient",AI310)),P314*0.6,"")</f>
        <v/>
      </c>
      <c r="BS314" s="90">
        <v>200586</v>
      </c>
      <c r="BT314" s="90" t="str">
        <f>BJ314</f>
        <v>8B62BR85797-70</v>
      </c>
      <c r="BU314" s="127">
        <f>BK314</f>
        <v>43508</v>
      </c>
      <c r="BV314" s="127">
        <f>BL314</f>
        <v>44239</v>
      </c>
      <c r="BW314" s="90" t="str">
        <f>H314</f>
        <v>FDA</v>
      </c>
      <c r="BX314" s="90" t="str">
        <f>IF(H314="NATIONAL HEMOPHILIA FOUNDATION","Non Federal","Federal")</f>
        <v>Federal</v>
      </c>
      <c r="BY314" s="128">
        <f>BM314</f>
        <v>2476279.3000000003</v>
      </c>
      <c r="BZ314" s="90" t="str">
        <f>IF(LEN(BR314)&gt;0,1,"")</f>
        <v/>
      </c>
      <c r="CA314" s="90" t="str">
        <f>IF(LEN(BR314)&gt;0,"VIRAL HEPATITIS PROJECT","")</f>
        <v/>
      </c>
      <c r="CB314" s="129" t="str">
        <f>IF(LEN(BR314)&gt;0,BM314*0.7,"")</f>
        <v/>
      </c>
      <c r="CC314" s="90">
        <f>BP314</f>
        <v>2600093.2650000006</v>
      </c>
      <c r="CD314" s="90" t="str">
        <f>IF(LEN(BR314)&gt;0,"70%","")</f>
        <v/>
      </c>
      <c r="CE314" s="90">
        <f>BS314</f>
        <v>200586</v>
      </c>
      <c r="CF314" s="90" t="str">
        <f>CA314</f>
        <v/>
      </c>
      <c r="CG314" s="90"/>
      <c r="CH314" s="90"/>
      <c r="CI314" s="90"/>
      <c r="CJ314" s="90"/>
      <c r="CK314" s="90"/>
      <c r="CL314" s="90"/>
      <c r="CM314" s="90"/>
      <c r="CN314" s="90"/>
      <c r="CO314" s="90"/>
      <c r="CP314" s="90"/>
      <c r="CQ314" s="90"/>
      <c r="CR314" s="90"/>
      <c r="CS314" s="90"/>
      <c r="CT314" s="137"/>
    </row>
    <row r="315" spans="1:98" ht="165">
      <c r="A315" s="89">
        <v>200958</v>
      </c>
      <c r="B315" s="90">
        <v>2020</v>
      </c>
      <c r="C315" s="90" t="s">
        <v>81</v>
      </c>
      <c r="D315" s="90" t="s">
        <v>1022</v>
      </c>
      <c r="E315" s="125" t="s">
        <v>791</v>
      </c>
      <c r="F315" s="24" t="s">
        <v>1023</v>
      </c>
      <c r="G315" s="90" t="s">
        <v>85</v>
      </c>
      <c r="H315" s="90" t="s">
        <v>150</v>
      </c>
      <c r="I315" s="90">
        <v>93</v>
      </c>
      <c r="J315" s="90">
        <v>157</v>
      </c>
      <c r="K315" s="90" t="s">
        <v>85</v>
      </c>
      <c r="L315" s="90" t="s">
        <v>1024</v>
      </c>
      <c r="M315" s="90" t="s">
        <v>119</v>
      </c>
      <c r="N315" s="24" t="s">
        <v>1025</v>
      </c>
      <c r="O315" s="24" t="str">
        <f>IF(ISNUMBER(SEARCH("Cancer",N315)),"Cancer",IF(ISNUMBER(SEARCH("health",N315)),"Public health",IF(ISNUMBER(SEARCH("disabilities",N315)),"Disabilities","Other")))</f>
        <v>Public health</v>
      </c>
      <c r="P315" s="126">
        <v>2173341</v>
      </c>
      <c r="Q315" s="90" t="s">
        <v>85</v>
      </c>
      <c r="R315" s="90" t="str">
        <f>IF(P315&gt;20000000,"B","A")</f>
        <v>A</v>
      </c>
      <c r="S315" s="90" t="s">
        <v>90</v>
      </c>
      <c r="T315" s="90" t="s">
        <v>119</v>
      </c>
      <c r="U315" s="90" t="s">
        <v>119</v>
      </c>
      <c r="V315" s="90" t="s">
        <v>119</v>
      </c>
      <c r="W315" s="90" t="s">
        <v>119</v>
      </c>
      <c r="X315" s="90" t="s">
        <v>119</v>
      </c>
      <c r="Y315" s="90" t="s">
        <v>119</v>
      </c>
      <c r="Z315" s="90" t="s">
        <v>119</v>
      </c>
      <c r="AA315" s="90" t="s">
        <v>119</v>
      </c>
      <c r="AB315" s="90" t="s">
        <v>119</v>
      </c>
      <c r="AC315" s="90" t="s">
        <v>119</v>
      </c>
      <c r="AD315" s="90" t="s">
        <v>119</v>
      </c>
      <c r="AE315" s="24">
        <v>0</v>
      </c>
      <c r="AF315" s="90">
        <v>0</v>
      </c>
      <c r="AG315" s="24">
        <v>0</v>
      </c>
      <c r="AH315" s="90">
        <v>86184</v>
      </c>
      <c r="AI315" s="24" t="s">
        <v>94</v>
      </c>
      <c r="AJ315" s="24" t="s">
        <v>1026</v>
      </c>
      <c r="AK315" s="90" t="s">
        <v>85</v>
      </c>
      <c r="AL315" s="90">
        <v>200958</v>
      </c>
      <c r="AM315" s="90" t="s">
        <v>81</v>
      </c>
      <c r="AN315" s="90" t="s">
        <v>1022</v>
      </c>
      <c r="AO315" s="125" t="s">
        <v>791</v>
      </c>
      <c r="AP315" s="24" t="s">
        <v>1025</v>
      </c>
      <c r="AQ315" s="90" t="s">
        <v>1024</v>
      </c>
      <c r="AR315" s="24" t="s">
        <v>1025</v>
      </c>
      <c r="AS315" s="90" t="s">
        <v>119</v>
      </c>
      <c r="AT315" s="24" t="s">
        <v>94</v>
      </c>
      <c r="AU315" s="90" t="s">
        <v>119</v>
      </c>
      <c r="AV315" s="90" t="str">
        <f>IF(ISNUMBER(SEARCH("disagree",AE315)),"N","Y")</f>
        <v>Y</v>
      </c>
      <c r="AW315" s="90" t="s">
        <v>119</v>
      </c>
      <c r="AX315" s="24" t="s">
        <v>119</v>
      </c>
      <c r="AY315" s="90" t="str">
        <f>CONCATENATE(AZ315,BA315,BB315,BC315)</f>
        <v/>
      </c>
      <c r="AZ315" s="90" t="str">
        <f>IF(ISNUMBER(SEARCH("Y",AC315)),"R","")</f>
        <v/>
      </c>
      <c r="BA315" s="90" t="str">
        <f>IF(ISNUMBER(SEARCH("Y",Y315)),"M","")</f>
        <v/>
      </c>
      <c r="BB315" s="90" t="str">
        <f>IF(ISNUMBER(SEARCH("Y",AB315)),"QC","")</f>
        <v/>
      </c>
      <c r="BC315" s="90" t="str">
        <f>IF(ISNUMBER(SEARCH("Y",Z315)),"S","")</f>
        <v/>
      </c>
      <c r="BD315" s="90"/>
      <c r="BE315" s="24" t="s">
        <v>119</v>
      </c>
      <c r="BF315" s="125" t="str">
        <f>IF(AND(AW315&gt;=56543,AW315&lt;=76543,LEN(AW315)&gt;0),"3 Feb 2020",IF(AND(AW315&gt;=66544,AW315&lt;=99999,LEN(AW315)&gt;0),"12 Sep 2020",""))</f>
        <v/>
      </c>
      <c r="BG315" s="125" t="str">
        <f>IF((AND(BF315="3 Feb 2020",LEN(BF315)&gt;0)),"Completed",IF((AND(BF315="12 Sep 2020",LEN(BF315)&gt;0)),"Pending",""))</f>
        <v/>
      </c>
      <c r="BH315" s="90" t="str">
        <f>IF((AND(BF315="3 Feb 2020",LEN(BF315)&gt;0)),"3 Feb 2020","")</f>
        <v/>
      </c>
      <c r="BI315" s="90">
        <v>200958</v>
      </c>
      <c r="BJ315" s="90" t="str">
        <f>L315</f>
        <v>3C83AS84549-70</v>
      </c>
      <c r="BK315" s="127">
        <v>43508</v>
      </c>
      <c r="BL315" s="127">
        <v>44239</v>
      </c>
      <c r="BM315" s="128">
        <f>P315*1.1</f>
        <v>2390675.1</v>
      </c>
      <c r="BN315" s="129">
        <f>P315*0.9</f>
        <v>1956006.9000000001</v>
      </c>
      <c r="BO315" s="130">
        <f>P315*0.8</f>
        <v>1738672.8</v>
      </c>
      <c r="BP315" s="90">
        <f>IF(Z315="Y",BM315*0.4,BM315*1.05)</f>
        <v>2510208.855</v>
      </c>
      <c r="BQ315" s="90">
        <f>BP315*0.8</f>
        <v>2008167.084</v>
      </c>
      <c r="BR315" s="90" t="str">
        <f>IF(ISNUMBER(SEARCH("subrecipient",AI311)),P315*0.6,"")</f>
        <v/>
      </c>
      <c r="BS315" s="90">
        <v>200958</v>
      </c>
      <c r="BT315" s="90" t="str">
        <f>BJ315</f>
        <v>3C83AS84549-70</v>
      </c>
      <c r="BU315" s="127">
        <f>BK315</f>
        <v>43508</v>
      </c>
      <c r="BV315" s="127">
        <f>BL315</f>
        <v>44239</v>
      </c>
      <c r="BW315" s="90" t="str">
        <f>H315</f>
        <v>ACF</v>
      </c>
      <c r="BX315" s="90" t="str">
        <f>IF(H315="NATIONAL HEMOPHILIA FOUNDATION","Non Federal","Federal")</f>
        <v>Federal</v>
      </c>
      <c r="BY315" s="128">
        <f>BM315</f>
        <v>2390675.1</v>
      </c>
      <c r="BZ315" s="90" t="str">
        <f>IF(LEN(BR315)&gt;0,1,"")</f>
        <v/>
      </c>
      <c r="CA315" s="90" t="str">
        <f>IF(LEN(BR315)&gt;0,"VIRAL HEPATITIS PROJECT","")</f>
        <v/>
      </c>
      <c r="CB315" s="129" t="str">
        <f>IF(LEN(BR315)&gt;0,BM315*0.7,"")</f>
        <v/>
      </c>
      <c r="CC315" s="90">
        <f>BP315</f>
        <v>2510208.855</v>
      </c>
      <c r="CD315" s="90" t="str">
        <f>IF(LEN(BR315)&gt;0,"70%","")</f>
        <v/>
      </c>
      <c r="CE315" s="90">
        <f>BS315</f>
        <v>200958</v>
      </c>
      <c r="CF315" s="90" t="str">
        <f>CA315</f>
        <v/>
      </c>
      <c r="CG315" s="90"/>
      <c r="CH315" s="90"/>
      <c r="CI315" s="90"/>
      <c r="CJ315" s="90"/>
      <c r="CK315" s="90"/>
      <c r="CL315" s="90"/>
      <c r="CM315" s="90"/>
      <c r="CN315" s="90"/>
      <c r="CO315" s="90"/>
      <c r="CP315" s="90"/>
      <c r="CQ315" s="90"/>
      <c r="CR315" s="90"/>
      <c r="CS315" s="90"/>
      <c r="CT315" s="137"/>
    </row>
    <row r="316" spans="1:98" ht="165">
      <c r="A316" s="89">
        <v>200958</v>
      </c>
      <c r="B316" s="90">
        <v>2020</v>
      </c>
      <c r="C316" s="90" t="s">
        <v>81</v>
      </c>
      <c r="D316" s="90" t="s">
        <v>1022</v>
      </c>
      <c r="E316" s="125" t="s">
        <v>793</v>
      </c>
      <c r="F316" s="24" t="s">
        <v>1023</v>
      </c>
      <c r="G316" s="90" t="s">
        <v>85</v>
      </c>
      <c r="H316" s="90" t="s">
        <v>150</v>
      </c>
      <c r="I316" s="90">
        <v>93</v>
      </c>
      <c r="J316" s="90">
        <v>157</v>
      </c>
      <c r="K316" s="90" t="s">
        <v>85</v>
      </c>
      <c r="L316" s="90" t="s">
        <v>1024</v>
      </c>
      <c r="M316" s="90" t="s">
        <v>119</v>
      </c>
      <c r="N316" s="24" t="s">
        <v>1025</v>
      </c>
      <c r="O316" s="24" t="str">
        <f>IF(ISNUMBER(SEARCH("Cancer",N316)),"Cancer",IF(ISNUMBER(SEARCH("health",N316)),"Public health",IF(ISNUMBER(SEARCH("disabilities",N316)),"Disabilities","Other")))</f>
        <v>Public health</v>
      </c>
      <c r="P316" s="126">
        <v>2173341</v>
      </c>
      <c r="Q316" s="90" t="s">
        <v>85</v>
      </c>
      <c r="R316" s="90" t="str">
        <f>IF(P316&gt;20000000,"B","A")</f>
        <v>A</v>
      </c>
      <c r="S316" s="90" t="s">
        <v>90</v>
      </c>
      <c r="T316" s="90" t="s">
        <v>119</v>
      </c>
      <c r="U316" s="90" t="s">
        <v>119</v>
      </c>
      <c r="V316" s="90" t="s">
        <v>119</v>
      </c>
      <c r="W316" s="90" t="s">
        <v>119</v>
      </c>
      <c r="X316" s="90" t="s">
        <v>119</v>
      </c>
      <c r="Y316" s="90" t="s">
        <v>119</v>
      </c>
      <c r="Z316" s="90" t="s">
        <v>119</v>
      </c>
      <c r="AA316" s="90" t="s">
        <v>119</v>
      </c>
      <c r="AB316" s="90" t="s">
        <v>119</v>
      </c>
      <c r="AC316" s="90" t="s">
        <v>119</v>
      </c>
      <c r="AD316" s="90" t="s">
        <v>119</v>
      </c>
      <c r="AE316" s="24">
        <v>0</v>
      </c>
      <c r="AF316" s="90">
        <v>0</v>
      </c>
      <c r="AG316" s="24">
        <v>0</v>
      </c>
      <c r="AH316" s="90">
        <v>86185</v>
      </c>
      <c r="AI316" s="24" t="s">
        <v>102</v>
      </c>
      <c r="AJ316" s="24" t="s">
        <v>103</v>
      </c>
      <c r="AK316" s="90" t="s">
        <v>85</v>
      </c>
      <c r="AL316" s="90">
        <v>200958</v>
      </c>
      <c r="AM316" s="90" t="s">
        <v>81</v>
      </c>
      <c r="AN316" s="90" t="s">
        <v>1022</v>
      </c>
      <c r="AO316" s="125" t="s">
        <v>793</v>
      </c>
      <c r="AP316" s="24" t="s">
        <v>1025</v>
      </c>
      <c r="AQ316" s="90" t="s">
        <v>1024</v>
      </c>
      <c r="AR316" s="24" t="s">
        <v>1025</v>
      </c>
      <c r="AS316" s="90" t="s">
        <v>119</v>
      </c>
      <c r="AT316" s="24" t="s">
        <v>102</v>
      </c>
      <c r="AU316" s="90" t="s">
        <v>119</v>
      </c>
      <c r="AV316" s="90" t="str">
        <f>IF(ISNUMBER(SEARCH("disagree",AE316)),"N","Y")</f>
        <v>Y</v>
      </c>
      <c r="AW316" s="90" t="s">
        <v>119</v>
      </c>
      <c r="AX316" s="24" t="s">
        <v>119</v>
      </c>
      <c r="AY316" s="90" t="str">
        <f>CONCATENATE(AZ316,BA316,BB316,BC316)</f>
        <v/>
      </c>
      <c r="AZ316" s="90" t="str">
        <f>IF(ISNUMBER(SEARCH("Y",AC316)),"R","")</f>
        <v/>
      </c>
      <c r="BA316" s="90" t="str">
        <f>IF(ISNUMBER(SEARCH("Y",Y316)),"M","")</f>
        <v/>
      </c>
      <c r="BB316" s="90" t="str">
        <f>IF(ISNUMBER(SEARCH("Y",AB316)),"QC","")</f>
        <v/>
      </c>
      <c r="BC316" s="90" t="str">
        <f>IF(ISNUMBER(SEARCH("Y",Z316)),"S","")</f>
        <v/>
      </c>
      <c r="BD316" s="90"/>
      <c r="BE316" s="24" t="s">
        <v>119</v>
      </c>
      <c r="BF316" s="125" t="str">
        <f>IF(AND(AW316&gt;=56543,AW316&lt;=76543,LEN(AW316)&gt;0),"3 Feb 2020",IF(AND(AW316&gt;=66544,AW316&lt;=99999,LEN(AW316)&gt;0),"12 Sep 2020",""))</f>
        <v/>
      </c>
      <c r="BG316" s="125" t="str">
        <f>IF((AND(BF316="3 Feb 2020",LEN(BF316)&gt;0)),"Completed",IF((AND(BF316="12 Sep 2020",LEN(BF316)&gt;0)),"Pending",""))</f>
        <v/>
      </c>
      <c r="BH316" s="90" t="str">
        <f>IF((AND(BF316="3 Feb 2020",LEN(BF316)&gt;0)),"3 Feb 2020","")</f>
        <v/>
      </c>
      <c r="BI316" s="90">
        <v>200958</v>
      </c>
      <c r="BJ316" s="90" t="str">
        <f>L316</f>
        <v>3C83AS84549-70</v>
      </c>
      <c r="BK316" s="127">
        <v>43508</v>
      </c>
      <c r="BL316" s="127">
        <v>44239</v>
      </c>
      <c r="BM316" s="128">
        <f>P316*1.1</f>
        <v>2390675.1</v>
      </c>
      <c r="BN316" s="129">
        <f>P316*0.9</f>
        <v>1956006.9000000001</v>
      </c>
      <c r="BO316" s="130">
        <f>P316*0.8</f>
        <v>1738672.8</v>
      </c>
      <c r="BP316" s="90">
        <f>IF(Z316="Y",BM316*0.4,BM316*1.05)</f>
        <v>2510208.855</v>
      </c>
      <c r="BQ316" s="90">
        <f>BP316*0.8</f>
        <v>2008167.084</v>
      </c>
      <c r="BR316" s="90" t="str">
        <f>IF(ISNUMBER(SEARCH("subrecipient",AI312)),P316*0.6,"")</f>
        <v/>
      </c>
      <c r="BS316" s="90">
        <v>200958</v>
      </c>
      <c r="BT316" s="90" t="str">
        <f>BJ316</f>
        <v>3C83AS84549-70</v>
      </c>
      <c r="BU316" s="127">
        <f>BK316</f>
        <v>43508</v>
      </c>
      <c r="BV316" s="127">
        <f>BL316</f>
        <v>44239</v>
      </c>
      <c r="BW316" s="90" t="str">
        <f>H316</f>
        <v>ACF</v>
      </c>
      <c r="BX316" s="90" t="str">
        <f>IF(H316="NATIONAL HEMOPHILIA FOUNDATION","Non Federal","Federal")</f>
        <v>Federal</v>
      </c>
      <c r="BY316" s="128">
        <f>BM316</f>
        <v>2390675.1</v>
      </c>
      <c r="BZ316" s="90" t="str">
        <f>IF(LEN(BR316)&gt;0,1,"")</f>
        <v/>
      </c>
      <c r="CA316" s="90" t="str">
        <f>IF(LEN(BR316)&gt;0,"VIRAL HEPATITIS PROJECT","")</f>
        <v/>
      </c>
      <c r="CB316" s="129" t="str">
        <f>IF(LEN(BR316)&gt;0,BM316*0.7,"")</f>
        <v/>
      </c>
      <c r="CC316" s="90">
        <f>BP316</f>
        <v>2510208.855</v>
      </c>
      <c r="CD316" s="90" t="str">
        <f>IF(LEN(BR316)&gt;0,"70%","")</f>
        <v/>
      </c>
      <c r="CE316" s="90">
        <f>BS316</f>
        <v>200958</v>
      </c>
      <c r="CF316" s="90" t="str">
        <f>CA316</f>
        <v/>
      </c>
      <c r="CG316" s="90"/>
      <c r="CH316" s="90"/>
      <c r="CI316" s="90"/>
      <c r="CJ316" s="90"/>
      <c r="CK316" s="90"/>
      <c r="CL316" s="90"/>
      <c r="CM316" s="90"/>
      <c r="CN316" s="90"/>
      <c r="CO316" s="90"/>
      <c r="CP316" s="90"/>
      <c r="CQ316" s="90"/>
      <c r="CR316" s="90"/>
      <c r="CS316" s="90"/>
      <c r="CT316" s="137"/>
    </row>
    <row r="317" spans="1:98" ht="165">
      <c r="A317" s="89">
        <v>200958</v>
      </c>
      <c r="B317" s="90">
        <v>2020</v>
      </c>
      <c r="C317" s="90" t="s">
        <v>81</v>
      </c>
      <c r="D317" s="90" t="s">
        <v>1022</v>
      </c>
      <c r="E317" s="125" t="s">
        <v>780</v>
      </c>
      <c r="F317" s="24" t="s">
        <v>1023</v>
      </c>
      <c r="G317" s="90" t="s">
        <v>85</v>
      </c>
      <c r="H317" s="90" t="s">
        <v>150</v>
      </c>
      <c r="I317" s="90">
        <v>93</v>
      </c>
      <c r="J317" s="90">
        <v>157</v>
      </c>
      <c r="K317" s="90" t="s">
        <v>85</v>
      </c>
      <c r="L317" s="90" t="s">
        <v>1024</v>
      </c>
      <c r="M317" s="90" t="s">
        <v>119</v>
      </c>
      <c r="N317" s="24" t="s">
        <v>1025</v>
      </c>
      <c r="O317" s="24" t="str">
        <f>IF(ISNUMBER(SEARCH("Cancer",N317)),"Cancer",IF(ISNUMBER(SEARCH("health",N317)),"Public health",IF(ISNUMBER(SEARCH("disabilities",N317)),"Disabilities","Other")))</f>
        <v>Public health</v>
      </c>
      <c r="P317" s="126">
        <v>2173341</v>
      </c>
      <c r="Q317" s="90" t="s">
        <v>85</v>
      </c>
      <c r="R317" s="90" t="str">
        <f>IF(P317&gt;20000000,"B","A")</f>
        <v>A</v>
      </c>
      <c r="S317" s="90" t="s">
        <v>90</v>
      </c>
      <c r="T317" s="90" t="s">
        <v>119</v>
      </c>
      <c r="U317" s="90" t="s">
        <v>119</v>
      </c>
      <c r="V317" s="90" t="s">
        <v>119</v>
      </c>
      <c r="W317" s="90" t="s">
        <v>119</v>
      </c>
      <c r="X317" s="90" t="s">
        <v>119</v>
      </c>
      <c r="Y317" s="90" t="s">
        <v>119</v>
      </c>
      <c r="Z317" s="90" t="s">
        <v>119</v>
      </c>
      <c r="AA317" s="90" t="s">
        <v>119</v>
      </c>
      <c r="AB317" s="90" t="s">
        <v>119</v>
      </c>
      <c r="AC317" s="90" t="s">
        <v>119</v>
      </c>
      <c r="AD317" s="90" t="s">
        <v>119</v>
      </c>
      <c r="AE317" s="24">
        <v>0</v>
      </c>
      <c r="AF317" s="90">
        <v>0</v>
      </c>
      <c r="AG317" s="24">
        <v>0</v>
      </c>
      <c r="AH317" s="90">
        <v>86187</v>
      </c>
      <c r="AI317" s="24" t="s">
        <v>1027</v>
      </c>
      <c r="AJ317" s="24" t="s">
        <v>1028</v>
      </c>
      <c r="AK317" s="90" t="s">
        <v>85</v>
      </c>
      <c r="AL317" s="90">
        <v>200958</v>
      </c>
      <c r="AM317" s="90" t="s">
        <v>81</v>
      </c>
      <c r="AN317" s="90" t="s">
        <v>1022</v>
      </c>
      <c r="AO317" s="125" t="s">
        <v>780</v>
      </c>
      <c r="AP317" s="24" t="s">
        <v>1025</v>
      </c>
      <c r="AQ317" s="90" t="s">
        <v>1024</v>
      </c>
      <c r="AR317" s="24" t="s">
        <v>1025</v>
      </c>
      <c r="AS317" s="90" t="s">
        <v>119</v>
      </c>
      <c r="AT317" s="24" t="s">
        <v>1027</v>
      </c>
      <c r="AU317" s="90" t="s">
        <v>119</v>
      </c>
      <c r="AV317" s="90" t="str">
        <f>IF(ISNUMBER(SEARCH("disagree",AE317)),"N","Y")</f>
        <v>Y</v>
      </c>
      <c r="AW317" s="90" t="s">
        <v>119</v>
      </c>
      <c r="AX317" s="24" t="s">
        <v>119</v>
      </c>
      <c r="AY317" s="90" t="str">
        <f>CONCATENATE(AZ317,BA317,BB317,BC317)</f>
        <v/>
      </c>
      <c r="AZ317" s="90" t="str">
        <f>IF(ISNUMBER(SEARCH("Y",AC317)),"R","")</f>
        <v/>
      </c>
      <c r="BA317" s="90" t="str">
        <f>IF(ISNUMBER(SEARCH("Y",Y317)),"M","")</f>
        <v/>
      </c>
      <c r="BB317" s="90" t="str">
        <f>IF(ISNUMBER(SEARCH("Y",AB317)),"QC","")</f>
        <v/>
      </c>
      <c r="BC317" s="90" t="str">
        <f>IF(ISNUMBER(SEARCH("Y",Z317)),"S","")</f>
        <v/>
      </c>
      <c r="BD317" s="90"/>
      <c r="BE317" s="24" t="s">
        <v>119</v>
      </c>
      <c r="BF317" s="125" t="str">
        <f>IF(AND(AW317&gt;=56543,AW317&lt;=76543,LEN(AW317)&gt;0),"3 Feb 2020",IF(AND(AW317&gt;=66544,AW317&lt;=99999,LEN(AW317)&gt;0),"12 Sep 2020",""))</f>
        <v/>
      </c>
      <c r="BG317" s="125" t="str">
        <f>IF((AND(BF317="3 Feb 2020",LEN(BF317)&gt;0)),"Completed",IF((AND(BF317="12 Sep 2020",LEN(BF317)&gt;0)),"Pending",""))</f>
        <v/>
      </c>
      <c r="BH317" s="90" t="str">
        <f>IF((AND(BF317="3 Feb 2020",LEN(BF317)&gt;0)),"3 Feb 2020","")</f>
        <v/>
      </c>
      <c r="BI317" s="90">
        <v>200958</v>
      </c>
      <c r="BJ317" s="90" t="str">
        <f>L317</f>
        <v>3C83AS84549-70</v>
      </c>
      <c r="BK317" s="127">
        <v>43508</v>
      </c>
      <c r="BL317" s="127">
        <v>44239</v>
      </c>
      <c r="BM317" s="128">
        <f>P317*1.1</f>
        <v>2390675.1</v>
      </c>
      <c r="BN317" s="129">
        <f>P317*0.9</f>
        <v>1956006.9000000001</v>
      </c>
      <c r="BO317" s="130">
        <f>P317*0.8</f>
        <v>1738672.8</v>
      </c>
      <c r="BP317" s="90">
        <f>IF(Z317="Y",BM317*0.4,BM317*1.05)</f>
        <v>2510208.855</v>
      </c>
      <c r="BQ317" s="90">
        <f>BP317*0.8</f>
        <v>2008167.084</v>
      </c>
      <c r="BR317" s="90" t="str">
        <f>IF(ISNUMBER(SEARCH("subrecipient",AI313)),P317*0.6,"")</f>
        <v/>
      </c>
      <c r="BS317" s="90">
        <v>200958</v>
      </c>
      <c r="BT317" s="90" t="str">
        <f>BJ317</f>
        <v>3C83AS84549-70</v>
      </c>
      <c r="BU317" s="127">
        <f>BK317</f>
        <v>43508</v>
      </c>
      <c r="BV317" s="127">
        <f>BL317</f>
        <v>44239</v>
      </c>
      <c r="BW317" s="90" t="str">
        <f>H317</f>
        <v>ACF</v>
      </c>
      <c r="BX317" s="90" t="str">
        <f>IF(H317="NATIONAL HEMOPHILIA FOUNDATION","Non Federal","Federal")</f>
        <v>Federal</v>
      </c>
      <c r="BY317" s="128">
        <f>BM317</f>
        <v>2390675.1</v>
      </c>
      <c r="BZ317" s="90" t="str">
        <f>IF(LEN(BR317)&gt;0,1,"")</f>
        <v/>
      </c>
      <c r="CA317" s="90" t="str">
        <f>IF(LEN(BR317)&gt;0,"VIRAL HEPATITIS PROJECT","")</f>
        <v/>
      </c>
      <c r="CB317" s="129" t="str">
        <f>IF(LEN(BR317)&gt;0,BM317*0.7,"")</f>
        <v/>
      </c>
      <c r="CC317" s="90">
        <f>BP317</f>
        <v>2510208.855</v>
      </c>
      <c r="CD317" s="90" t="str">
        <f>IF(LEN(BR317)&gt;0,"70%","")</f>
        <v/>
      </c>
      <c r="CE317" s="90">
        <f>BS317</f>
        <v>200958</v>
      </c>
      <c r="CF317" s="90" t="str">
        <f>CA317</f>
        <v/>
      </c>
      <c r="CG317" s="90"/>
      <c r="CH317" s="90"/>
      <c r="CI317" s="90"/>
      <c r="CJ317" s="90"/>
      <c r="CK317" s="90"/>
      <c r="CL317" s="90"/>
      <c r="CM317" s="90"/>
      <c r="CN317" s="90"/>
      <c r="CO317" s="90"/>
      <c r="CP317" s="90"/>
      <c r="CQ317" s="90"/>
      <c r="CR317" s="90"/>
      <c r="CS317" s="90"/>
      <c r="CT317" s="137"/>
    </row>
    <row r="318" spans="1:98" ht="165">
      <c r="A318" s="89">
        <v>200958</v>
      </c>
      <c r="B318" s="90">
        <v>2020</v>
      </c>
      <c r="C318" s="90" t="s">
        <v>81</v>
      </c>
      <c r="D318" s="90" t="s">
        <v>1022</v>
      </c>
      <c r="E318" s="125" t="s">
        <v>781</v>
      </c>
      <c r="F318" s="24" t="s">
        <v>1023</v>
      </c>
      <c r="G318" s="90" t="s">
        <v>85</v>
      </c>
      <c r="H318" s="90" t="s">
        <v>150</v>
      </c>
      <c r="I318" s="90">
        <v>93</v>
      </c>
      <c r="J318" s="90">
        <v>157</v>
      </c>
      <c r="K318" s="90" t="s">
        <v>85</v>
      </c>
      <c r="L318" s="90" t="s">
        <v>1024</v>
      </c>
      <c r="M318" s="90" t="s">
        <v>119</v>
      </c>
      <c r="N318" s="24" t="s">
        <v>1025</v>
      </c>
      <c r="O318" s="24" t="str">
        <f>IF(ISNUMBER(SEARCH("Cancer",N318)),"Cancer",IF(ISNUMBER(SEARCH("health",N318)),"Public health",IF(ISNUMBER(SEARCH("disabilities",N318)),"Disabilities","Other")))</f>
        <v>Public health</v>
      </c>
      <c r="P318" s="126">
        <v>2173341</v>
      </c>
      <c r="Q318" s="90" t="s">
        <v>85</v>
      </c>
      <c r="R318" s="90" t="str">
        <f>IF(P318&gt;20000000,"B","A")</f>
        <v>A</v>
      </c>
      <c r="S318" s="90" t="s">
        <v>90</v>
      </c>
      <c r="T318" s="90" t="s">
        <v>119</v>
      </c>
      <c r="U318" s="90" t="s">
        <v>119</v>
      </c>
      <c r="V318" s="90" t="s">
        <v>119</v>
      </c>
      <c r="W318" s="90" t="s">
        <v>119</v>
      </c>
      <c r="X318" s="90" t="s">
        <v>119</v>
      </c>
      <c r="Y318" s="90" t="s">
        <v>119</v>
      </c>
      <c r="Z318" s="90" t="s">
        <v>119</v>
      </c>
      <c r="AA318" s="90" t="s">
        <v>119</v>
      </c>
      <c r="AB318" s="90" t="s">
        <v>119</v>
      </c>
      <c r="AC318" s="90" t="s">
        <v>119</v>
      </c>
      <c r="AD318" s="90" t="s">
        <v>119</v>
      </c>
      <c r="AE318" s="24">
        <v>0</v>
      </c>
      <c r="AF318" s="90">
        <v>0</v>
      </c>
      <c r="AG318" s="24">
        <v>0</v>
      </c>
      <c r="AH318" s="90">
        <v>86188</v>
      </c>
      <c r="AI318" s="24" t="s">
        <v>1029</v>
      </c>
      <c r="AJ318" s="24" t="s">
        <v>1030</v>
      </c>
      <c r="AK318" s="90" t="s">
        <v>85</v>
      </c>
      <c r="AL318" s="90">
        <v>200958</v>
      </c>
      <c r="AM318" s="90" t="s">
        <v>81</v>
      </c>
      <c r="AN318" s="90" t="s">
        <v>1022</v>
      </c>
      <c r="AO318" s="125" t="s">
        <v>781</v>
      </c>
      <c r="AP318" s="24" t="s">
        <v>1025</v>
      </c>
      <c r="AQ318" s="90" t="s">
        <v>1024</v>
      </c>
      <c r="AR318" s="24" t="s">
        <v>1025</v>
      </c>
      <c r="AS318" s="90" t="s">
        <v>119</v>
      </c>
      <c r="AT318" s="24" t="s">
        <v>1029</v>
      </c>
      <c r="AU318" s="90" t="s">
        <v>119</v>
      </c>
      <c r="AV318" s="90" t="str">
        <f>IF(ISNUMBER(SEARCH("disagree",AE318)),"N","Y")</f>
        <v>Y</v>
      </c>
      <c r="AW318" s="90" t="s">
        <v>119</v>
      </c>
      <c r="AX318" s="24" t="s">
        <v>119</v>
      </c>
      <c r="AY318" s="90" t="str">
        <f>CONCATENATE(AZ318,BA318,BB318,BC318)</f>
        <v/>
      </c>
      <c r="AZ318" s="90" t="str">
        <f>IF(ISNUMBER(SEARCH("Y",AC318)),"R","")</f>
        <v/>
      </c>
      <c r="BA318" s="90" t="str">
        <f>IF(ISNUMBER(SEARCH("Y",Y318)),"M","")</f>
        <v/>
      </c>
      <c r="BB318" s="90" t="str">
        <f>IF(ISNUMBER(SEARCH("Y",AB318)),"QC","")</f>
        <v/>
      </c>
      <c r="BC318" s="90" t="str">
        <f>IF(ISNUMBER(SEARCH("Y",Z318)),"S","")</f>
        <v/>
      </c>
      <c r="BD318" s="90"/>
      <c r="BE318" s="24" t="s">
        <v>119</v>
      </c>
      <c r="BF318" s="125" t="str">
        <f>IF(AND(AW318&gt;=56543,AW318&lt;=76543,LEN(AW318)&gt;0),"3 Feb 2020",IF(AND(AW318&gt;=66544,AW318&lt;=99999,LEN(AW318)&gt;0),"12 Sep 2020",""))</f>
        <v/>
      </c>
      <c r="BG318" s="125" t="str">
        <f>IF((AND(BF318="3 Feb 2020",LEN(BF318)&gt;0)),"Completed",IF((AND(BF318="12 Sep 2020",LEN(BF318)&gt;0)),"Pending",""))</f>
        <v/>
      </c>
      <c r="BH318" s="90" t="str">
        <f>IF((AND(BF318="3 Feb 2020",LEN(BF318)&gt;0)),"3 Feb 2020","")</f>
        <v/>
      </c>
      <c r="BI318" s="90">
        <v>200958</v>
      </c>
      <c r="BJ318" s="90" t="str">
        <f>L318</f>
        <v>3C83AS84549-70</v>
      </c>
      <c r="BK318" s="127">
        <v>43508</v>
      </c>
      <c r="BL318" s="127">
        <v>44239</v>
      </c>
      <c r="BM318" s="128">
        <f>P318*1.1</f>
        <v>2390675.1</v>
      </c>
      <c r="BN318" s="129">
        <f>P318*0.9</f>
        <v>1956006.9000000001</v>
      </c>
      <c r="BO318" s="130">
        <f>P318*0.8</f>
        <v>1738672.8</v>
      </c>
      <c r="BP318" s="90">
        <f>IF(Z318="Y",BM318*0.4,BM318*1.05)</f>
        <v>2510208.855</v>
      </c>
      <c r="BQ318" s="90">
        <f>BP318*0.8</f>
        <v>2008167.084</v>
      </c>
      <c r="BR318" s="90" t="str">
        <f>IF(ISNUMBER(SEARCH("subrecipient",AI314)),P318*0.6,"")</f>
        <v/>
      </c>
      <c r="BS318" s="90">
        <v>200958</v>
      </c>
      <c r="BT318" s="90" t="str">
        <f>BJ318</f>
        <v>3C83AS84549-70</v>
      </c>
      <c r="BU318" s="127">
        <f>BK318</f>
        <v>43508</v>
      </c>
      <c r="BV318" s="127">
        <f>BL318</f>
        <v>44239</v>
      </c>
      <c r="BW318" s="90" t="str">
        <f>H318</f>
        <v>ACF</v>
      </c>
      <c r="BX318" s="90" t="str">
        <f>IF(H318="NATIONAL HEMOPHILIA FOUNDATION","Non Federal","Federal")</f>
        <v>Federal</v>
      </c>
      <c r="BY318" s="128">
        <f>BM318</f>
        <v>2390675.1</v>
      </c>
      <c r="BZ318" s="90" t="str">
        <f>IF(LEN(BR318)&gt;0,1,"")</f>
        <v/>
      </c>
      <c r="CA318" s="90" t="str">
        <f>IF(LEN(BR318)&gt;0,"VIRAL HEPATITIS PROJECT","")</f>
        <v/>
      </c>
      <c r="CB318" s="129" t="str">
        <f>IF(LEN(BR318)&gt;0,BM318*0.7,"")</f>
        <v/>
      </c>
      <c r="CC318" s="90">
        <f>BP318</f>
        <v>2510208.855</v>
      </c>
      <c r="CD318" s="90" t="str">
        <f>IF(LEN(BR318)&gt;0,"70%","")</f>
        <v/>
      </c>
      <c r="CE318" s="90">
        <f>BS318</f>
        <v>200958</v>
      </c>
      <c r="CF318" s="90" t="str">
        <f>CA318</f>
        <v/>
      </c>
      <c r="CG318" s="90"/>
      <c r="CH318" s="90"/>
      <c r="CI318" s="90"/>
      <c r="CJ318" s="90"/>
      <c r="CK318" s="90"/>
      <c r="CL318" s="90"/>
      <c r="CM318" s="90"/>
      <c r="CN318" s="90"/>
      <c r="CO318" s="90"/>
      <c r="CP318" s="90"/>
      <c r="CQ318" s="90"/>
      <c r="CR318" s="90"/>
      <c r="CS318" s="90"/>
      <c r="CT318" s="137"/>
    </row>
    <row r="319" spans="1:98" ht="165">
      <c r="A319" s="89">
        <v>200958</v>
      </c>
      <c r="B319" s="90">
        <v>2020</v>
      </c>
      <c r="C319" s="90" t="s">
        <v>81</v>
      </c>
      <c r="D319" s="90" t="s">
        <v>1022</v>
      </c>
      <c r="E319" s="125" t="s">
        <v>784</v>
      </c>
      <c r="F319" s="24" t="s">
        <v>1023</v>
      </c>
      <c r="G319" s="90" t="s">
        <v>85</v>
      </c>
      <c r="H319" s="90" t="s">
        <v>150</v>
      </c>
      <c r="I319" s="90">
        <v>93</v>
      </c>
      <c r="J319" s="90">
        <v>157</v>
      </c>
      <c r="K319" s="90" t="s">
        <v>85</v>
      </c>
      <c r="L319" s="90" t="s">
        <v>1024</v>
      </c>
      <c r="M319" s="90" t="s">
        <v>119</v>
      </c>
      <c r="N319" s="24" t="s">
        <v>1025</v>
      </c>
      <c r="O319" s="24" t="str">
        <f>IF(ISNUMBER(SEARCH("Cancer",N319)),"Cancer",IF(ISNUMBER(SEARCH("health",N319)),"Public health",IF(ISNUMBER(SEARCH("disabilities",N319)),"Disabilities","Other")))</f>
        <v>Public health</v>
      </c>
      <c r="P319" s="126">
        <v>2173341</v>
      </c>
      <c r="Q319" s="90" t="s">
        <v>85</v>
      </c>
      <c r="R319" s="90" t="str">
        <f>IF(P319&gt;20000000,"B","A")</f>
        <v>A</v>
      </c>
      <c r="S319" s="90" t="s">
        <v>90</v>
      </c>
      <c r="T319" s="90" t="s">
        <v>119</v>
      </c>
      <c r="U319" s="90" t="s">
        <v>119</v>
      </c>
      <c r="V319" s="90" t="s">
        <v>119</v>
      </c>
      <c r="W319" s="90" t="s">
        <v>119</v>
      </c>
      <c r="X319" s="90" t="s">
        <v>119</v>
      </c>
      <c r="Y319" s="90" t="s">
        <v>119</v>
      </c>
      <c r="Z319" s="90" t="s">
        <v>119</v>
      </c>
      <c r="AA319" s="90" t="s">
        <v>119</v>
      </c>
      <c r="AB319" s="90" t="s">
        <v>119</v>
      </c>
      <c r="AC319" s="90" t="s">
        <v>119</v>
      </c>
      <c r="AD319" s="90" t="s">
        <v>119</v>
      </c>
      <c r="AE319" s="24">
        <v>0</v>
      </c>
      <c r="AF319" s="90">
        <v>0</v>
      </c>
      <c r="AG319" s="24">
        <v>0</v>
      </c>
      <c r="AH319" s="90">
        <v>86186</v>
      </c>
      <c r="AI319" s="24" t="s">
        <v>1031</v>
      </c>
      <c r="AJ319" s="24" t="s">
        <v>1032</v>
      </c>
      <c r="AK319" s="90" t="s">
        <v>85</v>
      </c>
      <c r="AL319" s="90">
        <v>200958</v>
      </c>
      <c r="AM319" s="90" t="s">
        <v>81</v>
      </c>
      <c r="AN319" s="90" t="s">
        <v>1022</v>
      </c>
      <c r="AO319" s="125" t="s">
        <v>784</v>
      </c>
      <c r="AP319" s="24" t="s">
        <v>1025</v>
      </c>
      <c r="AQ319" s="90" t="s">
        <v>1024</v>
      </c>
      <c r="AR319" s="24" t="s">
        <v>1025</v>
      </c>
      <c r="AS319" s="90" t="s">
        <v>119</v>
      </c>
      <c r="AT319" s="24" t="s">
        <v>1031</v>
      </c>
      <c r="AU319" s="90" t="s">
        <v>119</v>
      </c>
      <c r="AV319" s="90" t="str">
        <f>IF(ISNUMBER(SEARCH("disagree",AE319)),"N","Y")</f>
        <v>Y</v>
      </c>
      <c r="AW319" s="90" t="s">
        <v>119</v>
      </c>
      <c r="AX319" s="24" t="s">
        <v>119</v>
      </c>
      <c r="AY319" s="90" t="str">
        <f>CONCATENATE(AZ319,BA319,BB319,BC319)</f>
        <v/>
      </c>
      <c r="AZ319" s="90" t="str">
        <f>IF(ISNUMBER(SEARCH("Y",AC319)),"R","")</f>
        <v/>
      </c>
      <c r="BA319" s="90" t="str">
        <f>IF(ISNUMBER(SEARCH("Y",Y319)),"M","")</f>
        <v/>
      </c>
      <c r="BB319" s="90" t="str">
        <f>IF(ISNUMBER(SEARCH("Y",AB319)),"QC","")</f>
        <v/>
      </c>
      <c r="BC319" s="90" t="str">
        <f>IF(ISNUMBER(SEARCH("Y",Z319)),"S","")</f>
        <v/>
      </c>
      <c r="BD319" s="90"/>
      <c r="BE319" s="24" t="s">
        <v>119</v>
      </c>
      <c r="BF319" s="125" t="str">
        <f>IF(AND(AW319&gt;=56543,AW319&lt;=76543,LEN(AW319)&gt;0),"3 Feb 2020",IF(AND(AW319&gt;=66544,AW319&lt;=99999,LEN(AW319)&gt;0),"12 Sep 2020",""))</f>
        <v/>
      </c>
      <c r="BG319" s="125" t="str">
        <f>IF((AND(BF319="3 Feb 2020",LEN(BF319)&gt;0)),"Completed",IF((AND(BF319="12 Sep 2020",LEN(BF319)&gt;0)),"Pending",""))</f>
        <v/>
      </c>
      <c r="BH319" s="90" t="str">
        <f>IF((AND(BF319="3 Feb 2020",LEN(BF319)&gt;0)),"3 Feb 2020","")</f>
        <v/>
      </c>
      <c r="BI319" s="90">
        <v>200958</v>
      </c>
      <c r="BJ319" s="90" t="str">
        <f>L319</f>
        <v>3C83AS84549-70</v>
      </c>
      <c r="BK319" s="127">
        <v>43508</v>
      </c>
      <c r="BL319" s="127">
        <v>44239</v>
      </c>
      <c r="BM319" s="128">
        <f>P319*1.1</f>
        <v>2390675.1</v>
      </c>
      <c r="BN319" s="129">
        <f>P319*0.9</f>
        <v>1956006.9000000001</v>
      </c>
      <c r="BO319" s="130">
        <f>P319*0.8</f>
        <v>1738672.8</v>
      </c>
      <c r="BP319" s="90">
        <f>IF(Z319="Y",BM319*0.4,BM319*1.05)</f>
        <v>2510208.855</v>
      </c>
      <c r="BQ319" s="90">
        <f>BP319*0.8</f>
        <v>2008167.084</v>
      </c>
      <c r="BR319" s="90" t="str">
        <f>IF(ISNUMBER(SEARCH("subrecipient",AI315)),P319*0.6,"")</f>
        <v/>
      </c>
      <c r="BS319" s="90">
        <v>200958</v>
      </c>
      <c r="BT319" s="90" t="str">
        <f>BJ319</f>
        <v>3C83AS84549-70</v>
      </c>
      <c r="BU319" s="127">
        <f>BK319</f>
        <v>43508</v>
      </c>
      <c r="BV319" s="127">
        <f>BL319</f>
        <v>44239</v>
      </c>
      <c r="BW319" s="90" t="str">
        <f>H319</f>
        <v>ACF</v>
      </c>
      <c r="BX319" s="90" t="str">
        <f>IF(H319="NATIONAL HEMOPHILIA FOUNDATION","Non Federal","Federal")</f>
        <v>Federal</v>
      </c>
      <c r="BY319" s="128">
        <f>BM319</f>
        <v>2390675.1</v>
      </c>
      <c r="BZ319" s="90" t="str">
        <f>IF(LEN(BR319)&gt;0,1,"")</f>
        <v/>
      </c>
      <c r="CA319" s="90" t="str">
        <f>IF(LEN(BR319)&gt;0,"VIRAL HEPATITIS PROJECT","")</f>
        <v/>
      </c>
      <c r="CB319" s="129" t="str">
        <f>IF(LEN(BR319)&gt;0,BM319*0.7,"")</f>
        <v/>
      </c>
      <c r="CC319" s="90">
        <f>BP319</f>
        <v>2510208.855</v>
      </c>
      <c r="CD319" s="90" t="str">
        <f>IF(LEN(BR319)&gt;0,"70%","")</f>
        <v/>
      </c>
      <c r="CE319" s="90">
        <f>BS319</f>
        <v>200958</v>
      </c>
      <c r="CF319" s="90" t="str">
        <f>CA319</f>
        <v/>
      </c>
      <c r="CG319" s="90"/>
      <c r="CH319" s="90"/>
      <c r="CI319" s="90"/>
      <c r="CJ319" s="90"/>
      <c r="CK319" s="90"/>
      <c r="CL319" s="90"/>
      <c r="CM319" s="90"/>
      <c r="CN319" s="90"/>
      <c r="CO319" s="90"/>
      <c r="CP319" s="90"/>
      <c r="CQ319" s="90"/>
      <c r="CR319" s="90"/>
      <c r="CS319" s="90"/>
      <c r="CT319" s="137"/>
    </row>
    <row r="320" spans="1:98" ht="195">
      <c r="A320" s="89">
        <v>201435</v>
      </c>
      <c r="B320" s="90">
        <v>2020</v>
      </c>
      <c r="C320" s="90" t="s">
        <v>81</v>
      </c>
      <c r="D320" s="90" t="s">
        <v>1033</v>
      </c>
      <c r="E320" s="125" t="s">
        <v>790</v>
      </c>
      <c r="F320" s="24" t="s">
        <v>1034</v>
      </c>
      <c r="G320" s="90" t="s">
        <v>85</v>
      </c>
      <c r="H320" s="90" t="s">
        <v>86</v>
      </c>
      <c r="I320" s="90">
        <v>93</v>
      </c>
      <c r="J320" s="90">
        <v>157</v>
      </c>
      <c r="K320" s="90" t="s">
        <v>85</v>
      </c>
      <c r="L320" s="90" t="s">
        <v>1035</v>
      </c>
      <c r="M320" s="90" t="s">
        <v>85</v>
      </c>
      <c r="N320" s="24" t="s">
        <v>1036</v>
      </c>
      <c r="O320" s="24" t="str">
        <f>IF(ISNUMBER(SEARCH("Cancer",N320)),"Cancer",IF(ISNUMBER(SEARCH("health",N320)),"Public health",IF(ISNUMBER(SEARCH("disabilities",N320)),"Disabilities","Other")))</f>
        <v>Public health</v>
      </c>
      <c r="P320" s="126">
        <v>2704752</v>
      </c>
      <c r="Q320" s="90" t="s">
        <v>85</v>
      </c>
      <c r="R320" s="90" t="str">
        <f>IF(P320&gt;20000000,"B","A")</f>
        <v>A</v>
      </c>
      <c r="S320" s="90" t="s">
        <v>90</v>
      </c>
      <c r="T320" s="90">
        <v>2579507</v>
      </c>
      <c r="U320" s="90" t="s">
        <v>91</v>
      </c>
      <c r="V320" s="90" t="s">
        <v>85</v>
      </c>
      <c r="W320" s="90" t="s">
        <v>85</v>
      </c>
      <c r="X320" s="90" t="s">
        <v>85</v>
      </c>
      <c r="Y320" s="90" t="s">
        <v>85</v>
      </c>
      <c r="Z320" s="90" t="s">
        <v>85</v>
      </c>
      <c r="AA320" s="90" t="s">
        <v>87</v>
      </c>
      <c r="AB320" s="90" t="s">
        <v>87</v>
      </c>
      <c r="AC320" s="90" t="s">
        <v>85</v>
      </c>
      <c r="AD320" s="90">
        <v>0</v>
      </c>
      <c r="AE320" s="24" t="s">
        <v>1037</v>
      </c>
      <c r="AF320" s="90" t="s">
        <v>91</v>
      </c>
      <c r="AG320" s="24" t="s">
        <v>1038</v>
      </c>
      <c r="AH320" s="90">
        <v>86640</v>
      </c>
      <c r="AI320" s="24" t="s">
        <v>94</v>
      </c>
      <c r="AJ320" s="24" t="s">
        <v>1039</v>
      </c>
      <c r="AK320" s="90" t="s">
        <v>85</v>
      </c>
      <c r="AL320" s="90">
        <v>201435</v>
      </c>
      <c r="AM320" s="90" t="s">
        <v>81</v>
      </c>
      <c r="AN320" s="90" t="s">
        <v>1033</v>
      </c>
      <c r="AO320" s="125" t="s">
        <v>790</v>
      </c>
      <c r="AP320" s="24" t="s">
        <v>1036</v>
      </c>
      <c r="AQ320" s="90" t="s">
        <v>1035</v>
      </c>
      <c r="AR320" s="24" t="s">
        <v>1036</v>
      </c>
      <c r="AS320" s="90">
        <v>2579507</v>
      </c>
      <c r="AT320" s="24" t="s">
        <v>94</v>
      </c>
      <c r="AU320" s="90" t="s">
        <v>85</v>
      </c>
      <c r="AV320" s="90" t="str">
        <f>IF(ISNUMBER(SEARCH("disagree",AE320)),"N","Y")</f>
        <v>Y</v>
      </c>
      <c r="AW320" s="90">
        <v>97287</v>
      </c>
      <c r="AX320" s="24" t="s">
        <v>96</v>
      </c>
      <c r="AY320" s="90" t="str">
        <f>CONCATENATE(AZ320,BA320,BB320,BC320)</f>
        <v>QC</v>
      </c>
      <c r="AZ320" s="90" t="str">
        <f>IF(ISNUMBER(SEARCH("Y",AC320)),"R","")</f>
        <v/>
      </c>
      <c r="BA320" s="90" t="str">
        <f>IF(ISNUMBER(SEARCH("Y",Y320)),"M","")</f>
        <v/>
      </c>
      <c r="BB320" s="90" t="str">
        <f>IF(ISNUMBER(SEARCH("Y",AB320)),"QC","")</f>
        <v>QC</v>
      </c>
      <c r="BC320" s="90" t="str">
        <f>IF(ISNUMBER(SEARCH("Y",Z320)),"S","")</f>
        <v/>
      </c>
      <c r="BD320" s="90"/>
      <c r="BE320" s="24" t="s">
        <v>97</v>
      </c>
      <c r="BF320" s="125" t="str">
        <f>IF(AND(AW320&gt;=56543,AW320&lt;=76543,LEN(AW320)&gt;0),"3 Feb 2020",IF(AND(AW320&gt;=66544,AW320&lt;=99999,LEN(AW320)&gt;0),"12 Sep 2020",""))</f>
        <v>12 Sep 2020</v>
      </c>
      <c r="BG320" s="125" t="str">
        <f>IF((AND(BF320="3 Feb 2020",LEN(BF320)&gt;0)),"Completed",IF((AND(BF320="12 Sep 2020",LEN(BF320)&gt;0)),"Pending",""))</f>
        <v>Pending</v>
      </c>
      <c r="BH320" s="90" t="str">
        <f>IF((AND(BF320="3 Feb 2020",LEN(BF320)&gt;0)),"3 Feb 2020","")</f>
        <v/>
      </c>
      <c r="BI320" s="90">
        <v>201435</v>
      </c>
      <c r="BJ320" s="90" t="str">
        <f>L320</f>
        <v>8D88HT84703-15</v>
      </c>
      <c r="BK320" s="127">
        <v>43508</v>
      </c>
      <c r="BL320" s="127">
        <v>44239</v>
      </c>
      <c r="BM320" s="128">
        <f>P320*1.1</f>
        <v>2975227.2</v>
      </c>
      <c r="BN320" s="129">
        <f>P320*0.9</f>
        <v>2434276.8000000003</v>
      </c>
      <c r="BO320" s="130">
        <f>P320*0.8</f>
        <v>2163801.6</v>
      </c>
      <c r="BP320" s="90">
        <f>IF(Z320="Y",BM320*0.4,BM320*1.05)</f>
        <v>3123988.5600000005</v>
      </c>
      <c r="BQ320" s="90">
        <f>BP320*0.8</f>
        <v>2499190.8480000007</v>
      </c>
      <c r="BR320" s="90" t="str">
        <f>IF(ISNUMBER(SEARCH("subrecipient",AI316)),P320*0.6,"")</f>
        <v/>
      </c>
      <c r="BS320" s="90">
        <v>201435</v>
      </c>
      <c r="BT320" s="90" t="str">
        <f>BJ320</f>
        <v>8D88HT84703-15</v>
      </c>
      <c r="BU320" s="127">
        <f>BK320</f>
        <v>43508</v>
      </c>
      <c r="BV320" s="127">
        <f>BL320</f>
        <v>44239</v>
      </c>
      <c r="BW320" s="90" t="str">
        <f>H320</f>
        <v>CDC</v>
      </c>
      <c r="BX320" s="90" t="str">
        <f>IF(H320="NATIONAL HEMOPHILIA FOUNDATION","Non Federal","Federal")</f>
        <v>Federal</v>
      </c>
      <c r="BY320" s="128">
        <f>BM320</f>
        <v>2975227.2</v>
      </c>
      <c r="BZ320" s="90" t="str">
        <f>IF(LEN(BR320)&gt;0,1,"")</f>
        <v/>
      </c>
      <c r="CA320" s="90" t="str">
        <f>IF(LEN(BR320)&gt;0,"VIRAL HEPATITIS PROJECT","")</f>
        <v/>
      </c>
      <c r="CB320" s="129" t="str">
        <f>IF(LEN(BR320)&gt;0,BM320*0.7,"")</f>
        <v/>
      </c>
      <c r="CC320" s="90">
        <f>BP320</f>
        <v>3123988.5600000005</v>
      </c>
      <c r="CD320" s="90" t="str">
        <f>IF(LEN(BR320)&gt;0,"70%","")</f>
        <v/>
      </c>
      <c r="CE320" s="90">
        <f>BS320</f>
        <v>201435</v>
      </c>
      <c r="CF320" s="90" t="str">
        <f>CA320</f>
        <v/>
      </c>
      <c r="CG320" s="90"/>
      <c r="CH320" s="90"/>
      <c r="CI320" s="90"/>
      <c r="CJ320" s="90"/>
      <c r="CK320" s="90"/>
      <c r="CL320" s="90"/>
      <c r="CM320" s="90"/>
      <c r="CN320" s="90"/>
      <c r="CO320" s="90"/>
      <c r="CP320" s="90"/>
      <c r="CQ320" s="90"/>
      <c r="CR320" s="90"/>
      <c r="CS320" s="90"/>
      <c r="CT320" s="137"/>
    </row>
    <row r="321" spans="1:98" ht="135">
      <c r="A321" s="89">
        <v>201435</v>
      </c>
      <c r="B321" s="90">
        <v>2020</v>
      </c>
      <c r="C321" s="90" t="s">
        <v>81</v>
      </c>
      <c r="D321" s="90" t="s">
        <v>1033</v>
      </c>
      <c r="E321" s="125" t="s">
        <v>791</v>
      </c>
      <c r="F321" s="24" t="s">
        <v>1034</v>
      </c>
      <c r="G321" s="90" t="s">
        <v>85</v>
      </c>
      <c r="H321" s="90" t="s">
        <v>86</v>
      </c>
      <c r="I321" s="90">
        <v>93</v>
      </c>
      <c r="J321" s="90">
        <v>157</v>
      </c>
      <c r="K321" s="90" t="s">
        <v>85</v>
      </c>
      <c r="L321" s="90" t="s">
        <v>1035</v>
      </c>
      <c r="M321" s="90" t="s">
        <v>85</v>
      </c>
      <c r="N321" s="24" t="s">
        <v>1036</v>
      </c>
      <c r="O321" s="24" t="str">
        <f>IF(ISNUMBER(SEARCH("Cancer",N321)),"Cancer",IF(ISNUMBER(SEARCH("health",N321)),"Public health",IF(ISNUMBER(SEARCH("disabilities",N321)),"Disabilities","Other")))</f>
        <v>Public health</v>
      </c>
      <c r="P321" s="126">
        <v>2704752</v>
      </c>
      <c r="Q321" s="90" t="s">
        <v>85</v>
      </c>
      <c r="R321" s="90" t="str">
        <f>IF(P321&gt;20000000,"B","A")</f>
        <v>A</v>
      </c>
      <c r="S321" s="90" t="s">
        <v>90</v>
      </c>
      <c r="T321" s="90">
        <v>2579507</v>
      </c>
      <c r="U321" s="90" t="s">
        <v>91</v>
      </c>
      <c r="V321" s="90" t="s">
        <v>85</v>
      </c>
      <c r="W321" s="90" t="s">
        <v>85</v>
      </c>
      <c r="X321" s="90" t="s">
        <v>85</v>
      </c>
      <c r="Y321" s="90" t="s">
        <v>85</v>
      </c>
      <c r="Z321" s="90" t="s">
        <v>85</v>
      </c>
      <c r="AA321" s="90" t="s">
        <v>87</v>
      </c>
      <c r="AB321" s="90" t="s">
        <v>87</v>
      </c>
      <c r="AC321" s="90" t="s">
        <v>85</v>
      </c>
      <c r="AD321" s="90">
        <v>0</v>
      </c>
      <c r="AE321" s="24">
        <v>0</v>
      </c>
      <c r="AF321" s="90">
        <v>0</v>
      </c>
      <c r="AG321" s="24">
        <v>0</v>
      </c>
      <c r="AH321" s="90">
        <v>86642</v>
      </c>
      <c r="AI321" s="24" t="s">
        <v>102</v>
      </c>
      <c r="AJ321" s="24" t="s">
        <v>103</v>
      </c>
      <c r="AK321" s="90" t="s">
        <v>85</v>
      </c>
      <c r="AL321" s="90">
        <v>201435</v>
      </c>
      <c r="AM321" s="90" t="s">
        <v>81</v>
      </c>
      <c r="AN321" s="90" t="s">
        <v>1033</v>
      </c>
      <c r="AO321" s="125" t="s">
        <v>791</v>
      </c>
      <c r="AP321" s="24" t="s">
        <v>1036</v>
      </c>
      <c r="AQ321" s="90" t="s">
        <v>1035</v>
      </c>
      <c r="AR321" s="24" t="s">
        <v>1036</v>
      </c>
      <c r="AS321" s="90">
        <v>2579507</v>
      </c>
      <c r="AT321" s="24" t="s">
        <v>102</v>
      </c>
      <c r="AU321" s="90" t="s">
        <v>85</v>
      </c>
      <c r="AV321" s="90" t="str">
        <f>IF(ISNUMBER(SEARCH("disagree",AE321)),"N","Y")</f>
        <v>Y</v>
      </c>
      <c r="AW321" s="90">
        <v>75425</v>
      </c>
      <c r="AX321" s="24" t="s">
        <v>104</v>
      </c>
      <c r="AY321" s="90" t="str">
        <f>CONCATENATE(AZ321,BA321,BB321,BC321)</f>
        <v>QC</v>
      </c>
      <c r="AZ321" s="90" t="str">
        <f>IF(ISNUMBER(SEARCH("Y",AC321)),"R","")</f>
        <v/>
      </c>
      <c r="BA321" s="90" t="str">
        <f>IF(ISNUMBER(SEARCH("Y",Y321)),"M","")</f>
        <v/>
      </c>
      <c r="BB321" s="90" t="str">
        <f>IF(ISNUMBER(SEARCH("Y",AB321)),"QC","")</f>
        <v>QC</v>
      </c>
      <c r="BC321" s="90" t="str">
        <f>IF(ISNUMBER(SEARCH("Y",Z321)),"S","")</f>
        <v/>
      </c>
      <c r="BD321" s="90"/>
      <c r="BE321" s="24" t="s">
        <v>327</v>
      </c>
      <c r="BF321" s="125" t="str">
        <f>IF(AND(AW321&gt;=56543,AW321&lt;=76543,LEN(AW321)&gt;0),"3 Feb 2020",IF(AND(AW321&gt;=66544,AW321&lt;=99999,LEN(AW321)&gt;0),"12 Sep 2020",""))</f>
        <v>3 Feb 2020</v>
      </c>
      <c r="BG321" s="125" t="s">
        <v>328</v>
      </c>
      <c r="BH321" s="90"/>
      <c r="BI321" s="90">
        <v>201435</v>
      </c>
      <c r="BJ321" s="90" t="str">
        <f>L321</f>
        <v>8D88HT84703-15</v>
      </c>
      <c r="BK321" s="127">
        <v>43508</v>
      </c>
      <c r="BL321" s="127">
        <v>44239</v>
      </c>
      <c r="BM321" s="128">
        <f>P321*1.1</f>
        <v>2975227.2</v>
      </c>
      <c r="BN321" s="129">
        <f>P321*0.9</f>
        <v>2434276.8000000003</v>
      </c>
      <c r="BO321" s="130">
        <f>P321*0.8</f>
        <v>2163801.6</v>
      </c>
      <c r="BP321" s="90">
        <f>IF(Z321="Y",BM321*0.4,BM321*1.05)</f>
        <v>3123988.5600000005</v>
      </c>
      <c r="BQ321" s="90">
        <f>BP321*0.8</f>
        <v>2499190.8480000007</v>
      </c>
      <c r="BR321" s="90" t="str">
        <f>IF(ISNUMBER(SEARCH("subrecipient",AI317)),P321*0.6,"")</f>
        <v/>
      </c>
      <c r="BS321" s="90">
        <v>201435</v>
      </c>
      <c r="BT321" s="90" t="str">
        <f>BJ321</f>
        <v>8D88HT84703-15</v>
      </c>
      <c r="BU321" s="127">
        <f>BK321</f>
        <v>43508</v>
      </c>
      <c r="BV321" s="127">
        <f>BL321</f>
        <v>44239</v>
      </c>
      <c r="BW321" s="90" t="str">
        <f>H321</f>
        <v>CDC</v>
      </c>
      <c r="BX321" s="90" t="str">
        <f>IF(H321="NATIONAL HEMOPHILIA FOUNDATION","Non Federal","Federal")</f>
        <v>Federal</v>
      </c>
      <c r="BY321" s="128">
        <f>BM321</f>
        <v>2975227.2</v>
      </c>
      <c r="BZ321" s="90" t="str">
        <f>IF(LEN(BR321)&gt;0,1,"")</f>
        <v/>
      </c>
      <c r="CA321" s="90" t="str">
        <f>IF(LEN(BR321)&gt;0,"VIRAL HEPATITIS PROJECT","")</f>
        <v/>
      </c>
      <c r="CB321" s="129" t="str">
        <f>IF(LEN(BR321)&gt;0,BM321*0.7,"")</f>
        <v/>
      </c>
      <c r="CC321" s="90">
        <f>BP321</f>
        <v>3123988.5600000005</v>
      </c>
      <c r="CD321" s="90" t="str">
        <f>IF(LEN(BR321)&gt;0,"70%","")</f>
        <v/>
      </c>
      <c r="CE321" s="90">
        <f>BS321</f>
        <v>201435</v>
      </c>
      <c r="CF321" s="90" t="str">
        <f>CA321</f>
        <v/>
      </c>
      <c r="CG321" s="90"/>
      <c r="CH321" s="90"/>
      <c r="CI321" s="90"/>
      <c r="CJ321" s="90"/>
      <c r="CK321" s="90"/>
      <c r="CL321" s="90"/>
      <c r="CM321" s="90"/>
      <c r="CN321" s="90"/>
      <c r="CO321" s="90"/>
      <c r="CP321" s="90"/>
      <c r="CQ321" s="90"/>
      <c r="CR321" s="90"/>
      <c r="CS321" s="90"/>
      <c r="CT321" s="137"/>
    </row>
    <row r="322" spans="1:98" ht="135">
      <c r="A322" s="89">
        <v>201435</v>
      </c>
      <c r="B322" s="90">
        <v>2020</v>
      </c>
      <c r="C322" s="90" t="s">
        <v>81</v>
      </c>
      <c r="D322" s="90" t="s">
        <v>1033</v>
      </c>
      <c r="E322" s="125" t="s">
        <v>793</v>
      </c>
      <c r="F322" s="24" t="s">
        <v>1034</v>
      </c>
      <c r="G322" s="90" t="s">
        <v>85</v>
      </c>
      <c r="H322" s="90" t="s">
        <v>86</v>
      </c>
      <c r="I322" s="90">
        <v>93</v>
      </c>
      <c r="J322" s="90">
        <v>157</v>
      </c>
      <c r="K322" s="90" t="s">
        <v>85</v>
      </c>
      <c r="L322" s="90" t="s">
        <v>1035</v>
      </c>
      <c r="M322" s="90" t="s">
        <v>85</v>
      </c>
      <c r="N322" s="24" t="s">
        <v>1036</v>
      </c>
      <c r="O322" s="24" t="str">
        <f>IF(ISNUMBER(SEARCH("Cancer",N322)),"Cancer",IF(ISNUMBER(SEARCH("health",N322)),"Public health",IF(ISNUMBER(SEARCH("disabilities",N322)),"Disabilities","Other")))</f>
        <v>Public health</v>
      </c>
      <c r="P322" s="126">
        <v>2704752</v>
      </c>
      <c r="Q322" s="90" t="s">
        <v>85</v>
      </c>
      <c r="R322" s="90" t="str">
        <f>IF(P322&gt;20000000,"B","A")</f>
        <v>A</v>
      </c>
      <c r="S322" s="90" t="s">
        <v>90</v>
      </c>
      <c r="T322" s="90">
        <v>2579507</v>
      </c>
      <c r="U322" s="90" t="s">
        <v>91</v>
      </c>
      <c r="V322" s="90" t="s">
        <v>85</v>
      </c>
      <c r="W322" s="90" t="s">
        <v>85</v>
      </c>
      <c r="X322" s="90" t="s">
        <v>85</v>
      </c>
      <c r="Y322" s="90" t="s">
        <v>85</v>
      </c>
      <c r="Z322" s="90" t="s">
        <v>85</v>
      </c>
      <c r="AA322" s="90" t="s">
        <v>87</v>
      </c>
      <c r="AB322" s="90" t="s">
        <v>87</v>
      </c>
      <c r="AC322" s="90" t="s">
        <v>85</v>
      </c>
      <c r="AD322" s="90">
        <v>0</v>
      </c>
      <c r="AE322" s="24">
        <v>0</v>
      </c>
      <c r="AF322" s="90">
        <v>0</v>
      </c>
      <c r="AG322" s="24">
        <v>0</v>
      </c>
      <c r="AH322" s="90">
        <v>86641</v>
      </c>
      <c r="AI322" s="24" t="s">
        <v>110</v>
      </c>
      <c r="AJ322" s="24" t="s">
        <v>1040</v>
      </c>
      <c r="AK322" s="90" t="s">
        <v>85</v>
      </c>
      <c r="AL322" s="90">
        <v>201435</v>
      </c>
      <c r="AM322" s="90" t="s">
        <v>81</v>
      </c>
      <c r="AN322" s="90" t="s">
        <v>1033</v>
      </c>
      <c r="AO322" s="125" t="s">
        <v>793</v>
      </c>
      <c r="AP322" s="24" t="s">
        <v>1036</v>
      </c>
      <c r="AQ322" s="90" t="s">
        <v>1035</v>
      </c>
      <c r="AR322" s="24" t="s">
        <v>1036</v>
      </c>
      <c r="AS322" s="90">
        <v>2579507</v>
      </c>
      <c r="AT322" s="24" t="s">
        <v>110</v>
      </c>
      <c r="AU322" s="90" t="s">
        <v>85</v>
      </c>
      <c r="AV322" s="90" t="str">
        <f>IF(ISNUMBER(SEARCH("disagree",AE322)),"N","Y")</f>
        <v>Y</v>
      </c>
      <c r="AW322" s="90">
        <v>90529</v>
      </c>
      <c r="AX322" s="24" t="s">
        <v>112</v>
      </c>
      <c r="AY322" s="90" t="str">
        <f>CONCATENATE(AZ322,BA322,BB322,BC322)</f>
        <v>QC</v>
      </c>
      <c r="AZ322" s="90" t="str">
        <f>IF(ISNUMBER(SEARCH("Y",AC322)),"R","")</f>
        <v/>
      </c>
      <c r="BA322" s="90" t="str">
        <f>IF(ISNUMBER(SEARCH("Y",Y322)),"M","")</f>
        <v/>
      </c>
      <c r="BB322" s="90" t="str">
        <f>IF(ISNUMBER(SEARCH("Y",AB322)),"QC","")</f>
        <v>QC</v>
      </c>
      <c r="BC322" s="90" t="str">
        <f>IF(ISNUMBER(SEARCH("Y",Z322)),"S","")</f>
        <v/>
      </c>
      <c r="BD322" s="90"/>
      <c r="BE322" s="24" t="s">
        <v>113</v>
      </c>
      <c r="BF322" s="125" t="str">
        <f>IF(AND(AW322&gt;=56543,AW322&lt;=76543,LEN(AW322)&gt;0),"3 Feb 2020",IF(AND(AW322&gt;=66544,AW322&lt;=99999,LEN(AW322)&gt;0),"12 Sep 2020",""))</f>
        <v>12 Sep 2020</v>
      </c>
      <c r="BG322" s="125" t="str">
        <f>IF((AND(BF322="3 Feb 2020",LEN(BF322)&gt;0)),"Completed",IF((AND(BF322="12 Sep 2020",LEN(BF322)&gt;0)),"Pending",""))</f>
        <v>Pending</v>
      </c>
      <c r="BH322" s="90" t="str">
        <f>IF((AND(BF322="3 Feb 2020",LEN(BF322)&gt;0)),"3 Feb 2020","")</f>
        <v/>
      </c>
      <c r="BI322" s="90">
        <v>201435</v>
      </c>
      <c r="BJ322" s="90" t="str">
        <f>L322</f>
        <v>8D88HT84703-15</v>
      </c>
      <c r="BK322" s="127">
        <v>43508</v>
      </c>
      <c r="BL322" s="127">
        <v>44239</v>
      </c>
      <c r="BM322" s="128">
        <f>P322*1.1</f>
        <v>2975227.2</v>
      </c>
      <c r="BN322" s="129">
        <f>P322*0.9</f>
        <v>2434276.8000000003</v>
      </c>
      <c r="BO322" s="130">
        <f>P322*0.8</f>
        <v>2163801.6</v>
      </c>
      <c r="BP322" s="90">
        <f>IF(Z322="Y",BM322*0.4,BM322*1.05)</f>
        <v>3123988.5600000005</v>
      </c>
      <c r="BQ322" s="90">
        <f>BP322*0.8</f>
        <v>2499190.8480000007</v>
      </c>
      <c r="BR322" s="90" t="str">
        <f>IF(ISNUMBER(SEARCH("subrecipient",AI318)),P322*0.6,"")</f>
        <v/>
      </c>
      <c r="BS322" s="90">
        <v>201435</v>
      </c>
      <c r="BT322" s="90" t="str">
        <f>BJ322</f>
        <v>8D88HT84703-15</v>
      </c>
      <c r="BU322" s="127">
        <f>BK322</f>
        <v>43508</v>
      </c>
      <c r="BV322" s="127">
        <f>BL322</f>
        <v>44239</v>
      </c>
      <c r="BW322" s="90" t="str">
        <f>H322</f>
        <v>CDC</v>
      </c>
      <c r="BX322" s="90" t="str">
        <f>IF(H322="NATIONAL HEMOPHILIA FOUNDATION","Non Federal","Federal")</f>
        <v>Federal</v>
      </c>
      <c r="BY322" s="128">
        <f>BM322</f>
        <v>2975227.2</v>
      </c>
      <c r="BZ322" s="90" t="str">
        <f>IF(LEN(BR322)&gt;0,1,"")</f>
        <v/>
      </c>
      <c r="CA322" s="90" t="str">
        <f>IF(LEN(BR322)&gt;0,"VIRAL HEPATITIS PROJECT","")</f>
        <v/>
      </c>
      <c r="CB322" s="129" t="str">
        <f>IF(LEN(BR322)&gt;0,BM322*0.7,"")</f>
        <v/>
      </c>
      <c r="CC322" s="90">
        <f>BP322</f>
        <v>3123988.5600000005</v>
      </c>
      <c r="CD322" s="90" t="str">
        <f>IF(LEN(BR322)&gt;0,"70%","")</f>
        <v/>
      </c>
      <c r="CE322" s="90">
        <f>BS322</f>
        <v>201435</v>
      </c>
      <c r="CF322" s="90" t="str">
        <f>CA322</f>
        <v/>
      </c>
      <c r="CG322" s="90"/>
      <c r="CH322" s="90"/>
      <c r="CI322" s="90"/>
      <c r="CJ322" s="90"/>
      <c r="CK322" s="90"/>
      <c r="CL322" s="90"/>
      <c r="CM322" s="90"/>
      <c r="CN322" s="90"/>
      <c r="CO322" s="90"/>
      <c r="CP322" s="90"/>
      <c r="CQ322" s="90"/>
      <c r="CR322" s="90"/>
      <c r="CS322" s="90"/>
      <c r="CT322" s="137"/>
    </row>
    <row r="323" spans="1:98" ht="90">
      <c r="A323" s="89">
        <v>201499</v>
      </c>
      <c r="B323" s="90">
        <v>2020</v>
      </c>
      <c r="C323" s="90" t="s">
        <v>81</v>
      </c>
      <c r="D323" s="90" t="s">
        <v>1041</v>
      </c>
      <c r="E323" s="125" t="s">
        <v>780</v>
      </c>
      <c r="F323" s="24" t="s">
        <v>1042</v>
      </c>
      <c r="G323" s="90" t="s">
        <v>85</v>
      </c>
      <c r="H323" s="90" t="s">
        <v>117</v>
      </c>
      <c r="I323" s="90">
        <v>93</v>
      </c>
      <c r="J323" s="90">
        <v>157</v>
      </c>
      <c r="K323" s="90" t="s">
        <v>85</v>
      </c>
      <c r="L323" s="90" t="s">
        <v>1043</v>
      </c>
      <c r="M323" s="90" t="s">
        <v>119</v>
      </c>
      <c r="N323" s="24" t="s">
        <v>914</v>
      </c>
      <c r="O323" s="24" t="str">
        <f>IF(ISNUMBER(SEARCH("Cancer",N323)),"Cancer",IF(ISNUMBER(SEARCH("health",N323)),"Public health",IF(ISNUMBER(SEARCH("disabilities",N323)),"Disabilities","Other")))</f>
        <v>Other</v>
      </c>
      <c r="P323" s="126">
        <v>2462382</v>
      </c>
      <c r="Q323" s="90" t="s">
        <v>85</v>
      </c>
      <c r="R323" s="90" t="str">
        <f>IF(P323&gt;20000000,"B","A")</f>
        <v>A</v>
      </c>
      <c r="S323" s="90" t="s">
        <v>90</v>
      </c>
      <c r="T323" s="90" t="s">
        <v>119</v>
      </c>
      <c r="U323" s="90" t="s">
        <v>119</v>
      </c>
      <c r="V323" s="90" t="s">
        <v>119</v>
      </c>
      <c r="W323" s="90" t="s">
        <v>119</v>
      </c>
      <c r="X323" s="90" t="s">
        <v>119</v>
      </c>
      <c r="Y323" s="90" t="s">
        <v>119</v>
      </c>
      <c r="Z323" s="90" t="s">
        <v>119</v>
      </c>
      <c r="AA323" s="90" t="s">
        <v>119</v>
      </c>
      <c r="AB323" s="90" t="s">
        <v>119</v>
      </c>
      <c r="AC323" s="90" t="s">
        <v>119</v>
      </c>
      <c r="AD323" s="90" t="s">
        <v>119</v>
      </c>
      <c r="AE323" s="24">
        <v>0</v>
      </c>
      <c r="AF323" s="90">
        <v>0</v>
      </c>
      <c r="AG323" s="24">
        <v>0</v>
      </c>
      <c r="AH323" s="90">
        <v>88438</v>
      </c>
      <c r="AI323" s="24" t="s">
        <v>94</v>
      </c>
      <c r="AJ323" s="24" t="s">
        <v>1044</v>
      </c>
      <c r="AK323" s="90" t="s">
        <v>85</v>
      </c>
      <c r="AL323" s="90">
        <v>201499</v>
      </c>
      <c r="AM323" s="90" t="s">
        <v>81</v>
      </c>
      <c r="AN323" s="90" t="s">
        <v>1041</v>
      </c>
      <c r="AO323" s="125" t="s">
        <v>780</v>
      </c>
      <c r="AP323" s="24" t="s">
        <v>914</v>
      </c>
      <c r="AQ323" s="90" t="s">
        <v>1043</v>
      </c>
      <c r="AR323" s="24" t="s">
        <v>914</v>
      </c>
      <c r="AS323" s="90" t="s">
        <v>119</v>
      </c>
      <c r="AT323" s="24" t="s">
        <v>94</v>
      </c>
      <c r="AU323" s="90" t="s">
        <v>119</v>
      </c>
      <c r="AV323" s="90" t="str">
        <f>IF(ISNUMBER(SEARCH("disagree",AE323)),"N","Y")</f>
        <v>Y</v>
      </c>
      <c r="AW323" s="90" t="s">
        <v>119</v>
      </c>
      <c r="AX323" s="24" t="s">
        <v>119</v>
      </c>
      <c r="AY323" s="90" t="str">
        <f>CONCATENATE(AZ323,BA323,BB323,BC323)</f>
        <v/>
      </c>
      <c r="AZ323" s="90" t="str">
        <f>IF(ISNUMBER(SEARCH("Y",AC323)),"R","")</f>
        <v/>
      </c>
      <c r="BA323" s="90" t="str">
        <f>IF(ISNUMBER(SEARCH("Y",Y323)),"M","")</f>
        <v/>
      </c>
      <c r="BB323" s="90" t="str">
        <f>IF(ISNUMBER(SEARCH("Y",AB323)),"QC","")</f>
        <v/>
      </c>
      <c r="BC323" s="90" t="str">
        <f>IF(ISNUMBER(SEARCH("Y",Z323)),"S","")</f>
        <v/>
      </c>
      <c r="BD323" s="90"/>
      <c r="BE323" s="24" t="s">
        <v>119</v>
      </c>
      <c r="BF323" s="125" t="str">
        <f>IF(AND(AW323&gt;=56543,AW323&lt;=76543,LEN(AW323)&gt;0),"3 Feb 2020",IF(AND(AW323&gt;=66544,AW323&lt;=99999,LEN(AW323)&gt;0),"12 Sep 2020",""))</f>
        <v/>
      </c>
      <c r="BG323" s="125" t="str">
        <f>IF((AND(BF323="3 Feb 2020",LEN(BF323)&gt;0)),"Completed",IF((AND(BF323="12 Sep 2020",LEN(BF323)&gt;0)),"Pending",""))</f>
        <v/>
      </c>
      <c r="BH323" s="90" t="str">
        <f>IF((AND(BF323="3 Feb 2020",LEN(BF323)&gt;0)),"3 Feb 2020","")</f>
        <v/>
      </c>
      <c r="BI323" s="90">
        <v>201499</v>
      </c>
      <c r="BJ323" s="90" t="str">
        <f>L323</f>
        <v>9B18AR86185-73</v>
      </c>
      <c r="BK323" s="127">
        <v>43508</v>
      </c>
      <c r="BL323" s="127">
        <v>44239</v>
      </c>
      <c r="BM323" s="128">
        <f>P323*1.1</f>
        <v>2708620.2</v>
      </c>
      <c r="BN323" s="129">
        <f>P323*0.9</f>
        <v>2216143.8000000003</v>
      </c>
      <c r="BO323" s="130">
        <f>P323*0.8</f>
        <v>1969905.6</v>
      </c>
      <c r="BP323" s="90">
        <f>IF(Z323="Y",BM323*0.4,BM323*1.05)</f>
        <v>2844051.2100000004</v>
      </c>
      <c r="BQ323" s="90">
        <f>BP323*0.8</f>
        <v>2275240.9680000003</v>
      </c>
      <c r="BR323" s="90" t="str">
        <f>IF(ISNUMBER(SEARCH("subrecipient",AI319)),P323*0.6,"")</f>
        <v/>
      </c>
      <c r="BS323" s="90">
        <v>201499</v>
      </c>
      <c r="BT323" s="90" t="str">
        <f>BJ323</f>
        <v>9B18AR86185-73</v>
      </c>
      <c r="BU323" s="127">
        <f>BK323</f>
        <v>43508</v>
      </c>
      <c r="BV323" s="127">
        <f>BL323</f>
        <v>44239</v>
      </c>
      <c r="BW323" s="90" t="str">
        <f>H323</f>
        <v>NIH</v>
      </c>
      <c r="BX323" s="90" t="str">
        <f>IF(H323="NATIONAL HEMOPHILIA FOUNDATION","Non Federal","Federal")</f>
        <v>Federal</v>
      </c>
      <c r="BY323" s="128">
        <f>BM323</f>
        <v>2708620.2</v>
      </c>
      <c r="BZ323" s="90" t="str">
        <f>IF(LEN(BR323)&gt;0,1,"")</f>
        <v/>
      </c>
      <c r="CA323" s="90" t="str">
        <f>IF(LEN(BR323)&gt;0,"VIRAL HEPATITIS PROJECT","")</f>
        <v/>
      </c>
      <c r="CB323" s="129" t="str">
        <f>IF(LEN(BR323)&gt;0,BM323*0.7,"")</f>
        <v/>
      </c>
      <c r="CC323" s="90">
        <f>BP323</f>
        <v>2844051.2100000004</v>
      </c>
      <c r="CD323" s="90" t="str">
        <f>IF(LEN(BR323)&gt;0,"70%","")</f>
        <v/>
      </c>
      <c r="CE323" s="90">
        <f>BS323</f>
        <v>201499</v>
      </c>
      <c r="CF323" s="90" t="str">
        <f>CA323</f>
        <v/>
      </c>
      <c r="CG323" s="90"/>
      <c r="CH323" s="90"/>
      <c r="CI323" s="90"/>
      <c r="CJ323" s="90"/>
      <c r="CK323" s="90"/>
      <c r="CL323" s="90"/>
      <c r="CM323" s="90"/>
      <c r="CN323" s="90"/>
      <c r="CO323" s="90"/>
      <c r="CP323" s="90"/>
      <c r="CQ323" s="90"/>
      <c r="CR323" s="90"/>
      <c r="CS323" s="90"/>
      <c r="CT323" s="137"/>
    </row>
    <row r="324" spans="1:98" ht="45">
      <c r="A324" s="89">
        <v>201499</v>
      </c>
      <c r="B324" s="90">
        <v>2020</v>
      </c>
      <c r="C324" s="90" t="s">
        <v>81</v>
      </c>
      <c r="D324" s="90" t="s">
        <v>1041</v>
      </c>
      <c r="E324" s="125" t="s">
        <v>781</v>
      </c>
      <c r="F324" s="24" t="s">
        <v>1042</v>
      </c>
      <c r="G324" s="90" t="s">
        <v>85</v>
      </c>
      <c r="H324" s="90" t="s">
        <v>117</v>
      </c>
      <c r="I324" s="90">
        <v>93</v>
      </c>
      <c r="J324" s="90">
        <v>157</v>
      </c>
      <c r="K324" s="90" t="s">
        <v>85</v>
      </c>
      <c r="L324" s="90" t="s">
        <v>1043</v>
      </c>
      <c r="M324" s="90" t="s">
        <v>119</v>
      </c>
      <c r="N324" s="24" t="s">
        <v>914</v>
      </c>
      <c r="O324" s="24" t="str">
        <f>IF(ISNUMBER(SEARCH("Cancer",N324)),"Cancer",IF(ISNUMBER(SEARCH("health",N324)),"Public health",IF(ISNUMBER(SEARCH("disabilities",N324)),"Disabilities","Other")))</f>
        <v>Other</v>
      </c>
      <c r="P324" s="126">
        <v>2462382</v>
      </c>
      <c r="Q324" s="90" t="s">
        <v>85</v>
      </c>
      <c r="R324" s="90" t="str">
        <f>IF(P324&gt;20000000,"B","A")</f>
        <v>A</v>
      </c>
      <c r="S324" s="90" t="s">
        <v>90</v>
      </c>
      <c r="T324" s="90" t="s">
        <v>119</v>
      </c>
      <c r="U324" s="90" t="s">
        <v>119</v>
      </c>
      <c r="V324" s="90" t="s">
        <v>119</v>
      </c>
      <c r="W324" s="90" t="s">
        <v>119</v>
      </c>
      <c r="X324" s="90" t="s">
        <v>119</v>
      </c>
      <c r="Y324" s="90" t="s">
        <v>119</v>
      </c>
      <c r="Z324" s="90" t="s">
        <v>119</v>
      </c>
      <c r="AA324" s="90" t="s">
        <v>119</v>
      </c>
      <c r="AB324" s="90" t="s">
        <v>119</v>
      </c>
      <c r="AC324" s="90" t="s">
        <v>119</v>
      </c>
      <c r="AD324" s="90" t="s">
        <v>119</v>
      </c>
      <c r="AE324" s="24">
        <v>0</v>
      </c>
      <c r="AF324" s="90">
        <v>0</v>
      </c>
      <c r="AG324" s="24">
        <v>0</v>
      </c>
      <c r="AH324" s="90">
        <v>88437</v>
      </c>
      <c r="AI324" s="24" t="s">
        <v>102</v>
      </c>
      <c r="AJ324" s="24" t="s">
        <v>103</v>
      </c>
      <c r="AK324" s="90" t="s">
        <v>85</v>
      </c>
      <c r="AL324" s="90">
        <v>201499</v>
      </c>
      <c r="AM324" s="90" t="s">
        <v>81</v>
      </c>
      <c r="AN324" s="90" t="s">
        <v>1041</v>
      </c>
      <c r="AO324" s="125" t="s">
        <v>781</v>
      </c>
      <c r="AP324" s="24" t="s">
        <v>914</v>
      </c>
      <c r="AQ324" s="90" t="s">
        <v>1043</v>
      </c>
      <c r="AR324" s="24" t="s">
        <v>914</v>
      </c>
      <c r="AS324" s="90" t="s">
        <v>119</v>
      </c>
      <c r="AT324" s="24" t="s">
        <v>102</v>
      </c>
      <c r="AU324" s="90" t="s">
        <v>119</v>
      </c>
      <c r="AV324" s="90" t="str">
        <f>IF(ISNUMBER(SEARCH("disagree",AE324)),"N","Y")</f>
        <v>Y</v>
      </c>
      <c r="AW324" s="90" t="s">
        <v>119</v>
      </c>
      <c r="AX324" s="24" t="s">
        <v>119</v>
      </c>
      <c r="AY324" s="90" t="str">
        <f>CONCATENATE(AZ324,BA324,BB324,BC324)</f>
        <v/>
      </c>
      <c r="AZ324" s="90" t="str">
        <f>IF(ISNUMBER(SEARCH("Y",AC324)),"R","")</f>
        <v/>
      </c>
      <c r="BA324" s="90" t="str">
        <f>IF(ISNUMBER(SEARCH("Y",Y324)),"M","")</f>
        <v/>
      </c>
      <c r="BB324" s="90" t="str">
        <f>IF(ISNUMBER(SEARCH("Y",AB324)),"QC","")</f>
        <v/>
      </c>
      <c r="BC324" s="90" t="str">
        <f>IF(ISNUMBER(SEARCH("Y",Z324)),"S","")</f>
        <v/>
      </c>
      <c r="BD324" s="90"/>
      <c r="BE324" s="24" t="s">
        <v>119</v>
      </c>
      <c r="BF324" s="125" t="str">
        <f>IF(AND(AW324&gt;=56543,AW324&lt;=76543,LEN(AW324)&gt;0),"3 Feb 2020",IF(AND(AW324&gt;=66544,AW324&lt;=99999,LEN(AW324)&gt;0),"12 Sep 2020",""))</f>
        <v/>
      </c>
      <c r="BG324" s="125" t="str">
        <f>IF((AND(BF324="3 Feb 2020",LEN(BF324)&gt;0)),"Completed",IF((AND(BF324="12 Sep 2020",LEN(BF324)&gt;0)),"Pending",""))</f>
        <v/>
      </c>
      <c r="BH324" s="90" t="str">
        <f>IF((AND(BF324="3 Feb 2020",LEN(BF324)&gt;0)),"3 Feb 2020","")</f>
        <v/>
      </c>
      <c r="BI324" s="90">
        <v>201499</v>
      </c>
      <c r="BJ324" s="90" t="str">
        <f>L324</f>
        <v>9B18AR86185-73</v>
      </c>
      <c r="BK324" s="127">
        <v>43508</v>
      </c>
      <c r="BL324" s="127">
        <v>44239</v>
      </c>
      <c r="BM324" s="128">
        <f>P324*1.1</f>
        <v>2708620.2</v>
      </c>
      <c r="BN324" s="129">
        <f>P324*0.9</f>
        <v>2216143.8000000003</v>
      </c>
      <c r="BO324" s="130">
        <f>P324*0.8</f>
        <v>1969905.6</v>
      </c>
      <c r="BP324" s="90">
        <f>IF(Z324="Y",BM324*0.4,BM324*1.05)</f>
        <v>2844051.2100000004</v>
      </c>
      <c r="BQ324" s="90">
        <f>BP324*0.8</f>
        <v>2275240.9680000003</v>
      </c>
      <c r="BR324" s="90" t="str">
        <f>IF(ISNUMBER(SEARCH("subrecipient",AI320)),P324*0.6,"")</f>
        <v/>
      </c>
      <c r="BS324" s="90">
        <v>201499</v>
      </c>
      <c r="BT324" s="90" t="str">
        <f>BJ324</f>
        <v>9B18AR86185-73</v>
      </c>
      <c r="BU324" s="127">
        <f>BK324</f>
        <v>43508</v>
      </c>
      <c r="BV324" s="127">
        <f>BL324</f>
        <v>44239</v>
      </c>
      <c r="BW324" s="90" t="str">
        <f>H324</f>
        <v>NIH</v>
      </c>
      <c r="BX324" s="90" t="str">
        <f>IF(H324="NATIONAL HEMOPHILIA FOUNDATION","Non Federal","Federal")</f>
        <v>Federal</v>
      </c>
      <c r="BY324" s="128">
        <f>BM324</f>
        <v>2708620.2</v>
      </c>
      <c r="BZ324" s="90" t="str">
        <f>IF(LEN(BR324)&gt;0,1,"")</f>
        <v/>
      </c>
      <c r="CA324" s="90" t="str">
        <f>IF(LEN(BR324)&gt;0,"VIRAL HEPATITIS PROJECT","")</f>
        <v/>
      </c>
      <c r="CB324" s="129" t="str">
        <f>IF(LEN(BR324)&gt;0,BM324*0.7,"")</f>
        <v/>
      </c>
      <c r="CC324" s="90">
        <f>BP324</f>
        <v>2844051.2100000004</v>
      </c>
      <c r="CD324" s="90" t="str">
        <f>IF(LEN(BR324)&gt;0,"70%","")</f>
        <v/>
      </c>
      <c r="CE324" s="90">
        <f>BS324</f>
        <v>201499</v>
      </c>
      <c r="CF324" s="90" t="str">
        <f>CA324</f>
        <v/>
      </c>
      <c r="CG324" s="90"/>
      <c r="CH324" s="90"/>
      <c r="CI324" s="90"/>
      <c r="CJ324" s="90"/>
      <c r="CK324" s="90"/>
      <c r="CL324" s="90"/>
      <c r="CM324" s="90"/>
      <c r="CN324" s="90"/>
      <c r="CO324" s="90"/>
      <c r="CP324" s="90"/>
      <c r="CQ324" s="90"/>
      <c r="CR324" s="90"/>
      <c r="CS324" s="90"/>
      <c r="CT324" s="137"/>
    </row>
    <row r="325" spans="1:98" ht="90">
      <c r="A325" s="89">
        <v>201667</v>
      </c>
      <c r="B325" s="90">
        <v>2020</v>
      </c>
      <c r="C325" s="90" t="s">
        <v>81</v>
      </c>
      <c r="D325" s="90" t="s">
        <v>1045</v>
      </c>
      <c r="E325" s="125" t="s">
        <v>784</v>
      </c>
      <c r="F325" s="24" t="s">
        <v>1046</v>
      </c>
      <c r="G325" s="90" t="s">
        <v>85</v>
      </c>
      <c r="H325" s="90" t="s">
        <v>132</v>
      </c>
      <c r="I325" s="90">
        <v>93</v>
      </c>
      <c r="J325" s="90">
        <v>157</v>
      </c>
      <c r="K325" s="90" t="s">
        <v>85</v>
      </c>
      <c r="L325" s="90" t="s">
        <v>1047</v>
      </c>
      <c r="M325" s="90" t="s">
        <v>119</v>
      </c>
      <c r="N325" s="24" t="s">
        <v>1048</v>
      </c>
      <c r="O325" s="24" t="str">
        <f>IF(ISNUMBER(SEARCH("Cancer",N325)),"Cancer",IF(ISNUMBER(SEARCH("health",N325)),"Public health",IF(ISNUMBER(SEARCH("disabilities",N325)),"Disabilities","Other")))</f>
        <v>Other</v>
      </c>
      <c r="P325" s="126">
        <v>2744100</v>
      </c>
      <c r="Q325" s="90" t="s">
        <v>85</v>
      </c>
      <c r="R325" s="90" t="str">
        <f>IF(P325&gt;20000000,"B","A")</f>
        <v>A</v>
      </c>
      <c r="S325" s="90" t="s">
        <v>90</v>
      </c>
      <c r="T325" s="90" t="s">
        <v>119</v>
      </c>
      <c r="U325" s="90" t="s">
        <v>119</v>
      </c>
      <c r="V325" s="90" t="s">
        <v>119</v>
      </c>
      <c r="W325" s="90" t="s">
        <v>119</v>
      </c>
      <c r="X325" s="90" t="s">
        <v>119</v>
      </c>
      <c r="Y325" s="90" t="s">
        <v>119</v>
      </c>
      <c r="Z325" s="90" t="s">
        <v>119</v>
      </c>
      <c r="AA325" s="90" t="s">
        <v>119</v>
      </c>
      <c r="AB325" s="90" t="s">
        <v>119</v>
      </c>
      <c r="AC325" s="90" t="s">
        <v>119</v>
      </c>
      <c r="AD325" s="90" t="s">
        <v>119</v>
      </c>
      <c r="AE325" s="24">
        <v>0</v>
      </c>
      <c r="AF325" s="90">
        <v>0</v>
      </c>
      <c r="AG325" s="24">
        <v>0</v>
      </c>
      <c r="AH325" s="90">
        <v>86074</v>
      </c>
      <c r="AI325" s="24" t="s">
        <v>94</v>
      </c>
      <c r="AJ325" s="24" t="s">
        <v>1049</v>
      </c>
      <c r="AK325" s="90" t="s">
        <v>85</v>
      </c>
      <c r="AL325" s="90">
        <v>201667</v>
      </c>
      <c r="AM325" s="90" t="s">
        <v>81</v>
      </c>
      <c r="AN325" s="90" t="s">
        <v>1045</v>
      </c>
      <c r="AO325" s="125" t="s">
        <v>784</v>
      </c>
      <c r="AP325" s="24" t="s">
        <v>1048</v>
      </c>
      <c r="AQ325" s="90" t="s">
        <v>1047</v>
      </c>
      <c r="AR325" s="24" t="s">
        <v>1048</v>
      </c>
      <c r="AS325" s="90" t="s">
        <v>119</v>
      </c>
      <c r="AT325" s="24" t="s">
        <v>94</v>
      </c>
      <c r="AU325" s="90" t="s">
        <v>119</v>
      </c>
      <c r="AV325" s="90" t="str">
        <f>IF(ISNUMBER(SEARCH("disagree",AE325)),"N","Y")</f>
        <v>Y</v>
      </c>
      <c r="AW325" s="90" t="s">
        <v>119</v>
      </c>
      <c r="AX325" s="24" t="s">
        <v>119</v>
      </c>
      <c r="AY325" s="90" t="str">
        <f>CONCATENATE(AZ325,BA325,BB325,BC325)</f>
        <v/>
      </c>
      <c r="AZ325" s="90" t="str">
        <f>IF(ISNUMBER(SEARCH("Y",AC325)),"R","")</f>
        <v/>
      </c>
      <c r="BA325" s="90" t="str">
        <f>IF(ISNUMBER(SEARCH("Y",Y325)),"M","")</f>
        <v/>
      </c>
      <c r="BB325" s="90" t="str">
        <f>IF(ISNUMBER(SEARCH("Y",AB325)),"QC","")</f>
        <v/>
      </c>
      <c r="BC325" s="90" t="str">
        <f>IF(ISNUMBER(SEARCH("Y",Z325)),"S","")</f>
        <v/>
      </c>
      <c r="BD325" s="90"/>
      <c r="BE325" s="24" t="s">
        <v>119</v>
      </c>
      <c r="BF325" s="125" t="str">
        <f>IF(AND(AW325&gt;=56543,AW325&lt;=76543,LEN(AW325)&gt;0),"3 Feb 2020",IF(AND(AW325&gt;=66544,AW325&lt;=99999,LEN(AW325)&gt;0),"12 Sep 2020",""))</f>
        <v/>
      </c>
      <c r="BG325" s="125" t="str">
        <f>IF((AND(BF325="3 Feb 2020",LEN(BF325)&gt;0)),"Completed",IF((AND(BF325="12 Sep 2020",LEN(BF325)&gt;0)),"Pending",""))</f>
        <v/>
      </c>
      <c r="BH325" s="90" t="str">
        <f>IF((AND(BF325="3 Feb 2020",LEN(BF325)&gt;0)),"3 Feb 2020","")</f>
        <v/>
      </c>
      <c r="BI325" s="90">
        <v>201667</v>
      </c>
      <c r="BJ325" s="90" t="str">
        <f>L325</f>
        <v>2C33GS86640-76</v>
      </c>
      <c r="BK325" s="127">
        <v>43508</v>
      </c>
      <c r="BL325" s="127">
        <v>44239</v>
      </c>
      <c r="BM325" s="128">
        <f>P325*1.1</f>
        <v>3018510.0000000005</v>
      </c>
      <c r="BN325" s="129">
        <f>P325*0.9</f>
        <v>2469690</v>
      </c>
      <c r="BO325" s="130">
        <f>P325*0.8</f>
        <v>2195280</v>
      </c>
      <c r="BP325" s="90">
        <f>IF(Z325="Y",BM325*0.4,BM325*1.05)</f>
        <v>3169435.5000000005</v>
      </c>
      <c r="BQ325" s="90">
        <f>BP325*0.8</f>
        <v>2535548.4000000004</v>
      </c>
      <c r="BR325" s="90" t="str">
        <f>IF(ISNUMBER(SEARCH("subrecipient",AI321)),P325*0.6,"")</f>
        <v/>
      </c>
      <c r="BS325" s="90">
        <v>201667</v>
      </c>
      <c r="BT325" s="90" t="str">
        <f>BJ325</f>
        <v>2C33GS86640-76</v>
      </c>
      <c r="BU325" s="127">
        <f>BK325</f>
        <v>43508</v>
      </c>
      <c r="BV325" s="127">
        <f>BL325</f>
        <v>44239</v>
      </c>
      <c r="BW325" s="90" t="str">
        <f>H325</f>
        <v>FDA</v>
      </c>
      <c r="BX325" s="90" t="str">
        <f>IF(H325="NATIONAL HEMOPHILIA FOUNDATION","Non Federal","Federal")</f>
        <v>Federal</v>
      </c>
      <c r="BY325" s="128">
        <f>BM325</f>
        <v>3018510.0000000005</v>
      </c>
      <c r="BZ325" s="90" t="str">
        <f>IF(LEN(BR325)&gt;0,1,"")</f>
        <v/>
      </c>
      <c r="CA325" s="90" t="str">
        <f>IF(LEN(BR325)&gt;0,"VIRAL HEPATITIS PROJECT","")</f>
        <v/>
      </c>
      <c r="CB325" s="129" t="str">
        <f>IF(LEN(BR325)&gt;0,BM325*0.7,"")</f>
        <v/>
      </c>
      <c r="CC325" s="90">
        <f>BP325</f>
        <v>3169435.5000000005</v>
      </c>
      <c r="CD325" s="90" t="str">
        <f>IF(LEN(BR325)&gt;0,"70%","")</f>
        <v/>
      </c>
      <c r="CE325" s="90">
        <f>BS325</f>
        <v>201667</v>
      </c>
      <c r="CF325" s="90" t="str">
        <f>CA325</f>
        <v/>
      </c>
      <c r="CG325" s="90"/>
      <c r="CH325" s="90"/>
      <c r="CI325" s="90"/>
      <c r="CJ325" s="90"/>
      <c r="CK325" s="90"/>
      <c r="CL325" s="90"/>
      <c r="CM325" s="90"/>
      <c r="CN325" s="90"/>
      <c r="CO325" s="90"/>
      <c r="CP325" s="90"/>
      <c r="CQ325" s="90"/>
      <c r="CR325" s="90"/>
      <c r="CS325" s="90"/>
      <c r="CT325" s="137"/>
    </row>
    <row r="326" spans="1:98" ht="90">
      <c r="A326" s="89">
        <v>201667</v>
      </c>
      <c r="B326" s="90">
        <v>2020</v>
      </c>
      <c r="C326" s="90" t="s">
        <v>81</v>
      </c>
      <c r="D326" s="90" t="s">
        <v>1045</v>
      </c>
      <c r="E326" s="125" t="s">
        <v>790</v>
      </c>
      <c r="F326" s="24" t="s">
        <v>1046</v>
      </c>
      <c r="G326" s="90" t="s">
        <v>85</v>
      </c>
      <c r="H326" s="90" t="s">
        <v>132</v>
      </c>
      <c r="I326" s="90">
        <v>93</v>
      </c>
      <c r="J326" s="90">
        <v>157</v>
      </c>
      <c r="K326" s="90" t="s">
        <v>85</v>
      </c>
      <c r="L326" s="90" t="s">
        <v>1047</v>
      </c>
      <c r="M326" s="90" t="s">
        <v>119</v>
      </c>
      <c r="N326" s="24" t="s">
        <v>1048</v>
      </c>
      <c r="O326" s="24" t="str">
        <f>IF(ISNUMBER(SEARCH("Cancer",N326)),"Cancer",IF(ISNUMBER(SEARCH("health",N326)),"Public health",IF(ISNUMBER(SEARCH("disabilities",N326)),"Disabilities","Other")))</f>
        <v>Other</v>
      </c>
      <c r="P326" s="126">
        <v>2744100</v>
      </c>
      <c r="Q326" s="90" t="s">
        <v>85</v>
      </c>
      <c r="R326" s="90" t="str">
        <f>IF(P326&gt;20000000,"B","A")</f>
        <v>A</v>
      </c>
      <c r="S326" s="90" t="s">
        <v>90</v>
      </c>
      <c r="T326" s="90" t="s">
        <v>119</v>
      </c>
      <c r="U326" s="90" t="s">
        <v>119</v>
      </c>
      <c r="V326" s="90" t="s">
        <v>119</v>
      </c>
      <c r="W326" s="90" t="s">
        <v>119</v>
      </c>
      <c r="X326" s="90" t="s">
        <v>119</v>
      </c>
      <c r="Y326" s="90" t="s">
        <v>119</v>
      </c>
      <c r="Z326" s="90" t="s">
        <v>119</v>
      </c>
      <c r="AA326" s="90" t="s">
        <v>119</v>
      </c>
      <c r="AB326" s="90" t="s">
        <v>119</v>
      </c>
      <c r="AC326" s="90" t="s">
        <v>119</v>
      </c>
      <c r="AD326" s="90" t="s">
        <v>119</v>
      </c>
      <c r="AE326" s="24">
        <v>0</v>
      </c>
      <c r="AF326" s="90">
        <v>0</v>
      </c>
      <c r="AG326" s="24">
        <v>0</v>
      </c>
      <c r="AH326" s="90">
        <v>86073</v>
      </c>
      <c r="AI326" s="24" t="s">
        <v>102</v>
      </c>
      <c r="AJ326" s="24" t="s">
        <v>103</v>
      </c>
      <c r="AK326" s="90" t="s">
        <v>85</v>
      </c>
      <c r="AL326" s="90">
        <v>201667</v>
      </c>
      <c r="AM326" s="90" t="s">
        <v>81</v>
      </c>
      <c r="AN326" s="90" t="s">
        <v>1045</v>
      </c>
      <c r="AO326" s="125" t="s">
        <v>790</v>
      </c>
      <c r="AP326" s="24" t="s">
        <v>1048</v>
      </c>
      <c r="AQ326" s="90" t="s">
        <v>1047</v>
      </c>
      <c r="AR326" s="24" t="s">
        <v>1048</v>
      </c>
      <c r="AS326" s="90" t="s">
        <v>119</v>
      </c>
      <c r="AT326" s="24" t="s">
        <v>102</v>
      </c>
      <c r="AU326" s="90" t="s">
        <v>119</v>
      </c>
      <c r="AV326" s="90" t="str">
        <f>IF(ISNUMBER(SEARCH("disagree",AE326)),"N","Y")</f>
        <v>Y</v>
      </c>
      <c r="AW326" s="90" t="s">
        <v>119</v>
      </c>
      <c r="AX326" s="24" t="s">
        <v>119</v>
      </c>
      <c r="AY326" s="90" t="str">
        <f>CONCATENATE(AZ326,BA326,BB326,BC326)</f>
        <v/>
      </c>
      <c r="AZ326" s="90" t="str">
        <f>IF(ISNUMBER(SEARCH("Y",AC326)),"R","")</f>
        <v/>
      </c>
      <c r="BA326" s="90" t="str">
        <f>IF(ISNUMBER(SEARCH("Y",Y326)),"M","")</f>
        <v/>
      </c>
      <c r="BB326" s="90" t="str">
        <f>IF(ISNUMBER(SEARCH("Y",AB326)),"QC","")</f>
        <v/>
      </c>
      <c r="BC326" s="90" t="str">
        <f>IF(ISNUMBER(SEARCH("Y",Z326)),"S","")</f>
        <v/>
      </c>
      <c r="BD326" s="90"/>
      <c r="BE326" s="24" t="s">
        <v>119</v>
      </c>
      <c r="BF326" s="125" t="str">
        <f>IF(AND(AW326&gt;=56543,AW326&lt;=76543,LEN(AW326)&gt;0),"3 Feb 2020",IF(AND(AW326&gt;=66544,AW326&lt;=99999,LEN(AW326)&gt;0),"12 Sep 2020",""))</f>
        <v/>
      </c>
      <c r="BG326" s="125" t="str">
        <f>IF((AND(BF326="3 Feb 2020",LEN(BF326)&gt;0)),"Completed",IF((AND(BF326="12 Sep 2020",LEN(BF326)&gt;0)),"Pending",""))</f>
        <v/>
      </c>
      <c r="BH326" s="90" t="str">
        <f>IF((AND(BF326="3 Feb 2020",LEN(BF326)&gt;0)),"3 Feb 2020","")</f>
        <v/>
      </c>
      <c r="BI326" s="90">
        <v>201667</v>
      </c>
      <c r="BJ326" s="90" t="str">
        <f>L326</f>
        <v>2C33GS86640-76</v>
      </c>
      <c r="BK326" s="127">
        <v>43508</v>
      </c>
      <c r="BL326" s="127">
        <v>44239</v>
      </c>
      <c r="BM326" s="128">
        <f>P326*1.1</f>
        <v>3018510.0000000005</v>
      </c>
      <c r="BN326" s="129">
        <f>P326*0.9</f>
        <v>2469690</v>
      </c>
      <c r="BO326" s="130">
        <f>P326*0.8</f>
        <v>2195280</v>
      </c>
      <c r="BP326" s="90">
        <f>IF(Z326="Y",BM326*0.4,BM326*1.05)</f>
        <v>3169435.5000000005</v>
      </c>
      <c r="BQ326" s="90">
        <f>BP326*0.8</f>
        <v>2535548.4000000004</v>
      </c>
      <c r="BR326" s="90" t="str">
        <f>IF(ISNUMBER(SEARCH("subrecipient",AI322)),P326*0.6,"")</f>
        <v/>
      </c>
      <c r="BS326" s="90">
        <v>201667</v>
      </c>
      <c r="BT326" s="90" t="str">
        <f>BJ326</f>
        <v>2C33GS86640-76</v>
      </c>
      <c r="BU326" s="127">
        <f>BK326</f>
        <v>43508</v>
      </c>
      <c r="BV326" s="127">
        <f>BL326</f>
        <v>44239</v>
      </c>
      <c r="BW326" s="90" t="str">
        <f>H326</f>
        <v>FDA</v>
      </c>
      <c r="BX326" s="90" t="str">
        <f>IF(H326="NATIONAL HEMOPHILIA FOUNDATION","Non Federal","Federal")</f>
        <v>Federal</v>
      </c>
      <c r="BY326" s="128">
        <f>BM326</f>
        <v>3018510.0000000005</v>
      </c>
      <c r="BZ326" s="90" t="str">
        <f>IF(LEN(BR326)&gt;0,1,"")</f>
        <v/>
      </c>
      <c r="CA326" s="90" t="str">
        <f>IF(LEN(BR326)&gt;0,"VIRAL HEPATITIS PROJECT","")</f>
        <v/>
      </c>
      <c r="CB326" s="129" t="str">
        <f>IF(LEN(BR326)&gt;0,BM326*0.7,"")</f>
        <v/>
      </c>
      <c r="CC326" s="90">
        <f>BP326</f>
        <v>3169435.5000000005</v>
      </c>
      <c r="CD326" s="90" t="str">
        <f>IF(LEN(BR326)&gt;0,"70%","")</f>
        <v/>
      </c>
      <c r="CE326" s="90">
        <f>BS326</f>
        <v>201667</v>
      </c>
      <c r="CF326" s="90" t="str">
        <f>CA326</f>
        <v/>
      </c>
      <c r="CG326" s="90"/>
      <c r="CH326" s="90"/>
      <c r="CI326" s="90"/>
      <c r="CJ326" s="90"/>
      <c r="CK326" s="90"/>
      <c r="CL326" s="90"/>
      <c r="CM326" s="90"/>
      <c r="CN326" s="90"/>
      <c r="CO326" s="90"/>
      <c r="CP326" s="90"/>
      <c r="CQ326" s="90"/>
      <c r="CR326" s="90"/>
      <c r="CS326" s="90"/>
      <c r="CT326" s="137"/>
    </row>
    <row r="327" spans="1:98" ht="90">
      <c r="A327" s="89">
        <v>201667</v>
      </c>
      <c r="B327" s="90">
        <v>2020</v>
      </c>
      <c r="C327" s="90" t="s">
        <v>81</v>
      </c>
      <c r="D327" s="90" t="s">
        <v>1045</v>
      </c>
      <c r="E327" s="125" t="s">
        <v>791</v>
      </c>
      <c r="F327" s="24" t="s">
        <v>1046</v>
      </c>
      <c r="G327" s="90" t="s">
        <v>85</v>
      </c>
      <c r="H327" s="90" t="s">
        <v>132</v>
      </c>
      <c r="I327" s="90">
        <v>93</v>
      </c>
      <c r="J327" s="90">
        <v>157</v>
      </c>
      <c r="K327" s="90" t="s">
        <v>85</v>
      </c>
      <c r="L327" s="90" t="s">
        <v>1047</v>
      </c>
      <c r="M327" s="90" t="s">
        <v>119</v>
      </c>
      <c r="N327" s="24" t="s">
        <v>1048</v>
      </c>
      <c r="O327" s="24" t="str">
        <f>IF(ISNUMBER(SEARCH("Cancer",N327)),"Cancer",IF(ISNUMBER(SEARCH("health",N327)),"Public health",IF(ISNUMBER(SEARCH("disabilities",N327)),"Disabilities","Other")))</f>
        <v>Other</v>
      </c>
      <c r="P327" s="126">
        <v>2744100</v>
      </c>
      <c r="Q327" s="90" t="s">
        <v>85</v>
      </c>
      <c r="R327" s="90" t="str">
        <f>IF(P327&gt;20000000,"B","A")</f>
        <v>A</v>
      </c>
      <c r="S327" s="90" t="s">
        <v>90</v>
      </c>
      <c r="T327" s="90" t="s">
        <v>119</v>
      </c>
      <c r="U327" s="90" t="s">
        <v>119</v>
      </c>
      <c r="V327" s="90" t="s">
        <v>119</v>
      </c>
      <c r="W327" s="90" t="s">
        <v>119</v>
      </c>
      <c r="X327" s="90" t="s">
        <v>119</v>
      </c>
      <c r="Y327" s="90" t="s">
        <v>119</v>
      </c>
      <c r="Z327" s="90" t="s">
        <v>119</v>
      </c>
      <c r="AA327" s="90" t="s">
        <v>119</v>
      </c>
      <c r="AB327" s="90" t="s">
        <v>119</v>
      </c>
      <c r="AC327" s="90" t="s">
        <v>119</v>
      </c>
      <c r="AD327" s="90" t="s">
        <v>119</v>
      </c>
      <c r="AE327" s="24">
        <v>0</v>
      </c>
      <c r="AF327" s="90">
        <v>0</v>
      </c>
      <c r="AG327" s="24">
        <v>0</v>
      </c>
      <c r="AH327" s="90">
        <v>86072</v>
      </c>
      <c r="AI327" s="24" t="s">
        <v>110</v>
      </c>
      <c r="AJ327" s="24" t="s">
        <v>1050</v>
      </c>
      <c r="AK327" s="90" t="s">
        <v>85</v>
      </c>
      <c r="AL327" s="90">
        <v>201667</v>
      </c>
      <c r="AM327" s="90" t="s">
        <v>81</v>
      </c>
      <c r="AN327" s="90" t="s">
        <v>1045</v>
      </c>
      <c r="AO327" s="125" t="s">
        <v>791</v>
      </c>
      <c r="AP327" s="24" t="s">
        <v>1048</v>
      </c>
      <c r="AQ327" s="90" t="s">
        <v>1047</v>
      </c>
      <c r="AR327" s="24" t="s">
        <v>1048</v>
      </c>
      <c r="AS327" s="90" t="s">
        <v>119</v>
      </c>
      <c r="AT327" s="24" t="s">
        <v>110</v>
      </c>
      <c r="AU327" s="90" t="s">
        <v>119</v>
      </c>
      <c r="AV327" s="90" t="str">
        <f>IF(ISNUMBER(SEARCH("disagree",AE327)),"N","Y")</f>
        <v>Y</v>
      </c>
      <c r="AW327" s="90" t="s">
        <v>119</v>
      </c>
      <c r="AX327" s="24" t="s">
        <v>119</v>
      </c>
      <c r="AY327" s="90" t="str">
        <f>CONCATENATE(AZ327,BA327,BB327,BC327)</f>
        <v/>
      </c>
      <c r="AZ327" s="90" t="str">
        <f>IF(ISNUMBER(SEARCH("Y",AC327)),"R","")</f>
        <v/>
      </c>
      <c r="BA327" s="90" t="str">
        <f>IF(ISNUMBER(SEARCH("Y",Y327)),"M","")</f>
        <v/>
      </c>
      <c r="BB327" s="90" t="str">
        <f>IF(ISNUMBER(SEARCH("Y",AB327)),"QC","")</f>
        <v/>
      </c>
      <c r="BC327" s="90" t="str">
        <f>IF(ISNUMBER(SEARCH("Y",Z327)),"S","")</f>
        <v/>
      </c>
      <c r="BD327" s="90"/>
      <c r="BE327" s="24" t="s">
        <v>119</v>
      </c>
      <c r="BF327" s="125" t="str">
        <f>IF(AND(AW327&gt;=56543,AW327&lt;=76543,LEN(AW327)&gt;0),"3 Feb 2020",IF(AND(AW327&gt;=66544,AW327&lt;=99999,LEN(AW327)&gt;0),"12 Sep 2020",""))</f>
        <v/>
      </c>
      <c r="BG327" s="125" t="str">
        <f>IF((AND(BF327="3 Feb 2020",LEN(BF327)&gt;0)),"Completed",IF((AND(BF327="12 Sep 2020",LEN(BF327)&gt;0)),"Pending",""))</f>
        <v/>
      </c>
      <c r="BH327" s="90" t="str">
        <f>IF((AND(BF327="3 Feb 2020",LEN(BF327)&gt;0)),"3 Feb 2020","")</f>
        <v/>
      </c>
      <c r="BI327" s="90">
        <v>201667</v>
      </c>
      <c r="BJ327" s="90" t="str">
        <f>L327</f>
        <v>2C33GS86640-76</v>
      </c>
      <c r="BK327" s="127">
        <v>43508</v>
      </c>
      <c r="BL327" s="127">
        <v>44239</v>
      </c>
      <c r="BM327" s="128">
        <f>P327*1.1</f>
        <v>3018510.0000000005</v>
      </c>
      <c r="BN327" s="129">
        <f>P327*0.9</f>
        <v>2469690</v>
      </c>
      <c r="BO327" s="130">
        <f>P327*0.8</f>
        <v>2195280</v>
      </c>
      <c r="BP327" s="90">
        <f>IF(Z327="Y",BM327*0.4,BM327*1.05)</f>
        <v>3169435.5000000005</v>
      </c>
      <c r="BQ327" s="90">
        <f>BP327*0.8</f>
        <v>2535548.4000000004</v>
      </c>
      <c r="BR327" s="90" t="str">
        <f>IF(ISNUMBER(SEARCH("subrecipient",AI323)),P327*0.6,"")</f>
        <v/>
      </c>
      <c r="BS327" s="90">
        <v>201667</v>
      </c>
      <c r="BT327" s="90" t="str">
        <f>BJ327</f>
        <v>2C33GS86640-76</v>
      </c>
      <c r="BU327" s="127">
        <f>BK327</f>
        <v>43508</v>
      </c>
      <c r="BV327" s="127">
        <f>BL327</f>
        <v>44239</v>
      </c>
      <c r="BW327" s="90" t="str">
        <f>H327</f>
        <v>FDA</v>
      </c>
      <c r="BX327" s="90" t="str">
        <f>IF(H327="NATIONAL HEMOPHILIA FOUNDATION","Non Federal","Federal")</f>
        <v>Federal</v>
      </c>
      <c r="BY327" s="128">
        <f>BM327</f>
        <v>3018510.0000000005</v>
      </c>
      <c r="BZ327" s="90" t="str">
        <f>IF(LEN(BR327)&gt;0,1,"")</f>
        <v/>
      </c>
      <c r="CA327" s="90" t="str">
        <f>IF(LEN(BR327)&gt;0,"VIRAL HEPATITIS PROJECT","")</f>
        <v/>
      </c>
      <c r="CB327" s="129" t="str">
        <f>IF(LEN(BR327)&gt;0,BM327*0.7,"")</f>
        <v/>
      </c>
      <c r="CC327" s="90">
        <f>BP327</f>
        <v>3169435.5000000005</v>
      </c>
      <c r="CD327" s="90" t="str">
        <f>IF(LEN(BR327)&gt;0,"70%","")</f>
        <v/>
      </c>
      <c r="CE327" s="90">
        <f>BS327</f>
        <v>201667</v>
      </c>
      <c r="CF327" s="90" t="str">
        <f>CA327</f>
        <v/>
      </c>
      <c r="CG327" s="90"/>
      <c r="CH327" s="90"/>
      <c r="CI327" s="90"/>
      <c r="CJ327" s="90"/>
      <c r="CK327" s="90"/>
      <c r="CL327" s="90"/>
      <c r="CM327" s="90"/>
      <c r="CN327" s="90"/>
      <c r="CO327" s="90"/>
      <c r="CP327" s="90"/>
      <c r="CQ327" s="90"/>
      <c r="CR327" s="90"/>
      <c r="CS327" s="90"/>
      <c r="CT327" s="137"/>
    </row>
    <row r="328" spans="1:98" ht="150">
      <c r="A328" s="89">
        <v>202866</v>
      </c>
      <c r="B328" s="90">
        <v>2020</v>
      </c>
      <c r="C328" s="90" t="s">
        <v>81</v>
      </c>
      <c r="D328" s="90" t="s">
        <v>1051</v>
      </c>
      <c r="E328" s="125" t="s">
        <v>793</v>
      </c>
      <c r="F328" s="24" t="s">
        <v>1052</v>
      </c>
      <c r="G328" s="90" t="s">
        <v>85</v>
      </c>
      <c r="H328" s="90" t="s">
        <v>150</v>
      </c>
      <c r="I328" s="90">
        <v>93</v>
      </c>
      <c r="J328" s="90">
        <v>157</v>
      </c>
      <c r="K328" s="90" t="s">
        <v>85</v>
      </c>
      <c r="L328" s="90" t="s">
        <v>1053</v>
      </c>
      <c r="M328" s="90" t="s">
        <v>119</v>
      </c>
      <c r="N328" s="24" t="s">
        <v>1054</v>
      </c>
      <c r="O328" s="24" t="str">
        <f>IF(ISNUMBER(SEARCH("Cancer",N328)),"Cancer",IF(ISNUMBER(SEARCH("health",N328)),"Public health",IF(ISNUMBER(SEARCH("disabilities",N328)),"Disabilities","Other")))</f>
        <v>Other</v>
      </c>
      <c r="P328" s="126">
        <v>2507292</v>
      </c>
      <c r="Q328" s="90" t="s">
        <v>85</v>
      </c>
      <c r="R328" s="90" t="str">
        <f>IF(P328&gt;20000000,"B","A")</f>
        <v>A</v>
      </c>
      <c r="S328" s="90" t="s">
        <v>90</v>
      </c>
      <c r="T328" s="90" t="s">
        <v>119</v>
      </c>
      <c r="U328" s="90" t="s">
        <v>119</v>
      </c>
      <c r="V328" s="90" t="s">
        <v>119</v>
      </c>
      <c r="W328" s="90" t="s">
        <v>119</v>
      </c>
      <c r="X328" s="90" t="s">
        <v>119</v>
      </c>
      <c r="Y328" s="90" t="s">
        <v>119</v>
      </c>
      <c r="Z328" s="90" t="s">
        <v>119</v>
      </c>
      <c r="AA328" s="90" t="s">
        <v>119</v>
      </c>
      <c r="AB328" s="90" t="s">
        <v>119</v>
      </c>
      <c r="AC328" s="90" t="s">
        <v>119</v>
      </c>
      <c r="AD328" s="90" t="s">
        <v>119</v>
      </c>
      <c r="AE328" s="24">
        <v>0</v>
      </c>
      <c r="AF328" s="90">
        <v>0</v>
      </c>
      <c r="AG328" s="24">
        <v>0</v>
      </c>
      <c r="AH328" s="90">
        <v>86840</v>
      </c>
      <c r="AI328" s="24" t="s">
        <v>94</v>
      </c>
      <c r="AJ328" s="24" t="s">
        <v>1055</v>
      </c>
      <c r="AK328" s="90" t="s">
        <v>85</v>
      </c>
      <c r="AL328" s="90">
        <v>202866</v>
      </c>
      <c r="AM328" s="90" t="s">
        <v>81</v>
      </c>
      <c r="AN328" s="90" t="s">
        <v>1051</v>
      </c>
      <c r="AO328" s="125" t="s">
        <v>793</v>
      </c>
      <c r="AP328" s="24" t="s">
        <v>1054</v>
      </c>
      <c r="AQ328" s="90" t="s">
        <v>1053</v>
      </c>
      <c r="AR328" s="24" t="s">
        <v>1054</v>
      </c>
      <c r="AS328" s="90" t="s">
        <v>119</v>
      </c>
      <c r="AT328" s="24" t="s">
        <v>94</v>
      </c>
      <c r="AU328" s="90" t="s">
        <v>119</v>
      </c>
      <c r="AV328" s="90" t="str">
        <f>IF(ISNUMBER(SEARCH("disagree",AE328)),"N","Y")</f>
        <v>Y</v>
      </c>
      <c r="AW328" s="90" t="s">
        <v>119</v>
      </c>
      <c r="AX328" s="24" t="s">
        <v>119</v>
      </c>
      <c r="AY328" s="90" t="str">
        <f>CONCATENATE(AZ328,BA328,BB328,BC328)</f>
        <v/>
      </c>
      <c r="AZ328" s="90" t="str">
        <f>IF(ISNUMBER(SEARCH("Y",AC328)),"R","")</f>
        <v/>
      </c>
      <c r="BA328" s="90" t="str">
        <f>IF(ISNUMBER(SEARCH("Y",Y328)),"M","")</f>
        <v/>
      </c>
      <c r="BB328" s="90" t="str">
        <f>IF(ISNUMBER(SEARCH("Y",AB328)),"QC","")</f>
        <v/>
      </c>
      <c r="BC328" s="90" t="str">
        <f>IF(ISNUMBER(SEARCH("Y",Z328)),"S","")</f>
        <v/>
      </c>
      <c r="BD328" s="90"/>
      <c r="BE328" s="24" t="s">
        <v>119</v>
      </c>
      <c r="BF328" s="125" t="str">
        <f>IF(AND(AW328&gt;=56543,AW328&lt;=76543,LEN(AW328)&gt;0),"3 Feb 2020",IF(AND(AW328&gt;=66544,AW328&lt;=99999,LEN(AW328)&gt;0),"12 Sep 2020",""))</f>
        <v/>
      </c>
      <c r="BG328" s="125" t="str">
        <f>IF((AND(BF328="3 Feb 2020",LEN(BF328)&gt;0)),"Completed",IF((AND(BF328="12 Sep 2020",LEN(BF328)&gt;0)),"Pending",""))</f>
        <v/>
      </c>
      <c r="BH328" s="90" t="str">
        <f>IF((AND(BF328="3 Feb 2020",LEN(BF328)&gt;0)),"3 Feb 2020","")</f>
        <v/>
      </c>
      <c r="BI328" s="90">
        <v>202866</v>
      </c>
      <c r="BJ328" s="90" t="str">
        <f>L328</f>
        <v>7B90CR86641-30</v>
      </c>
      <c r="BK328" s="127">
        <v>43508</v>
      </c>
      <c r="BL328" s="127">
        <v>44239</v>
      </c>
      <c r="BM328" s="128">
        <f>P328*1.1</f>
        <v>2758021.2</v>
      </c>
      <c r="BN328" s="129">
        <f>P328*0.9</f>
        <v>2256562.8000000003</v>
      </c>
      <c r="BO328" s="130">
        <f>P328*0.8</f>
        <v>2005833.6</v>
      </c>
      <c r="BP328" s="90">
        <f>IF(Z328="Y",BM328*0.4,BM328*1.05)</f>
        <v>2895922.2600000002</v>
      </c>
      <c r="BQ328" s="90">
        <f>BP328*0.8</f>
        <v>2316737.8080000002</v>
      </c>
      <c r="BR328" s="90" t="str">
        <f>IF(ISNUMBER(SEARCH("subrecipient",AI324)),P328*0.6,"")</f>
        <v/>
      </c>
      <c r="BS328" s="90">
        <v>202866</v>
      </c>
      <c r="BT328" s="90" t="str">
        <f>BJ328</f>
        <v>7B90CR86641-30</v>
      </c>
      <c r="BU328" s="127">
        <f>BK328</f>
        <v>43508</v>
      </c>
      <c r="BV328" s="127">
        <f>BL328</f>
        <v>44239</v>
      </c>
      <c r="BW328" s="90" t="str">
        <f>H328</f>
        <v>ACF</v>
      </c>
      <c r="BX328" s="90" t="str">
        <f>IF(H328="NATIONAL HEMOPHILIA FOUNDATION","Non Federal","Federal")</f>
        <v>Federal</v>
      </c>
      <c r="BY328" s="128">
        <f>BM328</f>
        <v>2758021.2</v>
      </c>
      <c r="BZ328" s="90" t="str">
        <f>IF(LEN(BR328)&gt;0,1,"")</f>
        <v/>
      </c>
      <c r="CA328" s="90" t="str">
        <f>IF(LEN(BR328)&gt;0,"VIRAL HEPATITIS PROJECT","")</f>
        <v/>
      </c>
      <c r="CB328" s="129" t="str">
        <f>IF(LEN(BR328)&gt;0,BM328*0.7,"")</f>
        <v/>
      </c>
      <c r="CC328" s="90">
        <f>BP328</f>
        <v>2895922.2600000002</v>
      </c>
      <c r="CD328" s="90" t="str">
        <f>IF(LEN(BR328)&gt;0,"70%","")</f>
        <v/>
      </c>
      <c r="CE328" s="90">
        <f>BS328</f>
        <v>202866</v>
      </c>
      <c r="CF328" s="90" t="str">
        <f>CA328</f>
        <v/>
      </c>
      <c r="CG328" s="90"/>
      <c r="CH328" s="90"/>
      <c r="CI328" s="90"/>
      <c r="CJ328" s="90"/>
      <c r="CK328" s="90"/>
      <c r="CL328" s="90"/>
      <c r="CM328" s="90"/>
      <c r="CN328" s="90"/>
      <c r="CO328" s="90"/>
      <c r="CP328" s="90"/>
      <c r="CQ328" s="90"/>
      <c r="CR328" s="90"/>
      <c r="CS328" s="90"/>
      <c r="CT328" s="137"/>
    </row>
    <row r="329" spans="1:98" ht="150">
      <c r="A329" s="89">
        <v>202866</v>
      </c>
      <c r="B329" s="90">
        <v>2020</v>
      </c>
      <c r="C329" s="90" t="s">
        <v>81</v>
      </c>
      <c r="D329" s="90" t="s">
        <v>1051</v>
      </c>
      <c r="E329" s="125" t="s">
        <v>780</v>
      </c>
      <c r="F329" s="24" t="s">
        <v>1052</v>
      </c>
      <c r="G329" s="90" t="s">
        <v>85</v>
      </c>
      <c r="H329" s="90" t="s">
        <v>150</v>
      </c>
      <c r="I329" s="90">
        <v>93</v>
      </c>
      <c r="J329" s="90">
        <v>157</v>
      </c>
      <c r="K329" s="90" t="s">
        <v>85</v>
      </c>
      <c r="L329" s="90" t="s">
        <v>1053</v>
      </c>
      <c r="M329" s="90" t="s">
        <v>119</v>
      </c>
      <c r="N329" s="24" t="s">
        <v>1054</v>
      </c>
      <c r="O329" s="24" t="str">
        <f>IF(ISNUMBER(SEARCH("Cancer",N329)),"Cancer",IF(ISNUMBER(SEARCH("health",N329)),"Public health",IF(ISNUMBER(SEARCH("disabilities",N329)),"Disabilities","Other")))</f>
        <v>Other</v>
      </c>
      <c r="P329" s="126">
        <v>2507292</v>
      </c>
      <c r="Q329" s="90" t="s">
        <v>85</v>
      </c>
      <c r="R329" s="90" t="str">
        <f>IF(P329&gt;20000000,"B","A")</f>
        <v>A</v>
      </c>
      <c r="S329" s="90" t="s">
        <v>90</v>
      </c>
      <c r="T329" s="90" t="s">
        <v>119</v>
      </c>
      <c r="U329" s="90" t="s">
        <v>119</v>
      </c>
      <c r="V329" s="90" t="s">
        <v>119</v>
      </c>
      <c r="W329" s="90" t="s">
        <v>119</v>
      </c>
      <c r="X329" s="90" t="s">
        <v>119</v>
      </c>
      <c r="Y329" s="90" t="s">
        <v>119</v>
      </c>
      <c r="Z329" s="90" t="s">
        <v>119</v>
      </c>
      <c r="AA329" s="90" t="s">
        <v>119</v>
      </c>
      <c r="AB329" s="90" t="s">
        <v>119</v>
      </c>
      <c r="AC329" s="90" t="s">
        <v>119</v>
      </c>
      <c r="AD329" s="90" t="s">
        <v>119</v>
      </c>
      <c r="AE329" s="24">
        <v>0</v>
      </c>
      <c r="AF329" s="90">
        <v>0</v>
      </c>
      <c r="AG329" s="24">
        <v>0</v>
      </c>
      <c r="AH329" s="90">
        <v>86839</v>
      </c>
      <c r="AI329" s="24" t="s">
        <v>102</v>
      </c>
      <c r="AJ329" s="24" t="s">
        <v>103</v>
      </c>
      <c r="AK329" s="90" t="s">
        <v>85</v>
      </c>
      <c r="AL329" s="90">
        <v>202866</v>
      </c>
      <c r="AM329" s="90" t="s">
        <v>81</v>
      </c>
      <c r="AN329" s="90" t="s">
        <v>1051</v>
      </c>
      <c r="AO329" s="125" t="s">
        <v>780</v>
      </c>
      <c r="AP329" s="24" t="s">
        <v>1054</v>
      </c>
      <c r="AQ329" s="90" t="s">
        <v>1053</v>
      </c>
      <c r="AR329" s="24" t="s">
        <v>1054</v>
      </c>
      <c r="AS329" s="90" t="s">
        <v>119</v>
      </c>
      <c r="AT329" s="24" t="s">
        <v>102</v>
      </c>
      <c r="AU329" s="90" t="s">
        <v>119</v>
      </c>
      <c r="AV329" s="90" t="str">
        <f>IF(ISNUMBER(SEARCH("disagree",AE329)),"N","Y")</f>
        <v>Y</v>
      </c>
      <c r="AW329" s="90" t="s">
        <v>119</v>
      </c>
      <c r="AX329" s="24" t="s">
        <v>119</v>
      </c>
      <c r="AY329" s="90" t="str">
        <f>CONCATENATE(AZ329,BA329,BB329,BC329)</f>
        <v/>
      </c>
      <c r="AZ329" s="90" t="str">
        <f>IF(ISNUMBER(SEARCH("Y",AC329)),"R","")</f>
        <v/>
      </c>
      <c r="BA329" s="90" t="str">
        <f>IF(ISNUMBER(SEARCH("Y",Y329)),"M","")</f>
        <v/>
      </c>
      <c r="BB329" s="90" t="str">
        <f>IF(ISNUMBER(SEARCH("Y",AB329)),"QC","")</f>
        <v/>
      </c>
      <c r="BC329" s="90" t="str">
        <f>IF(ISNUMBER(SEARCH("Y",Z329)),"S","")</f>
        <v/>
      </c>
      <c r="BD329" s="90"/>
      <c r="BE329" s="24" t="s">
        <v>119</v>
      </c>
      <c r="BF329" s="125" t="str">
        <f>IF(AND(AW329&gt;=56543,AW329&lt;=76543,LEN(AW329)&gt;0),"3 Feb 2020",IF(AND(AW329&gt;=66544,AW329&lt;=99999,LEN(AW329)&gt;0),"12 Sep 2020",""))</f>
        <v/>
      </c>
      <c r="BG329" s="125" t="str">
        <f>IF((AND(BF329="3 Feb 2020",LEN(BF329)&gt;0)),"Completed",IF((AND(BF329="12 Sep 2020",LEN(BF329)&gt;0)),"Pending",""))</f>
        <v/>
      </c>
      <c r="BH329" s="90" t="str">
        <f>IF((AND(BF329="3 Feb 2020",LEN(BF329)&gt;0)),"3 Feb 2020","")</f>
        <v/>
      </c>
      <c r="BI329" s="90">
        <v>202866</v>
      </c>
      <c r="BJ329" s="90" t="str">
        <f>L329</f>
        <v>7B90CR86641-30</v>
      </c>
      <c r="BK329" s="127">
        <v>43508</v>
      </c>
      <c r="BL329" s="127">
        <v>44239</v>
      </c>
      <c r="BM329" s="128">
        <f>P329*1.1</f>
        <v>2758021.2</v>
      </c>
      <c r="BN329" s="129">
        <f>P329*0.9</f>
        <v>2256562.8000000003</v>
      </c>
      <c r="BO329" s="130">
        <f>P329*0.8</f>
        <v>2005833.6</v>
      </c>
      <c r="BP329" s="90">
        <f>IF(Z329="Y",BM329*0.4,BM329*1.05)</f>
        <v>2895922.2600000002</v>
      </c>
      <c r="BQ329" s="90">
        <f>BP329*0.8</f>
        <v>2316737.8080000002</v>
      </c>
      <c r="BR329" s="90" t="str">
        <f>IF(ISNUMBER(SEARCH("subrecipient",AI325)),P329*0.6,"")</f>
        <v/>
      </c>
      <c r="BS329" s="90">
        <v>202866</v>
      </c>
      <c r="BT329" s="90" t="str">
        <f>BJ329</f>
        <v>7B90CR86641-30</v>
      </c>
      <c r="BU329" s="127">
        <f>BK329</f>
        <v>43508</v>
      </c>
      <c r="BV329" s="127">
        <f>BL329</f>
        <v>44239</v>
      </c>
      <c r="BW329" s="90" t="str">
        <f>H329</f>
        <v>ACF</v>
      </c>
      <c r="BX329" s="90" t="str">
        <f>IF(H329="NATIONAL HEMOPHILIA FOUNDATION","Non Federal","Federal")</f>
        <v>Federal</v>
      </c>
      <c r="BY329" s="128">
        <f>BM329</f>
        <v>2758021.2</v>
      </c>
      <c r="BZ329" s="90" t="str">
        <f>IF(LEN(BR329)&gt;0,1,"")</f>
        <v/>
      </c>
      <c r="CA329" s="90" t="str">
        <f>IF(LEN(BR329)&gt;0,"VIRAL HEPATITIS PROJECT","")</f>
        <v/>
      </c>
      <c r="CB329" s="129" t="str">
        <f>IF(LEN(BR329)&gt;0,BM329*0.7,"")</f>
        <v/>
      </c>
      <c r="CC329" s="90">
        <f>BP329</f>
        <v>2895922.2600000002</v>
      </c>
      <c r="CD329" s="90" t="str">
        <f>IF(LEN(BR329)&gt;0,"70%","")</f>
        <v/>
      </c>
      <c r="CE329" s="90">
        <f>BS329</f>
        <v>202866</v>
      </c>
      <c r="CF329" s="90" t="str">
        <f>CA329</f>
        <v/>
      </c>
      <c r="CG329" s="90"/>
      <c r="CH329" s="90"/>
      <c r="CI329" s="90"/>
      <c r="CJ329" s="90"/>
      <c r="CK329" s="90"/>
      <c r="CL329" s="90"/>
      <c r="CM329" s="90"/>
      <c r="CN329" s="90"/>
      <c r="CO329" s="90"/>
      <c r="CP329" s="90"/>
      <c r="CQ329" s="90"/>
      <c r="CR329" s="90"/>
      <c r="CS329" s="90"/>
      <c r="CT329" s="137"/>
    </row>
    <row r="330" spans="1:98" ht="150">
      <c r="A330" s="89">
        <v>202866</v>
      </c>
      <c r="B330" s="90">
        <v>2020</v>
      </c>
      <c r="C330" s="90" t="s">
        <v>81</v>
      </c>
      <c r="D330" s="90" t="s">
        <v>1051</v>
      </c>
      <c r="E330" s="125" t="s">
        <v>781</v>
      </c>
      <c r="F330" s="24" t="s">
        <v>1052</v>
      </c>
      <c r="G330" s="90" t="s">
        <v>85</v>
      </c>
      <c r="H330" s="90" t="s">
        <v>150</v>
      </c>
      <c r="I330" s="90">
        <v>93</v>
      </c>
      <c r="J330" s="90">
        <v>157</v>
      </c>
      <c r="K330" s="90" t="s">
        <v>85</v>
      </c>
      <c r="L330" s="90" t="s">
        <v>1053</v>
      </c>
      <c r="M330" s="90" t="s">
        <v>119</v>
      </c>
      <c r="N330" s="24" t="s">
        <v>1054</v>
      </c>
      <c r="O330" s="24" t="str">
        <f>IF(ISNUMBER(SEARCH("Cancer",N330)),"Cancer",IF(ISNUMBER(SEARCH("health",N330)),"Public health",IF(ISNUMBER(SEARCH("disabilities",N330)),"Disabilities","Other")))</f>
        <v>Other</v>
      </c>
      <c r="P330" s="126">
        <v>2507292</v>
      </c>
      <c r="Q330" s="90" t="s">
        <v>85</v>
      </c>
      <c r="R330" s="90" t="str">
        <f>IF(P330&gt;20000000,"B","A")</f>
        <v>A</v>
      </c>
      <c r="S330" s="90" t="s">
        <v>90</v>
      </c>
      <c r="T330" s="90" t="s">
        <v>119</v>
      </c>
      <c r="U330" s="90" t="s">
        <v>119</v>
      </c>
      <c r="V330" s="90" t="s">
        <v>119</v>
      </c>
      <c r="W330" s="90" t="s">
        <v>119</v>
      </c>
      <c r="X330" s="90" t="s">
        <v>119</v>
      </c>
      <c r="Y330" s="90" t="s">
        <v>119</v>
      </c>
      <c r="Z330" s="90" t="s">
        <v>119</v>
      </c>
      <c r="AA330" s="90" t="s">
        <v>119</v>
      </c>
      <c r="AB330" s="90" t="s">
        <v>119</v>
      </c>
      <c r="AC330" s="90" t="s">
        <v>119</v>
      </c>
      <c r="AD330" s="90" t="s">
        <v>119</v>
      </c>
      <c r="AE330" s="24">
        <v>0</v>
      </c>
      <c r="AF330" s="90">
        <v>0</v>
      </c>
      <c r="AG330" s="24">
        <v>0</v>
      </c>
      <c r="AH330" s="90">
        <v>86838</v>
      </c>
      <c r="AI330" s="24" t="s">
        <v>110</v>
      </c>
      <c r="AJ330" s="24" t="s">
        <v>1056</v>
      </c>
      <c r="AK330" s="90" t="s">
        <v>85</v>
      </c>
      <c r="AL330" s="90">
        <v>202866</v>
      </c>
      <c r="AM330" s="90" t="s">
        <v>81</v>
      </c>
      <c r="AN330" s="90" t="s">
        <v>1051</v>
      </c>
      <c r="AO330" s="125" t="s">
        <v>781</v>
      </c>
      <c r="AP330" s="24" t="s">
        <v>1054</v>
      </c>
      <c r="AQ330" s="90" t="s">
        <v>1053</v>
      </c>
      <c r="AR330" s="24" t="s">
        <v>1054</v>
      </c>
      <c r="AS330" s="90" t="s">
        <v>119</v>
      </c>
      <c r="AT330" s="24" t="s">
        <v>110</v>
      </c>
      <c r="AU330" s="90" t="s">
        <v>119</v>
      </c>
      <c r="AV330" s="90" t="str">
        <f>IF(ISNUMBER(SEARCH("disagree",AE330)),"N","Y")</f>
        <v>Y</v>
      </c>
      <c r="AW330" s="90" t="s">
        <v>119</v>
      </c>
      <c r="AX330" s="24" t="s">
        <v>119</v>
      </c>
      <c r="AY330" s="90" t="str">
        <f>CONCATENATE(AZ330,BA330,BB330,BC330)</f>
        <v/>
      </c>
      <c r="AZ330" s="90" t="str">
        <f>IF(ISNUMBER(SEARCH("Y",AC330)),"R","")</f>
        <v/>
      </c>
      <c r="BA330" s="90" t="str">
        <f>IF(ISNUMBER(SEARCH("Y",Y330)),"M","")</f>
        <v/>
      </c>
      <c r="BB330" s="90" t="str">
        <f>IF(ISNUMBER(SEARCH("Y",AB330)),"QC","")</f>
        <v/>
      </c>
      <c r="BC330" s="90" t="str">
        <f>IF(ISNUMBER(SEARCH("Y",Z330)),"S","")</f>
        <v/>
      </c>
      <c r="BD330" s="90"/>
      <c r="BE330" s="24" t="s">
        <v>119</v>
      </c>
      <c r="BF330" s="125" t="str">
        <f>IF(AND(AW330&gt;=56543,AW330&lt;=76543,LEN(AW330)&gt;0),"3 Feb 2020",IF(AND(AW330&gt;=66544,AW330&lt;=99999,LEN(AW330)&gt;0),"12 Sep 2020",""))</f>
        <v/>
      </c>
      <c r="BG330" s="125" t="str">
        <f>IF((AND(BF330="3 Feb 2020",LEN(BF330)&gt;0)),"Completed",IF((AND(BF330="12 Sep 2020",LEN(BF330)&gt;0)),"Pending",""))</f>
        <v/>
      </c>
      <c r="BH330" s="90" t="str">
        <f>IF((AND(BF330="3 Feb 2020",LEN(BF330)&gt;0)),"3 Feb 2020","")</f>
        <v/>
      </c>
      <c r="BI330" s="90">
        <v>202866</v>
      </c>
      <c r="BJ330" s="90" t="str">
        <f>L330</f>
        <v>7B90CR86641-30</v>
      </c>
      <c r="BK330" s="127">
        <v>43508</v>
      </c>
      <c r="BL330" s="127">
        <v>44239</v>
      </c>
      <c r="BM330" s="128">
        <f>P330*1.1</f>
        <v>2758021.2</v>
      </c>
      <c r="BN330" s="129">
        <f>P330*0.9</f>
        <v>2256562.8000000003</v>
      </c>
      <c r="BO330" s="130">
        <f>P330*0.8</f>
        <v>2005833.6</v>
      </c>
      <c r="BP330" s="90">
        <f>IF(Z330="Y",BM330*0.4,BM330*1.05)</f>
        <v>2895922.2600000002</v>
      </c>
      <c r="BQ330" s="90">
        <f>BP330*0.8</f>
        <v>2316737.8080000002</v>
      </c>
      <c r="BR330" s="90" t="str">
        <f>IF(ISNUMBER(SEARCH("subrecipient",AI326)),P330*0.6,"")</f>
        <v/>
      </c>
      <c r="BS330" s="90">
        <v>202866</v>
      </c>
      <c r="BT330" s="90" t="str">
        <f>BJ330</f>
        <v>7B90CR86641-30</v>
      </c>
      <c r="BU330" s="127">
        <f>BK330</f>
        <v>43508</v>
      </c>
      <c r="BV330" s="127">
        <f>BL330</f>
        <v>44239</v>
      </c>
      <c r="BW330" s="90" t="str">
        <f>H330</f>
        <v>ACF</v>
      </c>
      <c r="BX330" s="90" t="str">
        <f>IF(H330="NATIONAL HEMOPHILIA FOUNDATION","Non Federal","Federal")</f>
        <v>Federal</v>
      </c>
      <c r="BY330" s="128">
        <f>BM330</f>
        <v>2758021.2</v>
      </c>
      <c r="BZ330" s="90" t="str">
        <f>IF(LEN(BR330)&gt;0,1,"")</f>
        <v/>
      </c>
      <c r="CA330" s="90" t="str">
        <f>IF(LEN(BR330)&gt;0,"VIRAL HEPATITIS PROJECT","")</f>
        <v/>
      </c>
      <c r="CB330" s="129" t="str">
        <f>IF(LEN(BR330)&gt;0,BM330*0.7,"")</f>
        <v/>
      </c>
      <c r="CC330" s="90">
        <f>BP330</f>
        <v>2895922.2600000002</v>
      </c>
      <c r="CD330" s="90" t="str">
        <f>IF(LEN(BR330)&gt;0,"70%","")</f>
        <v/>
      </c>
      <c r="CE330" s="90">
        <f>BS330</f>
        <v>202866</v>
      </c>
      <c r="CF330" s="90" t="str">
        <f>CA330</f>
        <v/>
      </c>
      <c r="CG330" s="90"/>
      <c r="CH330" s="90"/>
      <c r="CI330" s="90"/>
      <c r="CJ330" s="90"/>
      <c r="CK330" s="90"/>
      <c r="CL330" s="90"/>
      <c r="CM330" s="90"/>
      <c r="CN330" s="90"/>
      <c r="CO330" s="90"/>
      <c r="CP330" s="90"/>
      <c r="CQ330" s="90"/>
      <c r="CR330" s="90"/>
      <c r="CS330" s="90"/>
      <c r="CT330" s="137"/>
    </row>
    <row r="331" spans="1:98" ht="180">
      <c r="A331" s="89">
        <v>203396</v>
      </c>
      <c r="B331" s="90">
        <v>2020</v>
      </c>
      <c r="C331" s="90" t="s">
        <v>81</v>
      </c>
      <c r="D331" s="90" t="s">
        <v>1057</v>
      </c>
      <c r="E331" s="125" t="s">
        <v>784</v>
      </c>
      <c r="F331" s="24" t="s">
        <v>1058</v>
      </c>
      <c r="G331" s="90" t="s">
        <v>85</v>
      </c>
      <c r="H331" s="90" t="s">
        <v>86</v>
      </c>
      <c r="I331" s="90">
        <v>93</v>
      </c>
      <c r="J331" s="90">
        <v>157</v>
      </c>
      <c r="K331" s="90" t="s">
        <v>85</v>
      </c>
      <c r="L331" s="90" t="s">
        <v>1059</v>
      </c>
      <c r="M331" s="90" t="s">
        <v>85</v>
      </c>
      <c r="N331" s="24" t="s">
        <v>1025</v>
      </c>
      <c r="O331" s="24" t="str">
        <f>IF(ISNUMBER(SEARCH("Cancer",N331)),"Cancer",IF(ISNUMBER(SEARCH("health",N331)),"Public health",IF(ISNUMBER(SEARCH("disabilities",N331)),"Disabilities","Other")))</f>
        <v>Public health</v>
      </c>
      <c r="P331" s="126">
        <v>2151657</v>
      </c>
      <c r="Q331" s="90" t="s">
        <v>85</v>
      </c>
      <c r="R331" s="90" t="str">
        <f>IF(P331&gt;20000000,"B","A")</f>
        <v>A</v>
      </c>
      <c r="S331" s="90" t="s">
        <v>90</v>
      </c>
      <c r="T331" s="90">
        <v>2577501</v>
      </c>
      <c r="U331" s="90" t="s">
        <v>91</v>
      </c>
      <c r="V331" s="90" t="s">
        <v>804</v>
      </c>
      <c r="W331" s="90" t="s">
        <v>85</v>
      </c>
      <c r="X331" s="90" t="s">
        <v>87</v>
      </c>
      <c r="Y331" s="90" t="s">
        <v>85</v>
      </c>
      <c r="Z331" s="90" t="s">
        <v>85</v>
      </c>
      <c r="AA331" s="90" t="s">
        <v>85</v>
      </c>
      <c r="AB331" s="90" t="s">
        <v>85</v>
      </c>
      <c r="AC331" s="90" t="s">
        <v>87</v>
      </c>
      <c r="AD331" s="90" t="s">
        <v>457</v>
      </c>
      <c r="AE331" s="24" t="s">
        <v>1060</v>
      </c>
      <c r="AF331" s="90" t="s">
        <v>91</v>
      </c>
      <c r="AG331" s="24" t="s">
        <v>1061</v>
      </c>
      <c r="AH331" s="90">
        <v>89048</v>
      </c>
      <c r="AI331" s="24" t="s">
        <v>94</v>
      </c>
      <c r="AJ331" s="24" t="s">
        <v>1062</v>
      </c>
      <c r="AK331" s="90" t="s">
        <v>85</v>
      </c>
      <c r="AL331" s="90">
        <v>203396</v>
      </c>
      <c r="AM331" s="90" t="s">
        <v>81</v>
      </c>
      <c r="AN331" s="90" t="s">
        <v>1057</v>
      </c>
      <c r="AO331" s="125" t="s">
        <v>784</v>
      </c>
      <c r="AP331" s="24" t="s">
        <v>1025</v>
      </c>
      <c r="AQ331" s="90" t="s">
        <v>1059</v>
      </c>
      <c r="AR331" s="24" t="s">
        <v>1025</v>
      </c>
      <c r="AS331" s="90">
        <v>2577501</v>
      </c>
      <c r="AT331" s="24" t="s">
        <v>94</v>
      </c>
      <c r="AU331" s="90" t="s">
        <v>804</v>
      </c>
      <c r="AV331" s="90" t="str">
        <f>IF(ISNUMBER(SEARCH("disagree",AE331)),"N","Y")</f>
        <v>Y</v>
      </c>
      <c r="AW331" s="90">
        <v>67394</v>
      </c>
      <c r="AX331" s="24" t="s">
        <v>96</v>
      </c>
      <c r="AY331" s="90" t="str">
        <f>CONCATENATE(AZ331,BA331,BB331,BC331)</f>
        <v>R</v>
      </c>
      <c r="AZ331" s="90" t="str">
        <f>IF(ISNUMBER(SEARCH("Y",AC331)),"R","")</f>
        <v>R</v>
      </c>
      <c r="BA331" s="90" t="str">
        <f>IF(ISNUMBER(SEARCH("Y",Y331)),"M","")</f>
        <v/>
      </c>
      <c r="BB331" s="90" t="str">
        <f>IF(ISNUMBER(SEARCH("Y",AB331)),"QC","")</f>
        <v/>
      </c>
      <c r="BC331" s="90" t="str">
        <f>IF(ISNUMBER(SEARCH("Y",Z331)),"S","")</f>
        <v/>
      </c>
      <c r="BD331" s="90"/>
      <c r="BE331" s="24" t="s">
        <v>97</v>
      </c>
      <c r="BF331" s="125" t="str">
        <f>IF(AND(AW331&gt;=56543,AW331&lt;=76543,LEN(AW331)&gt;0),"3 Feb 2020",IF(AND(AW331&gt;=66544,AW331&lt;=99999,LEN(AW331)&gt;0),"12 Sep 2020",""))</f>
        <v>3 Feb 2020</v>
      </c>
      <c r="BG331" s="125" t="str">
        <f>IF((AND(BF331="3 Feb 2020",LEN(BF331)&gt;0)),"Completed",IF((AND(BF331="12 Sep 2020",LEN(BF331)&gt;0)),"Pending",""))</f>
        <v>Completed</v>
      </c>
      <c r="BH331" s="90" t="str">
        <f>IF((AND(BF331="3 Feb 2020",LEN(BF331)&gt;0)),"3 Feb 2020","")</f>
        <v>3 Feb 2020</v>
      </c>
      <c r="BI331" s="90">
        <v>203396</v>
      </c>
      <c r="BJ331" s="90" t="str">
        <f>L331</f>
        <v>1B74BR86074-89</v>
      </c>
      <c r="BK331" s="127">
        <v>43508</v>
      </c>
      <c r="BL331" s="127">
        <v>44239</v>
      </c>
      <c r="BM331" s="128">
        <f>P331*1.1</f>
        <v>2366822.7000000002</v>
      </c>
      <c r="BN331" s="129">
        <f>P331*0.9</f>
        <v>1936491.3</v>
      </c>
      <c r="BO331" s="130">
        <f>P331*0.8</f>
        <v>1721325.6</v>
      </c>
      <c r="BP331" s="90">
        <f>IF(Z331="Y",BM331*0.4,BM331*1.05)</f>
        <v>2485163.8350000004</v>
      </c>
      <c r="BQ331" s="90">
        <f>BP331*0.8</f>
        <v>1988131.0680000004</v>
      </c>
      <c r="BR331" s="90" t="str">
        <f>IF(ISNUMBER(SEARCH("subrecipient",AI327)),P331*0.6,"")</f>
        <v/>
      </c>
      <c r="BS331" s="90">
        <v>203396</v>
      </c>
      <c r="BT331" s="90" t="str">
        <f>BJ331</f>
        <v>1B74BR86074-89</v>
      </c>
      <c r="BU331" s="127">
        <f>BK331</f>
        <v>43508</v>
      </c>
      <c r="BV331" s="127">
        <f>BL331</f>
        <v>44239</v>
      </c>
      <c r="BW331" s="90" t="str">
        <f>H331</f>
        <v>CDC</v>
      </c>
      <c r="BX331" s="90" t="str">
        <f>IF(H331="NATIONAL HEMOPHILIA FOUNDATION","Non Federal","Federal")</f>
        <v>Federal</v>
      </c>
      <c r="BY331" s="128">
        <f>BM331</f>
        <v>2366822.7000000002</v>
      </c>
      <c r="BZ331" s="90" t="str">
        <f>IF(LEN(BR331)&gt;0,1,"")</f>
        <v/>
      </c>
      <c r="CA331" s="90" t="str">
        <f>IF(LEN(BR331)&gt;0,"VIRAL HEPATITIS PROJECT","")</f>
        <v/>
      </c>
      <c r="CB331" s="129" t="str">
        <f>IF(LEN(BR331)&gt;0,BM331*0.7,"")</f>
        <v/>
      </c>
      <c r="CC331" s="90">
        <f>BP331</f>
        <v>2485163.8350000004</v>
      </c>
      <c r="CD331" s="90" t="str">
        <f>IF(LEN(BR331)&gt;0,"70%","")</f>
        <v/>
      </c>
      <c r="CE331" s="90">
        <f>BS331</f>
        <v>203396</v>
      </c>
      <c r="CF331" s="90" t="str">
        <f>CA331</f>
        <v/>
      </c>
      <c r="CG331" s="90"/>
      <c r="CH331" s="90"/>
      <c r="CI331" s="90"/>
      <c r="CJ331" s="90"/>
      <c r="CK331" s="90"/>
      <c r="CL331" s="90"/>
      <c r="CM331" s="90"/>
      <c r="CN331" s="90"/>
      <c r="CO331" s="90"/>
      <c r="CP331" s="90"/>
      <c r="CQ331" s="90"/>
      <c r="CR331" s="90"/>
      <c r="CS331" s="90"/>
      <c r="CT331" s="137"/>
    </row>
    <row r="332" spans="1:98" ht="165">
      <c r="A332" s="89">
        <v>203396</v>
      </c>
      <c r="B332" s="90">
        <v>2020</v>
      </c>
      <c r="C332" s="90" t="s">
        <v>81</v>
      </c>
      <c r="D332" s="90" t="s">
        <v>1057</v>
      </c>
      <c r="E332" s="125" t="s">
        <v>790</v>
      </c>
      <c r="F332" s="24" t="s">
        <v>1058</v>
      </c>
      <c r="G332" s="90" t="s">
        <v>85</v>
      </c>
      <c r="H332" s="90" t="s">
        <v>86</v>
      </c>
      <c r="I332" s="90">
        <v>93</v>
      </c>
      <c r="J332" s="90">
        <v>157</v>
      </c>
      <c r="K332" s="90" t="s">
        <v>85</v>
      </c>
      <c r="L332" s="90" t="s">
        <v>1059</v>
      </c>
      <c r="M332" s="90" t="s">
        <v>85</v>
      </c>
      <c r="N332" s="24" t="s">
        <v>1025</v>
      </c>
      <c r="O332" s="24" t="str">
        <f>IF(ISNUMBER(SEARCH("Cancer",N332)),"Cancer",IF(ISNUMBER(SEARCH("health",N332)),"Public health",IF(ISNUMBER(SEARCH("disabilities",N332)),"Disabilities","Other")))</f>
        <v>Public health</v>
      </c>
      <c r="P332" s="126">
        <v>2151657</v>
      </c>
      <c r="Q332" s="90" t="s">
        <v>85</v>
      </c>
      <c r="R332" s="90" t="str">
        <f>IF(P332&gt;20000000,"B","A")</f>
        <v>A</v>
      </c>
      <c r="S332" s="90" t="s">
        <v>90</v>
      </c>
      <c r="T332" s="90">
        <v>2577501</v>
      </c>
      <c r="U332" s="90" t="s">
        <v>91</v>
      </c>
      <c r="V332" s="90" t="s">
        <v>804</v>
      </c>
      <c r="W332" s="90" t="s">
        <v>85</v>
      </c>
      <c r="X332" s="90" t="s">
        <v>87</v>
      </c>
      <c r="Y332" s="90" t="s">
        <v>85</v>
      </c>
      <c r="Z332" s="90" t="s">
        <v>85</v>
      </c>
      <c r="AA332" s="90" t="s">
        <v>85</v>
      </c>
      <c r="AB332" s="90" t="s">
        <v>85</v>
      </c>
      <c r="AC332" s="90" t="s">
        <v>87</v>
      </c>
      <c r="AD332" s="90" t="s">
        <v>457</v>
      </c>
      <c r="AE332" s="24">
        <v>0</v>
      </c>
      <c r="AF332" s="90">
        <v>0</v>
      </c>
      <c r="AG332" s="24">
        <v>0</v>
      </c>
      <c r="AH332" s="90">
        <v>89046</v>
      </c>
      <c r="AI332" s="24" t="s">
        <v>102</v>
      </c>
      <c r="AJ332" s="24" t="s">
        <v>1063</v>
      </c>
      <c r="AK332" s="90" t="s">
        <v>85</v>
      </c>
      <c r="AL332" s="90">
        <v>203396</v>
      </c>
      <c r="AM332" s="90" t="s">
        <v>81</v>
      </c>
      <c r="AN332" s="90" t="s">
        <v>1057</v>
      </c>
      <c r="AO332" s="125" t="s">
        <v>790</v>
      </c>
      <c r="AP332" s="24" t="s">
        <v>1025</v>
      </c>
      <c r="AQ332" s="90" t="s">
        <v>1059</v>
      </c>
      <c r="AR332" s="24" t="s">
        <v>1025</v>
      </c>
      <c r="AS332" s="90">
        <v>2577501</v>
      </c>
      <c r="AT332" s="24" t="s">
        <v>102</v>
      </c>
      <c r="AU332" s="90" t="s">
        <v>804</v>
      </c>
      <c r="AV332" s="90" t="str">
        <f>IF(ISNUMBER(SEARCH("disagree",AE332)),"N","Y")</f>
        <v>Y</v>
      </c>
      <c r="AW332" s="90">
        <v>67818</v>
      </c>
      <c r="AX332" s="24" t="s">
        <v>104</v>
      </c>
      <c r="AY332" s="90" t="str">
        <f>CONCATENATE(AZ332,BA332,BB332,BC332)</f>
        <v>R</v>
      </c>
      <c r="AZ332" s="90" t="str">
        <f>IF(ISNUMBER(SEARCH("Y",AC332)),"R","")</f>
        <v>R</v>
      </c>
      <c r="BA332" s="90" t="str">
        <f>IF(ISNUMBER(SEARCH("Y",Y332)),"M","")</f>
        <v/>
      </c>
      <c r="BB332" s="90" t="str">
        <f>IF(ISNUMBER(SEARCH("Y",AB332)),"QC","")</f>
        <v/>
      </c>
      <c r="BC332" s="90" t="str">
        <f>IF(ISNUMBER(SEARCH("Y",Z332)),"S","")</f>
        <v/>
      </c>
      <c r="BD332" s="90"/>
      <c r="BE332" s="24" t="s">
        <v>327</v>
      </c>
      <c r="BF332" s="125" t="str">
        <f>IF(AND(AW332&gt;=56543,AW332&lt;=76543,LEN(AW332)&gt;0),"3 Feb 2020",IF(AND(AW332&gt;=66544,AW332&lt;=99999,LEN(AW332)&gt;0),"12 Sep 2020",""))</f>
        <v>3 Feb 2020</v>
      </c>
      <c r="BG332" s="125" t="str">
        <f>IF((AND(BF332="3 Feb 2020",LEN(BF332)&gt;0)),"Completed",IF((AND(BF332="12 Sep 2020",LEN(BF332)&gt;0)),"Pending",""))</f>
        <v>Completed</v>
      </c>
      <c r="BH332" s="90" t="str">
        <f>IF((AND(BF332="3 Feb 2020",LEN(BF332)&gt;0)),"3 Feb 2020","")</f>
        <v>3 Feb 2020</v>
      </c>
      <c r="BI332" s="90">
        <v>203396</v>
      </c>
      <c r="BJ332" s="90" t="str">
        <f>L332</f>
        <v>1B74BR86074-89</v>
      </c>
      <c r="BK332" s="127">
        <v>43508</v>
      </c>
      <c r="BL332" s="127">
        <v>44239</v>
      </c>
      <c r="BM332" s="128">
        <f>P332*1.1</f>
        <v>2366822.7000000002</v>
      </c>
      <c r="BN332" s="129">
        <f>P332*0.9</f>
        <v>1936491.3</v>
      </c>
      <c r="BO332" s="130">
        <f>P332*0.8</f>
        <v>1721325.6</v>
      </c>
      <c r="BP332" s="90">
        <f>IF(Z332="Y",BM332*0.4,BM332*1.05)</f>
        <v>2485163.8350000004</v>
      </c>
      <c r="BQ332" s="90">
        <f>BP332*0.8</f>
        <v>1988131.0680000004</v>
      </c>
      <c r="BR332" s="90" t="str">
        <f>IF(ISNUMBER(SEARCH("subrecipient",AI328)),P332*0.6,"")</f>
        <v/>
      </c>
      <c r="BS332" s="90">
        <v>203396</v>
      </c>
      <c r="BT332" s="90" t="str">
        <f>BJ332</f>
        <v>1B74BR86074-89</v>
      </c>
      <c r="BU332" s="127">
        <f>BK332</f>
        <v>43508</v>
      </c>
      <c r="BV332" s="127">
        <f>BL332</f>
        <v>44239</v>
      </c>
      <c r="BW332" s="90" t="str">
        <f>H332</f>
        <v>CDC</v>
      </c>
      <c r="BX332" s="90" t="str">
        <f>IF(H332="NATIONAL HEMOPHILIA FOUNDATION","Non Federal","Federal")</f>
        <v>Federal</v>
      </c>
      <c r="BY332" s="128">
        <f>BM332</f>
        <v>2366822.7000000002</v>
      </c>
      <c r="BZ332" s="90" t="str">
        <f>IF(LEN(BR332)&gt;0,1,"")</f>
        <v/>
      </c>
      <c r="CA332" s="90" t="str">
        <f>IF(LEN(BR332)&gt;0,"VIRAL HEPATITIS PROJECT","")</f>
        <v/>
      </c>
      <c r="CB332" s="129" t="str">
        <f>IF(LEN(BR332)&gt;0,BM332*0.7,"")</f>
        <v/>
      </c>
      <c r="CC332" s="90">
        <f>BP332</f>
        <v>2485163.8350000004</v>
      </c>
      <c r="CD332" s="90" t="str">
        <f>IF(LEN(BR332)&gt;0,"70%","")</f>
        <v/>
      </c>
      <c r="CE332" s="90">
        <f>BS332</f>
        <v>203396</v>
      </c>
      <c r="CF332" s="90" t="str">
        <f>CA332</f>
        <v/>
      </c>
      <c r="CG332" s="90"/>
      <c r="CH332" s="90"/>
      <c r="CI332" s="90"/>
      <c r="CJ332" s="90"/>
      <c r="CK332" s="90"/>
      <c r="CL332" s="90"/>
      <c r="CM332" s="90"/>
      <c r="CN332" s="90"/>
      <c r="CO332" s="90"/>
      <c r="CP332" s="90"/>
      <c r="CQ332" s="90"/>
      <c r="CR332" s="90"/>
      <c r="CS332" s="90"/>
      <c r="CT332" s="137"/>
    </row>
    <row r="333" spans="1:98" ht="165">
      <c r="A333" s="89">
        <v>203396</v>
      </c>
      <c r="B333" s="90">
        <v>2020</v>
      </c>
      <c r="C333" s="90" t="s">
        <v>81</v>
      </c>
      <c r="D333" s="90" t="s">
        <v>1057</v>
      </c>
      <c r="E333" s="125" t="s">
        <v>791</v>
      </c>
      <c r="F333" s="24" t="s">
        <v>1058</v>
      </c>
      <c r="G333" s="90" t="s">
        <v>85</v>
      </c>
      <c r="H333" s="90" t="s">
        <v>86</v>
      </c>
      <c r="I333" s="90">
        <v>93</v>
      </c>
      <c r="J333" s="90">
        <v>157</v>
      </c>
      <c r="K333" s="90" t="s">
        <v>85</v>
      </c>
      <c r="L333" s="90" t="s">
        <v>1059</v>
      </c>
      <c r="M333" s="90" t="s">
        <v>85</v>
      </c>
      <c r="N333" s="24" t="s">
        <v>1025</v>
      </c>
      <c r="O333" s="24" t="str">
        <f>IF(ISNUMBER(SEARCH("Cancer",N333)),"Cancer",IF(ISNUMBER(SEARCH("health",N333)),"Public health",IF(ISNUMBER(SEARCH("disabilities",N333)),"Disabilities","Other")))</f>
        <v>Public health</v>
      </c>
      <c r="P333" s="126">
        <v>2151657</v>
      </c>
      <c r="Q333" s="90" t="s">
        <v>85</v>
      </c>
      <c r="R333" s="90" t="str">
        <f>IF(P333&gt;20000000,"B","A")</f>
        <v>A</v>
      </c>
      <c r="S333" s="90" t="s">
        <v>90</v>
      </c>
      <c r="T333" s="90">
        <v>2577501</v>
      </c>
      <c r="U333" s="90" t="s">
        <v>91</v>
      </c>
      <c r="V333" s="90" t="s">
        <v>804</v>
      </c>
      <c r="W333" s="90" t="s">
        <v>85</v>
      </c>
      <c r="X333" s="90" t="s">
        <v>87</v>
      </c>
      <c r="Y333" s="90" t="s">
        <v>85</v>
      </c>
      <c r="Z333" s="90" t="s">
        <v>85</v>
      </c>
      <c r="AA333" s="90" t="s">
        <v>85</v>
      </c>
      <c r="AB333" s="90" t="s">
        <v>85</v>
      </c>
      <c r="AC333" s="90" t="s">
        <v>87</v>
      </c>
      <c r="AD333" s="90" t="s">
        <v>457</v>
      </c>
      <c r="AE333" s="24">
        <v>0</v>
      </c>
      <c r="AF333" s="90">
        <v>0</v>
      </c>
      <c r="AG333" s="24">
        <v>0</v>
      </c>
      <c r="AH333" s="90">
        <v>89047</v>
      </c>
      <c r="AI333" s="24" t="s">
        <v>1064</v>
      </c>
      <c r="AJ333" s="24" t="s">
        <v>1065</v>
      </c>
      <c r="AK333" s="90" t="s">
        <v>85</v>
      </c>
      <c r="AL333" s="90">
        <v>203396</v>
      </c>
      <c r="AM333" s="90" t="s">
        <v>81</v>
      </c>
      <c r="AN333" s="90" t="s">
        <v>1057</v>
      </c>
      <c r="AO333" s="125" t="s">
        <v>791</v>
      </c>
      <c r="AP333" s="24" t="s">
        <v>1025</v>
      </c>
      <c r="AQ333" s="90" t="s">
        <v>1059</v>
      </c>
      <c r="AR333" s="24" t="s">
        <v>1025</v>
      </c>
      <c r="AS333" s="90">
        <v>2577501</v>
      </c>
      <c r="AT333" s="24" t="s">
        <v>1064</v>
      </c>
      <c r="AU333" s="90" t="s">
        <v>804</v>
      </c>
      <c r="AV333" s="90" t="str">
        <f>IF(ISNUMBER(SEARCH("disagree",AE333)),"N","Y")</f>
        <v>Y</v>
      </c>
      <c r="AW333" s="90">
        <v>93497</v>
      </c>
      <c r="AX333" s="24" t="s">
        <v>112</v>
      </c>
      <c r="AY333" s="90" t="str">
        <f>CONCATENATE(AZ333,BA333,BB333,BC333)</f>
        <v>R</v>
      </c>
      <c r="AZ333" s="90" t="str">
        <f>IF(ISNUMBER(SEARCH("Y",AC333)),"R","")</f>
        <v>R</v>
      </c>
      <c r="BA333" s="90" t="str">
        <f>IF(ISNUMBER(SEARCH("Y",Y333)),"M","")</f>
        <v/>
      </c>
      <c r="BB333" s="90" t="str">
        <f>IF(ISNUMBER(SEARCH("Y",AB333)),"QC","")</f>
        <v/>
      </c>
      <c r="BC333" s="90" t="str">
        <f>IF(ISNUMBER(SEARCH("Y",Z333)),"S","")</f>
        <v/>
      </c>
      <c r="BD333" s="90"/>
      <c r="BE333" s="24" t="s">
        <v>113</v>
      </c>
      <c r="BF333" s="125" t="str">
        <f>IF(AND(AW333&gt;=56543,AW333&lt;=76543,LEN(AW333)&gt;0),"3 Feb 2020",IF(AND(AW333&gt;=66544,AW333&lt;=99999,LEN(AW333)&gt;0),"12 Sep 2020",""))</f>
        <v>12 Sep 2020</v>
      </c>
      <c r="BG333" s="125" t="str">
        <f>IF((AND(BF333="3 Feb 2020",LEN(BF333)&gt;0)),"Completed",IF((AND(BF333="12 Sep 2020",LEN(BF333)&gt;0)),"Pending",""))</f>
        <v>Pending</v>
      </c>
      <c r="BH333" s="90" t="str">
        <f>IF((AND(BF333="3 Feb 2020",LEN(BF333)&gt;0)),"3 Feb 2020","")</f>
        <v/>
      </c>
      <c r="BI333" s="90">
        <v>203396</v>
      </c>
      <c r="BJ333" s="90" t="str">
        <f>L333</f>
        <v>1B74BR86074-89</v>
      </c>
      <c r="BK333" s="127">
        <v>43508</v>
      </c>
      <c r="BL333" s="127">
        <v>44239</v>
      </c>
      <c r="BM333" s="128">
        <f>P333*1.1</f>
        <v>2366822.7000000002</v>
      </c>
      <c r="BN333" s="129">
        <f>P333*0.9</f>
        <v>1936491.3</v>
      </c>
      <c r="BO333" s="130">
        <f>P333*0.8</f>
        <v>1721325.6</v>
      </c>
      <c r="BP333" s="90">
        <f>IF(Z333="Y",BM333*0.4,BM333*1.05)</f>
        <v>2485163.8350000004</v>
      </c>
      <c r="BQ333" s="90">
        <f>BP333*0.8</f>
        <v>1988131.0680000004</v>
      </c>
      <c r="BR333" s="90" t="str">
        <f>IF(ISNUMBER(SEARCH("subrecipient",AI329)),P333*0.6,"")</f>
        <v/>
      </c>
      <c r="BS333" s="90">
        <v>203396</v>
      </c>
      <c r="BT333" s="90" t="str">
        <f>BJ333</f>
        <v>1B74BR86074-89</v>
      </c>
      <c r="BU333" s="127">
        <f>BK333</f>
        <v>43508</v>
      </c>
      <c r="BV333" s="127">
        <f>BL333</f>
        <v>44239</v>
      </c>
      <c r="BW333" s="90" t="str">
        <f>H333</f>
        <v>CDC</v>
      </c>
      <c r="BX333" s="90" t="str">
        <f>IF(H333="NATIONAL HEMOPHILIA FOUNDATION","Non Federal","Federal")</f>
        <v>Federal</v>
      </c>
      <c r="BY333" s="128">
        <f>BM333</f>
        <v>2366822.7000000002</v>
      </c>
      <c r="BZ333" s="90" t="str">
        <f>IF(LEN(BR333)&gt;0,1,"")</f>
        <v/>
      </c>
      <c r="CA333" s="90" t="str">
        <f>IF(LEN(BR333)&gt;0,"VIRAL HEPATITIS PROJECT","")</f>
        <v/>
      </c>
      <c r="CB333" s="129" t="str">
        <f>IF(LEN(BR333)&gt;0,BM333*0.7,"")</f>
        <v/>
      </c>
      <c r="CC333" s="90">
        <f>BP333</f>
        <v>2485163.8350000004</v>
      </c>
      <c r="CD333" s="90" t="str">
        <f>IF(LEN(BR333)&gt;0,"70%","")</f>
        <v/>
      </c>
      <c r="CE333" s="90">
        <f>BS333</f>
        <v>203396</v>
      </c>
      <c r="CF333" s="90" t="str">
        <f>CA333</f>
        <v/>
      </c>
      <c r="CG333" s="90"/>
      <c r="CH333" s="90"/>
      <c r="CI333" s="90"/>
      <c r="CJ333" s="90"/>
      <c r="CK333" s="90"/>
      <c r="CL333" s="90"/>
      <c r="CM333" s="90"/>
      <c r="CN333" s="90"/>
      <c r="CO333" s="90"/>
      <c r="CP333" s="90"/>
      <c r="CQ333" s="90"/>
      <c r="CR333" s="90"/>
      <c r="CS333" s="90"/>
      <c r="CT333" s="137"/>
    </row>
    <row r="334" spans="1:98" ht="150">
      <c r="A334" s="89">
        <v>204034</v>
      </c>
      <c r="B334" s="90">
        <v>2020</v>
      </c>
      <c r="C334" s="90" t="s">
        <v>81</v>
      </c>
      <c r="D334" s="90" t="s">
        <v>1066</v>
      </c>
      <c r="E334" s="125" t="s">
        <v>793</v>
      </c>
      <c r="F334" s="24" t="s">
        <v>1067</v>
      </c>
      <c r="G334" s="90" t="s">
        <v>85</v>
      </c>
      <c r="H334" s="90" t="s">
        <v>117</v>
      </c>
      <c r="I334" s="90">
        <v>93</v>
      </c>
      <c r="J334" s="90">
        <v>157</v>
      </c>
      <c r="K334" s="90" t="s">
        <v>85</v>
      </c>
      <c r="L334" s="90" t="s">
        <v>1068</v>
      </c>
      <c r="M334" s="90" t="s">
        <v>119</v>
      </c>
      <c r="N334" s="24" t="s">
        <v>202</v>
      </c>
      <c r="O334" s="24" t="str">
        <f>IF(ISNUMBER(SEARCH("Cancer",N334)),"Cancer",IF(ISNUMBER(SEARCH("health",N334)),"Public health",IF(ISNUMBER(SEARCH("disabilities",N334)),"Disabilities","Other")))</f>
        <v>Public health</v>
      </c>
      <c r="P334" s="126">
        <v>2994659</v>
      </c>
      <c r="Q334" s="90" t="s">
        <v>85</v>
      </c>
      <c r="R334" s="90" t="str">
        <f>IF(P334&gt;20000000,"B","A")</f>
        <v>A</v>
      </c>
      <c r="S334" s="90" t="s">
        <v>90</v>
      </c>
      <c r="T334" s="90" t="s">
        <v>119</v>
      </c>
      <c r="U334" s="90" t="s">
        <v>119</v>
      </c>
      <c r="V334" s="90" t="s">
        <v>119</v>
      </c>
      <c r="W334" s="90" t="s">
        <v>119</v>
      </c>
      <c r="X334" s="90" t="s">
        <v>119</v>
      </c>
      <c r="Y334" s="90" t="s">
        <v>119</v>
      </c>
      <c r="Z334" s="90" t="s">
        <v>119</v>
      </c>
      <c r="AA334" s="90" t="s">
        <v>119</v>
      </c>
      <c r="AB334" s="90" t="s">
        <v>119</v>
      </c>
      <c r="AC334" s="90" t="s">
        <v>119</v>
      </c>
      <c r="AD334" s="90" t="s">
        <v>119</v>
      </c>
      <c r="AE334" s="24">
        <v>0</v>
      </c>
      <c r="AF334" s="90">
        <v>0</v>
      </c>
      <c r="AG334" s="24">
        <v>0</v>
      </c>
      <c r="AH334" s="90">
        <v>86044</v>
      </c>
      <c r="AI334" s="24" t="s">
        <v>94</v>
      </c>
      <c r="AJ334" s="24" t="s">
        <v>1069</v>
      </c>
      <c r="AK334" s="90" t="s">
        <v>85</v>
      </c>
      <c r="AL334" s="90">
        <v>204034</v>
      </c>
      <c r="AM334" s="90" t="s">
        <v>81</v>
      </c>
      <c r="AN334" s="90" t="s">
        <v>1066</v>
      </c>
      <c r="AO334" s="125" t="s">
        <v>793</v>
      </c>
      <c r="AP334" s="24" t="s">
        <v>202</v>
      </c>
      <c r="AQ334" s="90" t="s">
        <v>1068</v>
      </c>
      <c r="AR334" s="24" t="s">
        <v>202</v>
      </c>
      <c r="AS334" s="90" t="s">
        <v>119</v>
      </c>
      <c r="AT334" s="24" t="s">
        <v>94</v>
      </c>
      <c r="AU334" s="90" t="s">
        <v>119</v>
      </c>
      <c r="AV334" s="90" t="str">
        <f>IF(ISNUMBER(SEARCH("disagree",AE334)),"N","Y")</f>
        <v>Y</v>
      </c>
      <c r="AW334" s="90" t="s">
        <v>119</v>
      </c>
      <c r="AX334" s="24" t="s">
        <v>119</v>
      </c>
      <c r="AY334" s="90" t="str">
        <f>CONCATENATE(AZ334,BA334,BB334,BC334)</f>
        <v/>
      </c>
      <c r="AZ334" s="90" t="str">
        <f>IF(ISNUMBER(SEARCH("Y",AC334)),"R","")</f>
        <v/>
      </c>
      <c r="BA334" s="90" t="str">
        <f>IF(ISNUMBER(SEARCH("Y",Y334)),"M","")</f>
        <v/>
      </c>
      <c r="BB334" s="90" t="str">
        <f>IF(ISNUMBER(SEARCH("Y",AB334)),"QC","")</f>
        <v/>
      </c>
      <c r="BC334" s="90" t="str">
        <f>IF(ISNUMBER(SEARCH("Y",Z334)),"S","")</f>
        <v/>
      </c>
      <c r="BD334" s="90"/>
      <c r="BE334" s="24" t="s">
        <v>119</v>
      </c>
      <c r="BF334" s="125" t="str">
        <f>IF(AND(AW334&gt;=56543,AW334&lt;=76543,LEN(AW334)&gt;0),"3 Feb 2020",IF(AND(AW334&gt;=66544,AW334&lt;=99999,LEN(AW334)&gt;0),"12 Sep 2020",""))</f>
        <v/>
      </c>
      <c r="BG334" s="125" t="str">
        <f>IF((AND(BF334="3 Feb 2020",LEN(BF334)&gt;0)),"Completed",IF((AND(BF334="12 Sep 2020",LEN(BF334)&gt;0)),"Pending",""))</f>
        <v/>
      </c>
      <c r="BH334" s="90" t="str">
        <f>IF((AND(BF334="3 Feb 2020",LEN(BF334)&gt;0)),"3 Feb 2020","")</f>
        <v/>
      </c>
      <c r="BI334" s="90">
        <v>204034</v>
      </c>
      <c r="BJ334" s="90" t="str">
        <f>L334</f>
        <v>1B37HR86840-79</v>
      </c>
      <c r="BK334" s="127">
        <v>43508</v>
      </c>
      <c r="BL334" s="127">
        <v>44239</v>
      </c>
      <c r="BM334" s="128">
        <f>P334*1.1</f>
        <v>3294124.9000000004</v>
      </c>
      <c r="BN334" s="129">
        <f>P334*0.9</f>
        <v>2695193.1</v>
      </c>
      <c r="BO334" s="130">
        <f>P334*0.8</f>
        <v>2395727.2000000002</v>
      </c>
      <c r="BP334" s="90">
        <f>IF(Z334="Y",BM334*0.4,BM334*1.05)</f>
        <v>3458831.1450000005</v>
      </c>
      <c r="BQ334" s="90">
        <f>BP334*0.8</f>
        <v>2767064.9160000007</v>
      </c>
      <c r="BR334" s="90" t="str">
        <f>IF(ISNUMBER(SEARCH("subrecipient",AI330)),P334*0.6,"")</f>
        <v/>
      </c>
      <c r="BS334" s="90">
        <v>204034</v>
      </c>
      <c r="BT334" s="90" t="str">
        <f>BJ334</f>
        <v>1B37HR86840-79</v>
      </c>
      <c r="BU334" s="127">
        <f>BK334</f>
        <v>43508</v>
      </c>
      <c r="BV334" s="127">
        <f>BL334</f>
        <v>44239</v>
      </c>
      <c r="BW334" s="90" t="str">
        <f>H334</f>
        <v>NIH</v>
      </c>
      <c r="BX334" s="90" t="str">
        <f>IF(H334="NATIONAL HEMOPHILIA FOUNDATION","Non Federal","Federal")</f>
        <v>Federal</v>
      </c>
      <c r="BY334" s="128">
        <f>BM334</f>
        <v>3294124.9000000004</v>
      </c>
      <c r="BZ334" s="90" t="str">
        <f>IF(LEN(BR334)&gt;0,1,"")</f>
        <v/>
      </c>
      <c r="CA334" s="90" t="str">
        <f>IF(LEN(BR334)&gt;0,"VIRAL HEPATITIS PROJECT","")</f>
        <v/>
      </c>
      <c r="CB334" s="129" t="str">
        <f>IF(LEN(BR334)&gt;0,BM334*0.7,"")</f>
        <v/>
      </c>
      <c r="CC334" s="90">
        <f>BP334</f>
        <v>3458831.1450000005</v>
      </c>
      <c r="CD334" s="90" t="str">
        <f>IF(LEN(BR334)&gt;0,"70%","")</f>
        <v/>
      </c>
      <c r="CE334" s="90">
        <f>BS334</f>
        <v>204034</v>
      </c>
      <c r="CF334" s="90" t="str">
        <f>CA334</f>
        <v/>
      </c>
      <c r="CG334" s="90"/>
      <c r="CH334" s="90"/>
      <c r="CI334" s="90"/>
      <c r="CJ334" s="90"/>
      <c r="CK334" s="90"/>
      <c r="CL334" s="90"/>
      <c r="CM334" s="90"/>
      <c r="CN334" s="90"/>
      <c r="CO334" s="90"/>
      <c r="CP334" s="90"/>
      <c r="CQ334" s="90"/>
      <c r="CR334" s="90"/>
      <c r="CS334" s="90"/>
      <c r="CT334" s="137"/>
    </row>
    <row r="335" spans="1:98" ht="45">
      <c r="A335" s="89">
        <v>204034</v>
      </c>
      <c r="B335" s="90">
        <v>2020</v>
      </c>
      <c r="C335" s="90" t="s">
        <v>81</v>
      </c>
      <c r="D335" s="90" t="s">
        <v>1066</v>
      </c>
      <c r="E335" s="125" t="s">
        <v>780</v>
      </c>
      <c r="F335" s="24" t="s">
        <v>1067</v>
      </c>
      <c r="G335" s="90" t="s">
        <v>85</v>
      </c>
      <c r="H335" s="90" t="s">
        <v>117</v>
      </c>
      <c r="I335" s="90">
        <v>93</v>
      </c>
      <c r="J335" s="90">
        <v>157</v>
      </c>
      <c r="K335" s="90" t="s">
        <v>85</v>
      </c>
      <c r="L335" s="90" t="s">
        <v>1068</v>
      </c>
      <c r="M335" s="90" t="s">
        <v>119</v>
      </c>
      <c r="N335" s="24" t="s">
        <v>202</v>
      </c>
      <c r="O335" s="24" t="str">
        <f>IF(ISNUMBER(SEARCH("Cancer",N335)),"Cancer",IF(ISNUMBER(SEARCH("health",N335)),"Public health",IF(ISNUMBER(SEARCH("disabilities",N335)),"Disabilities","Other")))</f>
        <v>Public health</v>
      </c>
      <c r="P335" s="126">
        <v>2994659</v>
      </c>
      <c r="Q335" s="90" t="s">
        <v>85</v>
      </c>
      <c r="R335" s="90" t="str">
        <f>IF(P335&gt;20000000,"B","A")</f>
        <v>A</v>
      </c>
      <c r="S335" s="90" t="s">
        <v>90</v>
      </c>
      <c r="T335" s="90" t="s">
        <v>119</v>
      </c>
      <c r="U335" s="90" t="s">
        <v>119</v>
      </c>
      <c r="V335" s="90" t="s">
        <v>119</v>
      </c>
      <c r="W335" s="90" t="s">
        <v>119</v>
      </c>
      <c r="X335" s="90" t="s">
        <v>119</v>
      </c>
      <c r="Y335" s="90" t="s">
        <v>119</v>
      </c>
      <c r="Z335" s="90" t="s">
        <v>119</v>
      </c>
      <c r="AA335" s="90" t="s">
        <v>119</v>
      </c>
      <c r="AB335" s="90" t="s">
        <v>119</v>
      </c>
      <c r="AC335" s="90" t="s">
        <v>119</v>
      </c>
      <c r="AD335" s="90" t="s">
        <v>119</v>
      </c>
      <c r="AE335" s="24">
        <v>0</v>
      </c>
      <c r="AF335" s="90">
        <v>0</v>
      </c>
      <c r="AG335" s="24">
        <v>0</v>
      </c>
      <c r="AH335" s="90">
        <v>86043</v>
      </c>
      <c r="AI335" s="24" t="s">
        <v>102</v>
      </c>
      <c r="AJ335" s="24" t="s">
        <v>103</v>
      </c>
      <c r="AK335" s="90" t="s">
        <v>85</v>
      </c>
      <c r="AL335" s="90">
        <v>204034</v>
      </c>
      <c r="AM335" s="90" t="s">
        <v>81</v>
      </c>
      <c r="AN335" s="90" t="s">
        <v>1066</v>
      </c>
      <c r="AO335" s="125" t="s">
        <v>780</v>
      </c>
      <c r="AP335" s="24" t="s">
        <v>202</v>
      </c>
      <c r="AQ335" s="90" t="s">
        <v>1068</v>
      </c>
      <c r="AR335" s="24" t="s">
        <v>202</v>
      </c>
      <c r="AS335" s="90" t="s">
        <v>119</v>
      </c>
      <c r="AT335" s="24" t="s">
        <v>102</v>
      </c>
      <c r="AU335" s="90" t="s">
        <v>119</v>
      </c>
      <c r="AV335" s="90" t="str">
        <f>IF(ISNUMBER(SEARCH("disagree",AE335)),"N","Y")</f>
        <v>Y</v>
      </c>
      <c r="AW335" s="90" t="s">
        <v>119</v>
      </c>
      <c r="AX335" s="24" t="s">
        <v>119</v>
      </c>
      <c r="AY335" s="90" t="str">
        <f>CONCATENATE(AZ335,BA335,BB335,BC335)</f>
        <v/>
      </c>
      <c r="AZ335" s="90" t="str">
        <f>IF(ISNUMBER(SEARCH("Y",AC335)),"R","")</f>
        <v/>
      </c>
      <c r="BA335" s="90" t="str">
        <f>IF(ISNUMBER(SEARCH("Y",Y335)),"M","")</f>
        <v/>
      </c>
      <c r="BB335" s="90" t="str">
        <f>IF(ISNUMBER(SEARCH("Y",AB335)),"QC","")</f>
        <v/>
      </c>
      <c r="BC335" s="90" t="str">
        <f>IF(ISNUMBER(SEARCH("Y",Z335)),"S","")</f>
        <v/>
      </c>
      <c r="BD335" s="90"/>
      <c r="BE335" s="24" t="s">
        <v>119</v>
      </c>
      <c r="BF335" s="125" t="str">
        <f>IF(AND(AW335&gt;=56543,AW335&lt;=76543,LEN(AW335)&gt;0),"3 Feb 2020",IF(AND(AW335&gt;=66544,AW335&lt;=99999,LEN(AW335)&gt;0),"12 Sep 2020",""))</f>
        <v/>
      </c>
      <c r="BG335" s="125" t="str">
        <f>IF((AND(BF335="3 Feb 2020",LEN(BF335)&gt;0)),"Completed",IF((AND(BF335="12 Sep 2020",LEN(BF335)&gt;0)),"Pending",""))</f>
        <v/>
      </c>
      <c r="BH335" s="90" t="str">
        <f>IF((AND(BF335="3 Feb 2020",LEN(BF335)&gt;0)),"3 Feb 2020","")</f>
        <v/>
      </c>
      <c r="BI335" s="90">
        <v>204034</v>
      </c>
      <c r="BJ335" s="90" t="str">
        <f>L335</f>
        <v>1B37HR86840-79</v>
      </c>
      <c r="BK335" s="127">
        <v>43508</v>
      </c>
      <c r="BL335" s="127">
        <v>44239</v>
      </c>
      <c r="BM335" s="128">
        <f>P335*1.1</f>
        <v>3294124.9000000004</v>
      </c>
      <c r="BN335" s="129">
        <f>P335*0.9</f>
        <v>2695193.1</v>
      </c>
      <c r="BO335" s="130">
        <f>P335*0.8</f>
        <v>2395727.2000000002</v>
      </c>
      <c r="BP335" s="90">
        <f>IF(Z335="Y",BM335*0.4,BM335*1.05)</f>
        <v>3458831.1450000005</v>
      </c>
      <c r="BQ335" s="90">
        <f>BP335*0.8</f>
        <v>2767064.9160000007</v>
      </c>
      <c r="BR335" s="90" t="str">
        <f>IF(ISNUMBER(SEARCH("subrecipient",AI331)),P335*0.6,"")</f>
        <v/>
      </c>
      <c r="BS335" s="90">
        <v>204034</v>
      </c>
      <c r="BT335" s="90" t="str">
        <f>BJ335</f>
        <v>1B37HR86840-79</v>
      </c>
      <c r="BU335" s="127">
        <f>BK335</f>
        <v>43508</v>
      </c>
      <c r="BV335" s="127">
        <f>BL335</f>
        <v>44239</v>
      </c>
      <c r="BW335" s="90" t="str">
        <f>H335</f>
        <v>NIH</v>
      </c>
      <c r="BX335" s="90" t="str">
        <f>IF(H335="NATIONAL HEMOPHILIA FOUNDATION","Non Federal","Federal")</f>
        <v>Federal</v>
      </c>
      <c r="BY335" s="128">
        <f>BM335</f>
        <v>3294124.9000000004</v>
      </c>
      <c r="BZ335" s="90" t="str">
        <f>IF(LEN(BR335)&gt;0,1,"")</f>
        <v/>
      </c>
      <c r="CA335" s="90" t="str">
        <f>IF(LEN(BR335)&gt;0,"VIRAL HEPATITIS PROJECT","")</f>
        <v/>
      </c>
      <c r="CB335" s="129" t="str">
        <f>IF(LEN(BR335)&gt;0,BM335*0.7,"")</f>
        <v/>
      </c>
      <c r="CC335" s="90">
        <f>BP335</f>
        <v>3458831.1450000005</v>
      </c>
      <c r="CD335" s="90" t="str">
        <f>IF(LEN(BR335)&gt;0,"70%","")</f>
        <v/>
      </c>
      <c r="CE335" s="90">
        <f>BS335</f>
        <v>204034</v>
      </c>
      <c r="CF335" s="90" t="str">
        <f>CA335</f>
        <v/>
      </c>
      <c r="CG335" s="90"/>
      <c r="CH335" s="90"/>
      <c r="CI335" s="90"/>
      <c r="CJ335" s="90"/>
      <c r="CK335" s="90"/>
      <c r="CL335" s="90"/>
      <c r="CM335" s="90"/>
      <c r="CN335" s="90"/>
      <c r="CO335" s="90"/>
      <c r="CP335" s="90"/>
      <c r="CQ335" s="90"/>
      <c r="CR335" s="90"/>
      <c r="CS335" s="90"/>
      <c r="CT335" s="137"/>
    </row>
    <row r="336" spans="1:98" ht="45">
      <c r="A336" s="89">
        <v>204034</v>
      </c>
      <c r="B336" s="90">
        <v>2020</v>
      </c>
      <c r="C336" s="90" t="s">
        <v>81</v>
      </c>
      <c r="D336" s="90" t="s">
        <v>1066</v>
      </c>
      <c r="E336" s="125" t="s">
        <v>781</v>
      </c>
      <c r="F336" s="24" t="s">
        <v>1067</v>
      </c>
      <c r="G336" s="90" t="s">
        <v>85</v>
      </c>
      <c r="H336" s="90" t="s">
        <v>117</v>
      </c>
      <c r="I336" s="90">
        <v>93</v>
      </c>
      <c r="J336" s="90">
        <v>157</v>
      </c>
      <c r="K336" s="90" t="s">
        <v>85</v>
      </c>
      <c r="L336" s="90" t="s">
        <v>1068</v>
      </c>
      <c r="M336" s="90" t="s">
        <v>119</v>
      </c>
      <c r="N336" s="24" t="s">
        <v>202</v>
      </c>
      <c r="O336" s="24" t="str">
        <f>IF(ISNUMBER(SEARCH("Cancer",N336)),"Cancer",IF(ISNUMBER(SEARCH("health",N336)),"Public health",IF(ISNUMBER(SEARCH("disabilities",N336)),"Disabilities","Other")))</f>
        <v>Public health</v>
      </c>
      <c r="P336" s="126">
        <v>2994659</v>
      </c>
      <c r="Q336" s="90" t="s">
        <v>85</v>
      </c>
      <c r="R336" s="90" t="str">
        <f>IF(P336&gt;20000000,"B","A")</f>
        <v>A</v>
      </c>
      <c r="S336" s="90" t="s">
        <v>90</v>
      </c>
      <c r="T336" s="90" t="s">
        <v>119</v>
      </c>
      <c r="U336" s="90" t="s">
        <v>119</v>
      </c>
      <c r="V336" s="90" t="s">
        <v>119</v>
      </c>
      <c r="W336" s="90" t="s">
        <v>119</v>
      </c>
      <c r="X336" s="90" t="s">
        <v>119</v>
      </c>
      <c r="Y336" s="90" t="s">
        <v>119</v>
      </c>
      <c r="Z336" s="90" t="s">
        <v>119</v>
      </c>
      <c r="AA336" s="90" t="s">
        <v>119</v>
      </c>
      <c r="AB336" s="90" t="s">
        <v>119</v>
      </c>
      <c r="AC336" s="90" t="s">
        <v>119</v>
      </c>
      <c r="AD336" s="90" t="s">
        <v>119</v>
      </c>
      <c r="AE336" s="24">
        <v>0</v>
      </c>
      <c r="AF336" s="90">
        <v>0</v>
      </c>
      <c r="AG336" s="24">
        <v>0</v>
      </c>
      <c r="AH336" s="90">
        <v>86045</v>
      </c>
      <c r="AI336" s="24" t="s">
        <v>110</v>
      </c>
      <c r="AJ336" s="24" t="s">
        <v>1070</v>
      </c>
      <c r="AK336" s="90" t="s">
        <v>85</v>
      </c>
      <c r="AL336" s="90">
        <v>204034</v>
      </c>
      <c r="AM336" s="90" t="s">
        <v>81</v>
      </c>
      <c r="AN336" s="90" t="s">
        <v>1066</v>
      </c>
      <c r="AO336" s="125" t="s">
        <v>781</v>
      </c>
      <c r="AP336" s="24" t="s">
        <v>202</v>
      </c>
      <c r="AQ336" s="90" t="s">
        <v>1068</v>
      </c>
      <c r="AR336" s="24" t="s">
        <v>202</v>
      </c>
      <c r="AS336" s="90" t="s">
        <v>119</v>
      </c>
      <c r="AT336" s="24" t="s">
        <v>110</v>
      </c>
      <c r="AU336" s="90" t="s">
        <v>119</v>
      </c>
      <c r="AV336" s="90" t="str">
        <f>IF(ISNUMBER(SEARCH("disagree",AE336)),"N","Y")</f>
        <v>Y</v>
      </c>
      <c r="AW336" s="90" t="s">
        <v>119</v>
      </c>
      <c r="AX336" s="24" t="s">
        <v>119</v>
      </c>
      <c r="AY336" s="90" t="str">
        <f>CONCATENATE(AZ336,BA336,BB336,BC336)</f>
        <v/>
      </c>
      <c r="AZ336" s="90" t="str">
        <f>IF(ISNUMBER(SEARCH("Y",AC336)),"R","")</f>
        <v/>
      </c>
      <c r="BA336" s="90" t="str">
        <f>IF(ISNUMBER(SEARCH("Y",Y336)),"M","")</f>
        <v/>
      </c>
      <c r="BB336" s="90" t="str">
        <f>IF(ISNUMBER(SEARCH("Y",AB336)),"QC","")</f>
        <v/>
      </c>
      <c r="BC336" s="90" t="str">
        <f>IF(ISNUMBER(SEARCH("Y",Z336)),"S","")</f>
        <v/>
      </c>
      <c r="BD336" s="90"/>
      <c r="BE336" s="24" t="s">
        <v>119</v>
      </c>
      <c r="BF336" s="125" t="str">
        <f>IF(AND(AW336&gt;=56543,AW336&lt;=76543,LEN(AW336)&gt;0),"3 Feb 2020",IF(AND(AW336&gt;=66544,AW336&lt;=99999,LEN(AW336)&gt;0),"12 Sep 2020",""))</f>
        <v/>
      </c>
      <c r="BG336" s="125" t="str">
        <f>IF((AND(BF336="3 Feb 2020",LEN(BF336)&gt;0)),"Completed",IF((AND(BF336="12 Sep 2020",LEN(BF336)&gt;0)),"Pending",""))</f>
        <v/>
      </c>
      <c r="BH336" s="90" t="str">
        <f>IF((AND(BF336="3 Feb 2020",LEN(BF336)&gt;0)),"3 Feb 2020","")</f>
        <v/>
      </c>
      <c r="BI336" s="90">
        <v>204034</v>
      </c>
      <c r="BJ336" s="90" t="str">
        <f>L336</f>
        <v>1B37HR86840-79</v>
      </c>
      <c r="BK336" s="127">
        <v>43508</v>
      </c>
      <c r="BL336" s="127">
        <v>44239</v>
      </c>
      <c r="BM336" s="128">
        <f>P336*1.1</f>
        <v>3294124.9000000004</v>
      </c>
      <c r="BN336" s="129">
        <f>P336*0.9</f>
        <v>2695193.1</v>
      </c>
      <c r="BO336" s="130">
        <f>P336*0.8</f>
        <v>2395727.2000000002</v>
      </c>
      <c r="BP336" s="90">
        <f>IF(Z336="Y",BM336*0.4,BM336*1.05)</f>
        <v>3458831.1450000005</v>
      </c>
      <c r="BQ336" s="90">
        <f>BP336*0.8</f>
        <v>2767064.9160000007</v>
      </c>
      <c r="BR336" s="90" t="str">
        <f>IF(ISNUMBER(SEARCH("subrecipient",AI332)),P336*0.6,"")</f>
        <v/>
      </c>
      <c r="BS336" s="90">
        <v>204034</v>
      </c>
      <c r="BT336" s="90" t="str">
        <f>BJ336</f>
        <v>1B37HR86840-79</v>
      </c>
      <c r="BU336" s="127">
        <f>BK336</f>
        <v>43508</v>
      </c>
      <c r="BV336" s="127">
        <f>BL336</f>
        <v>44239</v>
      </c>
      <c r="BW336" s="90" t="str">
        <f>H336</f>
        <v>NIH</v>
      </c>
      <c r="BX336" s="90" t="str">
        <f>IF(H336="NATIONAL HEMOPHILIA FOUNDATION","Non Federal","Federal")</f>
        <v>Federal</v>
      </c>
      <c r="BY336" s="128">
        <f>BM336</f>
        <v>3294124.9000000004</v>
      </c>
      <c r="BZ336" s="90" t="str">
        <f>IF(LEN(BR336)&gt;0,1,"")</f>
        <v/>
      </c>
      <c r="CA336" s="90" t="str">
        <f>IF(LEN(BR336)&gt;0,"VIRAL HEPATITIS PROJECT","")</f>
        <v/>
      </c>
      <c r="CB336" s="129" t="str">
        <f>IF(LEN(BR336)&gt;0,BM336*0.7,"")</f>
        <v/>
      </c>
      <c r="CC336" s="90">
        <f>BP336</f>
        <v>3458831.1450000005</v>
      </c>
      <c r="CD336" s="90" t="str">
        <f>IF(LEN(BR336)&gt;0,"70%","")</f>
        <v/>
      </c>
      <c r="CE336" s="90">
        <f>BS336</f>
        <v>204034</v>
      </c>
      <c r="CF336" s="90" t="str">
        <f>CA336</f>
        <v/>
      </c>
      <c r="CG336" s="90"/>
      <c r="CH336" s="90"/>
      <c r="CI336" s="90"/>
      <c r="CJ336" s="90"/>
      <c r="CK336" s="90"/>
      <c r="CL336" s="90"/>
      <c r="CM336" s="90"/>
      <c r="CN336" s="90"/>
      <c r="CO336" s="90"/>
      <c r="CP336" s="90"/>
      <c r="CQ336" s="90"/>
      <c r="CR336" s="90"/>
      <c r="CS336" s="90"/>
      <c r="CT336" s="137"/>
    </row>
    <row r="337" spans="1:98" ht="105">
      <c r="A337" s="89">
        <v>204121</v>
      </c>
      <c r="B337" s="90">
        <v>2020</v>
      </c>
      <c r="C337" s="90" t="s">
        <v>81</v>
      </c>
      <c r="D337" s="90" t="s">
        <v>1071</v>
      </c>
      <c r="E337" s="125" t="s">
        <v>784</v>
      </c>
      <c r="F337" s="24" t="s">
        <v>1072</v>
      </c>
      <c r="G337" s="90" t="s">
        <v>85</v>
      </c>
      <c r="H337" s="90" t="s">
        <v>132</v>
      </c>
      <c r="I337" s="90">
        <v>93</v>
      </c>
      <c r="J337" s="90">
        <v>157</v>
      </c>
      <c r="K337" s="90" t="s">
        <v>85</v>
      </c>
      <c r="L337" s="90" t="s">
        <v>1073</v>
      </c>
      <c r="M337" s="90" t="s">
        <v>85</v>
      </c>
      <c r="N337" s="24" t="s">
        <v>1074</v>
      </c>
      <c r="O337" s="24" t="str">
        <f>IF(ISNUMBER(SEARCH("Cancer",N337)),"Cancer",IF(ISNUMBER(SEARCH("health",N337)),"Public health",IF(ISNUMBER(SEARCH("disabilities",N337)),"Disabilities","Other")))</f>
        <v>Public health</v>
      </c>
      <c r="P337" s="126">
        <v>2653866</v>
      </c>
      <c r="Q337" s="90" t="s">
        <v>87</v>
      </c>
      <c r="R337" s="90" t="str">
        <f>IF(P337&gt;20000000,"B","A")</f>
        <v>A</v>
      </c>
      <c r="S337" s="90" t="s">
        <v>90</v>
      </c>
      <c r="T337" s="90">
        <v>2582967</v>
      </c>
      <c r="U337" s="90" t="s">
        <v>91</v>
      </c>
      <c r="V337" s="90" t="s">
        <v>804</v>
      </c>
      <c r="W337" s="90" t="s">
        <v>85</v>
      </c>
      <c r="X337" s="90" t="s">
        <v>87</v>
      </c>
      <c r="Y337" s="90" t="s">
        <v>85</v>
      </c>
      <c r="Z337" s="90" t="s">
        <v>85</v>
      </c>
      <c r="AA337" s="90" t="s">
        <v>85</v>
      </c>
      <c r="AB337" s="90" t="s">
        <v>85</v>
      </c>
      <c r="AC337" s="90" t="s">
        <v>85</v>
      </c>
      <c r="AD337" s="90">
        <v>0</v>
      </c>
      <c r="AE337" s="24" t="s">
        <v>1075</v>
      </c>
      <c r="AF337" s="90" t="s">
        <v>91</v>
      </c>
      <c r="AG337" s="24" t="s">
        <v>1076</v>
      </c>
      <c r="AH337" s="90">
        <v>89547</v>
      </c>
      <c r="AI337" s="24" t="s">
        <v>94</v>
      </c>
      <c r="AJ337" s="24" t="s">
        <v>1077</v>
      </c>
      <c r="AK337" s="90" t="s">
        <v>85</v>
      </c>
      <c r="AL337" s="90">
        <v>204121</v>
      </c>
      <c r="AM337" s="90" t="s">
        <v>81</v>
      </c>
      <c r="AN337" s="90" t="s">
        <v>1071</v>
      </c>
      <c r="AO337" s="125" t="s">
        <v>784</v>
      </c>
      <c r="AP337" s="24" t="s">
        <v>1074</v>
      </c>
      <c r="AQ337" s="90" t="s">
        <v>1073</v>
      </c>
      <c r="AR337" s="24" t="s">
        <v>1074</v>
      </c>
      <c r="AS337" s="90">
        <v>2582967</v>
      </c>
      <c r="AT337" s="24" t="s">
        <v>94</v>
      </c>
      <c r="AU337" s="90" t="s">
        <v>804</v>
      </c>
      <c r="AV337" s="90" t="str">
        <f>IF(ISNUMBER(SEARCH("disagree",AE337)),"N","Y")</f>
        <v>Y</v>
      </c>
      <c r="AW337" s="90" t="s">
        <v>119</v>
      </c>
      <c r="AX337" s="24" t="s">
        <v>119</v>
      </c>
      <c r="AY337" s="90" t="str">
        <f>CONCATENATE(AZ337,BA337,BB337,BC337)</f>
        <v/>
      </c>
      <c r="AZ337" s="90" t="str">
        <f>IF(ISNUMBER(SEARCH("Y",AC337)),"R","")</f>
        <v/>
      </c>
      <c r="BA337" s="90" t="str">
        <f>IF(ISNUMBER(SEARCH("Y",Y337)),"M","")</f>
        <v/>
      </c>
      <c r="BB337" s="90" t="str">
        <f>IF(ISNUMBER(SEARCH("Y",AB337)),"QC","")</f>
        <v/>
      </c>
      <c r="BC337" s="90" t="str">
        <f>IF(ISNUMBER(SEARCH("Y",Z337)),"S","")</f>
        <v/>
      </c>
      <c r="BD337" s="90"/>
      <c r="BE337" s="24" t="s">
        <v>119</v>
      </c>
      <c r="BF337" s="125" t="str">
        <f>IF(AND(AW337&gt;=56543,AW337&lt;=76543,LEN(AW337)&gt;0),"3 Feb 2020",IF(AND(AW337&gt;=66544,AW337&lt;=99999,LEN(AW337)&gt;0),"12 Sep 2020",""))</f>
        <v/>
      </c>
      <c r="BG337" s="125" t="str">
        <f>IF((AND(BF337="3 Feb 2020",LEN(BF337)&gt;0)),"Completed",IF((AND(BF337="12 Sep 2020",LEN(BF337)&gt;0)),"Pending",""))</f>
        <v/>
      </c>
      <c r="BH337" s="90" t="str">
        <f>IF((AND(BF337="3 Feb 2020",LEN(BF337)&gt;0)),"3 Feb 2020","")</f>
        <v/>
      </c>
      <c r="BI337" s="90">
        <v>204121</v>
      </c>
      <c r="BJ337" s="90" t="str">
        <f>L337</f>
        <v>1B41BR89048-30</v>
      </c>
      <c r="BK337" s="127">
        <v>43508</v>
      </c>
      <c r="BL337" s="127">
        <v>44239</v>
      </c>
      <c r="BM337" s="128">
        <f>P337*1.1</f>
        <v>2919252.6</v>
      </c>
      <c r="BN337" s="129">
        <f>P337*0.9</f>
        <v>2388479.4</v>
      </c>
      <c r="BO337" s="130">
        <f>P337*0.8</f>
        <v>2123092.8000000003</v>
      </c>
      <c r="BP337" s="90">
        <f>IF(Z337="Y",BM337*0.4,BM337*1.05)</f>
        <v>3065215.2300000004</v>
      </c>
      <c r="BQ337" s="90">
        <f>BP337*0.8</f>
        <v>2452172.1840000004</v>
      </c>
      <c r="BR337" s="90" t="str">
        <f>IF(ISNUMBER(SEARCH("subrecipient",AI333)),P337*0.6,"")</f>
        <v/>
      </c>
      <c r="BS337" s="90">
        <v>204121</v>
      </c>
      <c r="BT337" s="90" t="str">
        <f>BJ337</f>
        <v>1B41BR89048-30</v>
      </c>
      <c r="BU337" s="127">
        <f>BK337</f>
        <v>43508</v>
      </c>
      <c r="BV337" s="127">
        <f>BL337</f>
        <v>44239</v>
      </c>
      <c r="BW337" s="90" t="str">
        <f>H337</f>
        <v>FDA</v>
      </c>
      <c r="BX337" s="90" t="str">
        <f>IF(H337="NATIONAL HEMOPHILIA FOUNDATION","Non Federal","Federal")</f>
        <v>Federal</v>
      </c>
      <c r="BY337" s="128">
        <f>BM337</f>
        <v>2919252.6</v>
      </c>
      <c r="BZ337" s="90" t="str">
        <f>IF(LEN(BR337)&gt;0,1,"")</f>
        <v/>
      </c>
      <c r="CA337" s="90" t="str">
        <f>IF(LEN(BR337)&gt;0,"VIRAL HEPATITIS PROJECT","")</f>
        <v/>
      </c>
      <c r="CB337" s="129" t="str">
        <f>IF(LEN(BR337)&gt;0,BM337*0.7,"")</f>
        <v/>
      </c>
      <c r="CC337" s="90">
        <f>BP337</f>
        <v>3065215.2300000004</v>
      </c>
      <c r="CD337" s="90" t="str">
        <f>IF(LEN(BR337)&gt;0,"70%","")</f>
        <v/>
      </c>
      <c r="CE337" s="90">
        <f>BS337</f>
        <v>204121</v>
      </c>
      <c r="CF337" s="90" t="str">
        <f>CA337</f>
        <v/>
      </c>
      <c r="CG337" s="90"/>
      <c r="CH337" s="90"/>
      <c r="CI337" s="90"/>
      <c r="CJ337" s="90"/>
      <c r="CK337" s="90"/>
      <c r="CL337" s="90"/>
      <c r="CM337" s="90"/>
      <c r="CN337" s="90"/>
      <c r="CO337" s="90"/>
      <c r="CP337" s="90"/>
      <c r="CQ337" s="90"/>
      <c r="CR337" s="90"/>
      <c r="CS337" s="90"/>
      <c r="CT337" s="137"/>
    </row>
    <row r="338" spans="1:98" ht="90">
      <c r="A338" s="89">
        <v>204121</v>
      </c>
      <c r="B338" s="90">
        <v>2020</v>
      </c>
      <c r="C338" s="90" t="s">
        <v>81</v>
      </c>
      <c r="D338" s="90" t="s">
        <v>1071</v>
      </c>
      <c r="E338" s="125" t="s">
        <v>790</v>
      </c>
      <c r="F338" s="24" t="s">
        <v>1072</v>
      </c>
      <c r="G338" s="90" t="s">
        <v>85</v>
      </c>
      <c r="H338" s="90" t="s">
        <v>132</v>
      </c>
      <c r="I338" s="90">
        <v>93</v>
      </c>
      <c r="J338" s="90">
        <v>157</v>
      </c>
      <c r="K338" s="90" t="s">
        <v>85</v>
      </c>
      <c r="L338" s="90" t="s">
        <v>1073</v>
      </c>
      <c r="M338" s="90" t="s">
        <v>85</v>
      </c>
      <c r="N338" s="24" t="s">
        <v>1074</v>
      </c>
      <c r="O338" s="24" t="str">
        <f>IF(ISNUMBER(SEARCH("Cancer",N338)),"Cancer",IF(ISNUMBER(SEARCH("health",N338)),"Public health",IF(ISNUMBER(SEARCH("disabilities",N338)),"Disabilities","Other")))</f>
        <v>Public health</v>
      </c>
      <c r="P338" s="126">
        <v>2653866</v>
      </c>
      <c r="Q338" s="90" t="s">
        <v>85</v>
      </c>
      <c r="R338" s="90" t="str">
        <f>IF(P338&gt;20000000,"B","A")</f>
        <v>A</v>
      </c>
      <c r="S338" s="90" t="s">
        <v>90</v>
      </c>
      <c r="T338" s="90">
        <v>2582967</v>
      </c>
      <c r="U338" s="90" t="s">
        <v>91</v>
      </c>
      <c r="V338" s="90" t="s">
        <v>804</v>
      </c>
      <c r="W338" s="90" t="s">
        <v>85</v>
      </c>
      <c r="X338" s="90" t="s">
        <v>87</v>
      </c>
      <c r="Y338" s="90" t="s">
        <v>85</v>
      </c>
      <c r="Z338" s="90" t="s">
        <v>85</v>
      </c>
      <c r="AA338" s="90" t="s">
        <v>85</v>
      </c>
      <c r="AB338" s="90" t="s">
        <v>85</v>
      </c>
      <c r="AC338" s="90" t="s">
        <v>85</v>
      </c>
      <c r="AD338" s="90">
        <v>0</v>
      </c>
      <c r="AE338" s="24">
        <v>0</v>
      </c>
      <c r="AF338" s="90">
        <v>0</v>
      </c>
      <c r="AG338" s="24">
        <v>0</v>
      </c>
      <c r="AH338" s="90">
        <v>89545</v>
      </c>
      <c r="AI338" s="24" t="s">
        <v>102</v>
      </c>
      <c r="AJ338" s="24" t="s">
        <v>103</v>
      </c>
      <c r="AK338" s="90" t="s">
        <v>85</v>
      </c>
      <c r="AL338" s="90">
        <v>204121</v>
      </c>
      <c r="AM338" s="90" t="s">
        <v>81</v>
      </c>
      <c r="AN338" s="90" t="s">
        <v>1071</v>
      </c>
      <c r="AO338" s="125" t="s">
        <v>790</v>
      </c>
      <c r="AP338" s="24" t="s">
        <v>1074</v>
      </c>
      <c r="AQ338" s="90" t="s">
        <v>1073</v>
      </c>
      <c r="AR338" s="24" t="s">
        <v>1074</v>
      </c>
      <c r="AS338" s="90">
        <v>2582967</v>
      </c>
      <c r="AT338" s="24" t="s">
        <v>102</v>
      </c>
      <c r="AU338" s="90" t="s">
        <v>804</v>
      </c>
      <c r="AV338" s="90" t="str">
        <f>IF(ISNUMBER(SEARCH("disagree",AE338)),"N","Y")</f>
        <v>Y</v>
      </c>
      <c r="AW338" s="90" t="s">
        <v>119</v>
      </c>
      <c r="AX338" s="24" t="s">
        <v>119</v>
      </c>
      <c r="AY338" s="90" t="str">
        <f>CONCATENATE(AZ338,BA338,BB338,BC338)</f>
        <v/>
      </c>
      <c r="AZ338" s="90" t="str">
        <f>IF(ISNUMBER(SEARCH("Y",AC338)),"R","")</f>
        <v/>
      </c>
      <c r="BA338" s="90" t="str">
        <f>IF(ISNUMBER(SEARCH("Y",Y338)),"M","")</f>
        <v/>
      </c>
      <c r="BB338" s="90" t="str">
        <f>IF(ISNUMBER(SEARCH("Y",AB338)),"QC","")</f>
        <v/>
      </c>
      <c r="BC338" s="90" t="str">
        <f>IF(ISNUMBER(SEARCH("Y",Z338)),"S","")</f>
        <v/>
      </c>
      <c r="BD338" s="90"/>
      <c r="BE338" s="24" t="s">
        <v>119</v>
      </c>
      <c r="BF338" s="125" t="str">
        <f>IF(AND(AW338&gt;=56543,AW338&lt;=76543,LEN(AW338)&gt;0),"3 Feb 2020",IF(AND(AW338&gt;=66544,AW338&lt;=99999,LEN(AW338)&gt;0),"12 Sep 2020",""))</f>
        <v/>
      </c>
      <c r="BG338" s="125" t="str">
        <f>IF((AND(BF338="3 Feb 2020",LEN(BF338)&gt;0)),"Completed",IF((AND(BF338="12 Sep 2020",LEN(BF338)&gt;0)),"Pending",""))</f>
        <v/>
      </c>
      <c r="BH338" s="90" t="str">
        <f>IF((AND(BF338="3 Feb 2020",LEN(BF338)&gt;0)),"3 Feb 2020","")</f>
        <v/>
      </c>
      <c r="BI338" s="90">
        <v>204121</v>
      </c>
      <c r="BJ338" s="90" t="str">
        <f>L338</f>
        <v>1B41BR89048-30</v>
      </c>
      <c r="BK338" s="127">
        <v>43508</v>
      </c>
      <c r="BL338" s="127">
        <v>44239</v>
      </c>
      <c r="BM338" s="128">
        <f>P338*1.1</f>
        <v>2919252.6</v>
      </c>
      <c r="BN338" s="129">
        <f>P338*0.9</f>
        <v>2388479.4</v>
      </c>
      <c r="BO338" s="130">
        <f>P338*0.8</f>
        <v>2123092.8000000003</v>
      </c>
      <c r="BP338" s="90">
        <f>IF(Z338="Y",BM338*0.4,BM338*1.05)</f>
        <v>3065215.2300000004</v>
      </c>
      <c r="BQ338" s="90">
        <f>BP338*0.8</f>
        <v>2452172.1840000004</v>
      </c>
      <c r="BR338" s="90" t="str">
        <f>IF(ISNUMBER(SEARCH("subrecipient",AI334)),P338*0.6,"")</f>
        <v/>
      </c>
      <c r="BS338" s="90">
        <v>204121</v>
      </c>
      <c r="BT338" s="90" t="str">
        <f>BJ338</f>
        <v>1B41BR89048-30</v>
      </c>
      <c r="BU338" s="127">
        <f>BK338</f>
        <v>43508</v>
      </c>
      <c r="BV338" s="127">
        <f>BL338</f>
        <v>44239</v>
      </c>
      <c r="BW338" s="90" t="str">
        <f>H338</f>
        <v>FDA</v>
      </c>
      <c r="BX338" s="90" t="str">
        <f>IF(H338="NATIONAL HEMOPHILIA FOUNDATION","Non Federal","Federal")</f>
        <v>Federal</v>
      </c>
      <c r="BY338" s="128">
        <f>BM338</f>
        <v>2919252.6</v>
      </c>
      <c r="BZ338" s="90" t="str">
        <f>IF(LEN(BR338)&gt;0,1,"")</f>
        <v/>
      </c>
      <c r="CA338" s="90" t="str">
        <f>IF(LEN(BR338)&gt;0,"VIRAL HEPATITIS PROJECT","")</f>
        <v/>
      </c>
      <c r="CB338" s="129" t="str">
        <f>IF(LEN(BR338)&gt;0,BM338*0.7,"")</f>
        <v/>
      </c>
      <c r="CC338" s="90">
        <f>BP338</f>
        <v>3065215.2300000004</v>
      </c>
      <c r="CD338" s="90" t="str">
        <f>IF(LEN(BR338)&gt;0,"70%","")</f>
        <v/>
      </c>
      <c r="CE338" s="90">
        <f>BS338</f>
        <v>204121</v>
      </c>
      <c r="CF338" s="90" t="str">
        <f>CA338</f>
        <v/>
      </c>
      <c r="CG338" s="90"/>
      <c r="CH338" s="90"/>
      <c r="CI338" s="90"/>
      <c r="CJ338" s="90"/>
      <c r="CK338" s="90"/>
      <c r="CL338" s="90"/>
      <c r="CM338" s="90"/>
      <c r="CN338" s="90"/>
      <c r="CO338" s="90"/>
      <c r="CP338" s="90"/>
      <c r="CQ338" s="90"/>
      <c r="CR338" s="90"/>
      <c r="CS338" s="90"/>
      <c r="CT338" s="137"/>
    </row>
    <row r="339" spans="1:98" ht="90">
      <c r="A339" s="89">
        <v>204121</v>
      </c>
      <c r="B339" s="90">
        <v>2020</v>
      </c>
      <c r="C339" s="90" t="s">
        <v>81</v>
      </c>
      <c r="D339" s="90" t="s">
        <v>1071</v>
      </c>
      <c r="E339" s="125" t="s">
        <v>791</v>
      </c>
      <c r="F339" s="24" t="s">
        <v>1072</v>
      </c>
      <c r="G339" s="90" t="s">
        <v>85</v>
      </c>
      <c r="H339" s="90" t="s">
        <v>132</v>
      </c>
      <c r="I339" s="90">
        <v>93</v>
      </c>
      <c r="J339" s="90">
        <v>157</v>
      </c>
      <c r="K339" s="90" t="s">
        <v>85</v>
      </c>
      <c r="L339" s="90" t="s">
        <v>1073</v>
      </c>
      <c r="M339" s="90" t="s">
        <v>85</v>
      </c>
      <c r="N339" s="24" t="s">
        <v>1074</v>
      </c>
      <c r="O339" s="24" t="str">
        <f>IF(ISNUMBER(SEARCH("Cancer",N339)),"Cancer",IF(ISNUMBER(SEARCH("health",N339)),"Public health",IF(ISNUMBER(SEARCH("disabilities",N339)),"Disabilities","Other")))</f>
        <v>Public health</v>
      </c>
      <c r="P339" s="126">
        <v>2653866</v>
      </c>
      <c r="Q339" s="90" t="s">
        <v>85</v>
      </c>
      <c r="R339" s="90" t="str">
        <f>IF(P339&gt;20000000,"B","A")</f>
        <v>A</v>
      </c>
      <c r="S339" s="90" t="s">
        <v>90</v>
      </c>
      <c r="T339" s="90">
        <v>2582967</v>
      </c>
      <c r="U339" s="90" t="s">
        <v>91</v>
      </c>
      <c r="V339" s="90" t="s">
        <v>804</v>
      </c>
      <c r="W339" s="90" t="s">
        <v>85</v>
      </c>
      <c r="X339" s="90" t="s">
        <v>87</v>
      </c>
      <c r="Y339" s="90" t="s">
        <v>85</v>
      </c>
      <c r="Z339" s="90" t="s">
        <v>85</v>
      </c>
      <c r="AA339" s="90" t="s">
        <v>85</v>
      </c>
      <c r="AB339" s="90" t="s">
        <v>85</v>
      </c>
      <c r="AC339" s="90" t="s">
        <v>85</v>
      </c>
      <c r="AD339" s="90">
        <v>0</v>
      </c>
      <c r="AE339" s="24">
        <v>0</v>
      </c>
      <c r="AF339" s="90">
        <v>0</v>
      </c>
      <c r="AG339" s="24">
        <v>0</v>
      </c>
      <c r="AH339" s="90">
        <v>89546</v>
      </c>
      <c r="AI339" s="24" t="s">
        <v>110</v>
      </c>
      <c r="AJ339" s="24" t="s">
        <v>1078</v>
      </c>
      <c r="AK339" s="90" t="s">
        <v>85</v>
      </c>
      <c r="AL339" s="90">
        <v>204121</v>
      </c>
      <c r="AM339" s="90" t="s">
        <v>81</v>
      </c>
      <c r="AN339" s="90" t="s">
        <v>1071</v>
      </c>
      <c r="AO339" s="125" t="s">
        <v>791</v>
      </c>
      <c r="AP339" s="24" t="s">
        <v>1074</v>
      </c>
      <c r="AQ339" s="90" t="s">
        <v>1073</v>
      </c>
      <c r="AR339" s="24" t="s">
        <v>1074</v>
      </c>
      <c r="AS339" s="90">
        <v>2582967</v>
      </c>
      <c r="AT339" s="24" t="s">
        <v>110</v>
      </c>
      <c r="AU339" s="90" t="s">
        <v>804</v>
      </c>
      <c r="AV339" s="90" t="str">
        <f>IF(ISNUMBER(SEARCH("disagree",AE339)),"N","Y")</f>
        <v>Y</v>
      </c>
      <c r="AW339" s="90" t="s">
        <v>119</v>
      </c>
      <c r="AX339" s="24" t="s">
        <v>119</v>
      </c>
      <c r="AY339" s="90" t="str">
        <f>CONCATENATE(AZ339,BA339,BB339,BC339)</f>
        <v/>
      </c>
      <c r="AZ339" s="90" t="str">
        <f>IF(ISNUMBER(SEARCH("Y",AC339)),"R","")</f>
        <v/>
      </c>
      <c r="BA339" s="90" t="str">
        <f>IF(ISNUMBER(SEARCH("Y",Y339)),"M","")</f>
        <v/>
      </c>
      <c r="BB339" s="90" t="str">
        <f>IF(ISNUMBER(SEARCH("Y",AB339)),"QC","")</f>
        <v/>
      </c>
      <c r="BC339" s="90" t="str">
        <f>IF(ISNUMBER(SEARCH("Y",Z339)),"S","")</f>
        <v/>
      </c>
      <c r="BD339" s="90"/>
      <c r="BE339" s="24" t="s">
        <v>119</v>
      </c>
      <c r="BF339" s="125" t="str">
        <f>IF(AND(AW339&gt;=56543,AW339&lt;=76543,LEN(AW339)&gt;0),"3 Feb 2020",IF(AND(AW339&gt;=66544,AW339&lt;=99999,LEN(AW339)&gt;0),"12 Sep 2020",""))</f>
        <v/>
      </c>
      <c r="BG339" s="125" t="str">
        <f>IF((AND(BF339="3 Feb 2020",LEN(BF339)&gt;0)),"Completed",IF((AND(BF339="12 Sep 2020",LEN(BF339)&gt;0)),"Pending",""))</f>
        <v/>
      </c>
      <c r="BH339" s="90" t="str">
        <f>IF((AND(BF339="3 Feb 2020",LEN(BF339)&gt;0)),"3 Feb 2020","")</f>
        <v/>
      </c>
      <c r="BI339" s="90">
        <v>204121</v>
      </c>
      <c r="BJ339" s="90" t="str">
        <f>L339</f>
        <v>1B41BR89048-30</v>
      </c>
      <c r="BK339" s="127">
        <v>43508</v>
      </c>
      <c r="BL339" s="127">
        <v>44239</v>
      </c>
      <c r="BM339" s="128">
        <f>P339*1.1</f>
        <v>2919252.6</v>
      </c>
      <c r="BN339" s="129">
        <f>P339*0.9</f>
        <v>2388479.4</v>
      </c>
      <c r="BO339" s="130">
        <f>P339*0.8</f>
        <v>2123092.8000000003</v>
      </c>
      <c r="BP339" s="90">
        <f>IF(Z339="Y",BM339*0.4,BM339*1.05)</f>
        <v>3065215.2300000004</v>
      </c>
      <c r="BQ339" s="90">
        <f>BP339*0.8</f>
        <v>2452172.1840000004</v>
      </c>
      <c r="BR339" s="90" t="str">
        <f>IF(ISNUMBER(SEARCH("subrecipient",AI335)),P339*0.6,"")</f>
        <v/>
      </c>
      <c r="BS339" s="90">
        <v>204121</v>
      </c>
      <c r="BT339" s="90" t="str">
        <f>BJ339</f>
        <v>1B41BR89048-30</v>
      </c>
      <c r="BU339" s="127">
        <f>BK339</f>
        <v>43508</v>
      </c>
      <c r="BV339" s="127">
        <f>BL339</f>
        <v>44239</v>
      </c>
      <c r="BW339" s="90" t="str">
        <f>H339</f>
        <v>FDA</v>
      </c>
      <c r="BX339" s="90" t="str">
        <f>IF(H339="NATIONAL HEMOPHILIA FOUNDATION","Non Federal","Federal")</f>
        <v>Federal</v>
      </c>
      <c r="BY339" s="128">
        <f>BM339</f>
        <v>2919252.6</v>
      </c>
      <c r="BZ339" s="90" t="str">
        <f>IF(LEN(BR339)&gt;0,1,"")</f>
        <v/>
      </c>
      <c r="CA339" s="90" t="str">
        <f>IF(LEN(BR339)&gt;0,"VIRAL HEPATITIS PROJECT","")</f>
        <v/>
      </c>
      <c r="CB339" s="129" t="str">
        <f>IF(LEN(BR339)&gt;0,BM339*0.7,"")</f>
        <v/>
      </c>
      <c r="CC339" s="90">
        <f>BP339</f>
        <v>3065215.2300000004</v>
      </c>
      <c r="CD339" s="90" t="str">
        <f>IF(LEN(BR339)&gt;0,"70%","")</f>
        <v/>
      </c>
      <c r="CE339" s="90">
        <f>BS339</f>
        <v>204121</v>
      </c>
      <c r="CF339" s="90" t="str">
        <f>CA339</f>
        <v/>
      </c>
      <c r="CG339" s="90"/>
      <c r="CH339" s="90"/>
      <c r="CI339" s="90"/>
      <c r="CJ339" s="90"/>
      <c r="CK339" s="90"/>
      <c r="CL339" s="90"/>
      <c r="CM339" s="90"/>
      <c r="CN339" s="90"/>
      <c r="CO339" s="90"/>
      <c r="CP339" s="90"/>
      <c r="CQ339" s="90"/>
      <c r="CR339" s="90"/>
      <c r="CS339" s="90"/>
      <c r="CT339" s="137"/>
    </row>
    <row r="340" spans="1:98" ht="90">
      <c r="A340" s="89">
        <v>204121</v>
      </c>
      <c r="B340" s="90">
        <v>2020</v>
      </c>
      <c r="C340" s="90" t="s">
        <v>81</v>
      </c>
      <c r="D340" s="90" t="s">
        <v>1071</v>
      </c>
      <c r="E340" s="125" t="s">
        <v>793</v>
      </c>
      <c r="F340" s="24" t="s">
        <v>1072</v>
      </c>
      <c r="G340" s="90" t="s">
        <v>85</v>
      </c>
      <c r="H340" s="90" t="s">
        <v>132</v>
      </c>
      <c r="I340" s="90">
        <v>93</v>
      </c>
      <c r="J340" s="90">
        <v>157</v>
      </c>
      <c r="K340" s="90" t="s">
        <v>85</v>
      </c>
      <c r="L340" s="90" t="s">
        <v>1073</v>
      </c>
      <c r="M340" s="90" t="s">
        <v>85</v>
      </c>
      <c r="N340" s="24" t="s">
        <v>1074</v>
      </c>
      <c r="O340" s="24" t="str">
        <f>IF(ISNUMBER(SEARCH("Cancer",N340)),"Cancer",IF(ISNUMBER(SEARCH("health",N340)),"Public health",IF(ISNUMBER(SEARCH("disabilities",N340)),"Disabilities","Other")))</f>
        <v>Public health</v>
      </c>
      <c r="P340" s="126">
        <v>2653866</v>
      </c>
      <c r="Q340" s="90" t="s">
        <v>85</v>
      </c>
      <c r="R340" s="90" t="str">
        <f>IF(P340&gt;20000000,"B","A")</f>
        <v>A</v>
      </c>
      <c r="S340" s="90" t="s">
        <v>90</v>
      </c>
      <c r="T340" s="90">
        <v>2582967</v>
      </c>
      <c r="U340" s="90" t="s">
        <v>91</v>
      </c>
      <c r="V340" s="90" t="s">
        <v>804</v>
      </c>
      <c r="W340" s="90" t="s">
        <v>85</v>
      </c>
      <c r="X340" s="90" t="s">
        <v>87</v>
      </c>
      <c r="Y340" s="90" t="s">
        <v>85</v>
      </c>
      <c r="Z340" s="90" t="s">
        <v>85</v>
      </c>
      <c r="AA340" s="90" t="s">
        <v>87</v>
      </c>
      <c r="AB340" s="90" t="s">
        <v>85</v>
      </c>
      <c r="AC340" s="90" t="s">
        <v>85</v>
      </c>
      <c r="AD340" s="90">
        <v>0</v>
      </c>
      <c r="AE340" s="24">
        <v>0</v>
      </c>
      <c r="AF340" s="90">
        <v>0</v>
      </c>
      <c r="AG340" s="24">
        <v>0</v>
      </c>
      <c r="AH340" s="90">
        <v>89548</v>
      </c>
      <c r="AI340" s="24" t="s">
        <v>139</v>
      </c>
      <c r="AJ340" s="24" t="s">
        <v>1079</v>
      </c>
      <c r="AK340" s="90" t="s">
        <v>85</v>
      </c>
      <c r="AL340" s="90">
        <v>204121</v>
      </c>
      <c r="AM340" s="90" t="s">
        <v>81</v>
      </c>
      <c r="AN340" s="90" t="s">
        <v>1071</v>
      </c>
      <c r="AO340" s="125" t="s">
        <v>793</v>
      </c>
      <c r="AP340" s="24" t="s">
        <v>1074</v>
      </c>
      <c r="AQ340" s="90" t="s">
        <v>1073</v>
      </c>
      <c r="AR340" s="24" t="s">
        <v>1074</v>
      </c>
      <c r="AS340" s="90">
        <v>2582967</v>
      </c>
      <c r="AT340" s="24" t="s">
        <v>139</v>
      </c>
      <c r="AU340" s="90" t="s">
        <v>804</v>
      </c>
      <c r="AV340" s="90" t="str">
        <f>IF(ISNUMBER(SEARCH("disagree",AE340)),"N","Y")</f>
        <v>Y</v>
      </c>
      <c r="AW340" s="90" t="s">
        <v>119</v>
      </c>
      <c r="AX340" s="24" t="s">
        <v>119</v>
      </c>
      <c r="AY340" s="90" t="str">
        <f>CONCATENATE(AZ340,BA340,BB340,BC340)</f>
        <v/>
      </c>
      <c r="AZ340" s="90" t="str">
        <f>IF(ISNUMBER(SEARCH("Y",AC340)),"R","")</f>
        <v/>
      </c>
      <c r="BA340" s="90" t="str">
        <f>IF(ISNUMBER(SEARCH("Y",Y340)),"M","")</f>
        <v/>
      </c>
      <c r="BB340" s="90" t="str">
        <f>IF(ISNUMBER(SEARCH("Y",AB340)),"QC","")</f>
        <v/>
      </c>
      <c r="BC340" s="90" t="str">
        <f>IF(ISNUMBER(SEARCH("Y",Z340)),"S","")</f>
        <v/>
      </c>
      <c r="BD340" s="90"/>
      <c r="BE340" s="24" t="s">
        <v>119</v>
      </c>
      <c r="BF340" s="125" t="str">
        <f>IF(AND(AW340&gt;=56543,AW340&lt;=76543,LEN(AW340)&gt;0),"3 Feb 2020",IF(AND(AW340&gt;=66544,AW340&lt;=99999,LEN(AW340)&gt;0),"12 Sep 2020",""))</f>
        <v/>
      </c>
      <c r="BG340" s="125" t="str">
        <f>IF((AND(BF340="3 Feb 2020",LEN(BF340)&gt;0)),"Completed",IF((AND(BF340="12 Sep 2020",LEN(BF340)&gt;0)),"Pending",""))</f>
        <v/>
      </c>
      <c r="BH340" s="90" t="str">
        <f>IF((AND(BF340="3 Feb 2020",LEN(BF340)&gt;0)),"3 Feb 2020","")</f>
        <v/>
      </c>
      <c r="BI340" s="90">
        <v>204121</v>
      </c>
      <c r="BJ340" s="90" t="str">
        <f>L340</f>
        <v>1B41BR89048-30</v>
      </c>
      <c r="BK340" s="127">
        <v>43508</v>
      </c>
      <c r="BL340" s="127">
        <v>44239</v>
      </c>
      <c r="BM340" s="128">
        <f>P340*1.1</f>
        <v>2919252.6</v>
      </c>
      <c r="BN340" s="129">
        <f>P340*0.9</f>
        <v>2388479.4</v>
      </c>
      <c r="BO340" s="130">
        <f>P340*0.8</f>
        <v>2123092.8000000003</v>
      </c>
      <c r="BP340" s="90">
        <f>IF(Z340="Y",BM340*0.4,BM340*1.05)</f>
        <v>3065215.2300000004</v>
      </c>
      <c r="BQ340" s="90">
        <f>BP340*0.8</f>
        <v>2452172.1840000004</v>
      </c>
      <c r="BR340" s="90">
        <f>IF(ISNUMBER(SEARCH("subrecipient",AI340)),P340*0.6,"")</f>
        <v>1592319.5999999999</v>
      </c>
      <c r="BS340" s="90">
        <v>204121</v>
      </c>
      <c r="BT340" s="90" t="str">
        <f>BJ340</f>
        <v>1B41BR89048-30</v>
      </c>
      <c r="BU340" s="127">
        <f>BK340</f>
        <v>43508</v>
      </c>
      <c r="BV340" s="127">
        <f>BL340</f>
        <v>44239</v>
      </c>
      <c r="BW340" s="90" t="str">
        <f>H340</f>
        <v>FDA</v>
      </c>
      <c r="BX340" s="90" t="str">
        <f>IF(H340="NATIONAL HEMOPHILIA FOUNDATION","Non Federal","Federal")</f>
        <v>Federal</v>
      </c>
      <c r="BY340" s="128">
        <f>BM340</f>
        <v>2919252.6</v>
      </c>
      <c r="BZ340" s="90">
        <f>IF(LEN(BR340)&gt;0,1,"")</f>
        <v>1</v>
      </c>
      <c r="CA340" s="90" t="str">
        <f>IF(LEN(BR340)&gt;0,"VIRAL HEPATITIS PROJECT","")</f>
        <v>VIRAL HEPATITIS PROJECT</v>
      </c>
      <c r="CB340" s="129">
        <f>IF(LEN(BR340)&gt;0,BM340*0.7,"")</f>
        <v>2043476.8199999998</v>
      </c>
      <c r="CC340" s="90">
        <f>BP340</f>
        <v>3065215.2300000004</v>
      </c>
      <c r="CD340" s="90" t="str">
        <f>IF(LEN(BR340)&gt;0,"70%","")</f>
        <v>70%</v>
      </c>
      <c r="CE340" s="90">
        <f>BS340</f>
        <v>204121</v>
      </c>
      <c r="CF340" s="90" t="str">
        <f>CA340</f>
        <v>VIRAL HEPATITIS PROJECT</v>
      </c>
      <c r="CG340" s="90"/>
      <c r="CH340" s="90"/>
      <c r="CI340" s="90"/>
      <c r="CJ340" s="90"/>
      <c r="CK340" s="90"/>
      <c r="CL340" s="90"/>
      <c r="CM340" s="90"/>
      <c r="CN340" s="90"/>
      <c r="CO340" s="90"/>
      <c r="CP340" s="90"/>
      <c r="CQ340" s="90"/>
      <c r="CR340" s="90"/>
      <c r="CS340" s="90"/>
      <c r="CT340" s="137"/>
    </row>
    <row r="341" spans="1:98" ht="45">
      <c r="A341" s="89">
        <v>204132</v>
      </c>
      <c r="B341" s="90">
        <v>2020</v>
      </c>
      <c r="C341" s="90" t="s">
        <v>81</v>
      </c>
      <c r="D341" s="90" t="s">
        <v>1080</v>
      </c>
      <c r="E341" s="125" t="s">
        <v>780</v>
      </c>
      <c r="F341" s="24" t="s">
        <v>1081</v>
      </c>
      <c r="G341" s="90" t="s">
        <v>85</v>
      </c>
      <c r="H341" s="90" t="s">
        <v>150</v>
      </c>
      <c r="I341" s="90">
        <v>93</v>
      </c>
      <c r="J341" s="90">
        <v>157</v>
      </c>
      <c r="K341" s="90" t="s">
        <v>85</v>
      </c>
      <c r="L341" s="90" t="s">
        <v>1082</v>
      </c>
      <c r="M341" s="90" t="s">
        <v>119</v>
      </c>
      <c r="N341" s="24" t="s">
        <v>573</v>
      </c>
      <c r="O341" s="24" t="str">
        <f>IF(ISNUMBER(SEARCH("Cancer",N341)),"Cancer",IF(ISNUMBER(SEARCH("health",N341)),"Public health",IF(ISNUMBER(SEARCH("disabilities",N341)),"Disabilities","Other")))</f>
        <v>Other</v>
      </c>
      <c r="P341" s="126">
        <v>2267291</v>
      </c>
      <c r="Q341" s="90" t="s">
        <v>85</v>
      </c>
      <c r="R341" s="90" t="str">
        <f>IF(P341&gt;20000000,"B","A")</f>
        <v>A</v>
      </c>
      <c r="S341" s="90" t="s">
        <v>90</v>
      </c>
      <c r="T341" s="90" t="s">
        <v>119</v>
      </c>
      <c r="U341" s="90" t="s">
        <v>119</v>
      </c>
      <c r="V341" s="90" t="s">
        <v>119</v>
      </c>
      <c r="W341" s="90" t="s">
        <v>119</v>
      </c>
      <c r="X341" s="90" t="s">
        <v>119</v>
      </c>
      <c r="Y341" s="90" t="s">
        <v>119</v>
      </c>
      <c r="Z341" s="90" t="s">
        <v>119</v>
      </c>
      <c r="AA341" s="90" t="s">
        <v>119</v>
      </c>
      <c r="AB341" s="90" t="s">
        <v>119</v>
      </c>
      <c r="AC341" s="90" t="s">
        <v>119</v>
      </c>
      <c r="AD341" s="90" t="s">
        <v>119</v>
      </c>
      <c r="AE341" s="24">
        <v>0</v>
      </c>
      <c r="AF341" s="90">
        <v>0</v>
      </c>
      <c r="AG341" s="24">
        <v>0</v>
      </c>
      <c r="AH341" s="90">
        <v>88171</v>
      </c>
      <c r="AI341" s="24" t="s">
        <v>94</v>
      </c>
      <c r="AJ341" s="24" t="s">
        <v>95</v>
      </c>
      <c r="AK341" s="90" t="s">
        <v>85</v>
      </c>
      <c r="AL341" s="90">
        <v>204132</v>
      </c>
      <c r="AM341" s="90" t="s">
        <v>81</v>
      </c>
      <c r="AN341" s="90" t="s">
        <v>1080</v>
      </c>
      <c r="AO341" s="125" t="s">
        <v>780</v>
      </c>
      <c r="AP341" s="24" t="s">
        <v>573</v>
      </c>
      <c r="AQ341" s="90" t="s">
        <v>1082</v>
      </c>
      <c r="AR341" s="24" t="s">
        <v>573</v>
      </c>
      <c r="AS341" s="90" t="s">
        <v>119</v>
      </c>
      <c r="AT341" s="24" t="s">
        <v>94</v>
      </c>
      <c r="AU341" s="90" t="s">
        <v>119</v>
      </c>
      <c r="AV341" s="90" t="str">
        <f>IF(ISNUMBER(SEARCH("disagree",AE341)),"N","Y")</f>
        <v>Y</v>
      </c>
      <c r="AW341" s="90" t="s">
        <v>119</v>
      </c>
      <c r="AX341" s="24" t="s">
        <v>119</v>
      </c>
      <c r="AY341" s="90" t="str">
        <f>CONCATENATE(AZ341,BA341,BB341,BC341)</f>
        <v/>
      </c>
      <c r="AZ341" s="90" t="str">
        <f>IF(ISNUMBER(SEARCH("Y",AC341)),"R","")</f>
        <v/>
      </c>
      <c r="BA341" s="90" t="str">
        <f>IF(ISNUMBER(SEARCH("Y",Y341)),"M","")</f>
        <v/>
      </c>
      <c r="BB341" s="90" t="str">
        <f>IF(ISNUMBER(SEARCH("Y",AB341)),"QC","")</f>
        <v/>
      </c>
      <c r="BC341" s="90" t="str">
        <f>IF(ISNUMBER(SEARCH("Y",Z341)),"S","")</f>
        <v/>
      </c>
      <c r="BD341" s="90"/>
      <c r="BE341" s="24" t="s">
        <v>119</v>
      </c>
      <c r="BF341" s="125" t="str">
        <f>IF(AND(AW341&gt;=56543,AW341&lt;=76543,LEN(AW341)&gt;0),"3 Feb 2020",IF(AND(AW341&gt;=66544,AW341&lt;=99999,LEN(AW341)&gt;0),"12 Sep 2020",""))</f>
        <v/>
      </c>
      <c r="BG341" s="125" t="str">
        <f>IF((AND(BF341="3 Feb 2020",LEN(BF341)&gt;0)),"Completed",IF((AND(BF341="12 Sep 2020",LEN(BF341)&gt;0)),"Pending",""))</f>
        <v/>
      </c>
      <c r="BH341" s="90" t="str">
        <f>IF((AND(BF341="3 Feb 2020",LEN(BF341)&gt;0)),"3 Feb 2020","")</f>
        <v/>
      </c>
      <c r="BI341" s="90">
        <v>204132</v>
      </c>
      <c r="BJ341" s="90" t="str">
        <f>L341</f>
        <v>9B81DR86044-85</v>
      </c>
      <c r="BK341" s="127">
        <v>43508</v>
      </c>
      <c r="BL341" s="127">
        <v>44239</v>
      </c>
      <c r="BM341" s="128">
        <f>P341*1.1</f>
        <v>2494020.1</v>
      </c>
      <c r="BN341" s="129">
        <f>P341*0.9</f>
        <v>2040561.9000000001</v>
      </c>
      <c r="BO341" s="130">
        <f>P341*0.8</f>
        <v>1813832.8</v>
      </c>
      <c r="BP341" s="90">
        <f>IF(Z341="Y",BM341*0.4,BM341*1.05)</f>
        <v>2618721.105</v>
      </c>
      <c r="BQ341" s="90">
        <f>BP341*0.8</f>
        <v>2094976.8840000001</v>
      </c>
      <c r="BR341" s="90" t="str">
        <f>IF(ISNUMBER(SEARCH("subrecipient",AI337)),P341*0.6,"")</f>
        <v/>
      </c>
      <c r="BS341" s="90">
        <v>204132</v>
      </c>
      <c r="BT341" s="90" t="str">
        <f>BJ341</f>
        <v>9B81DR86044-85</v>
      </c>
      <c r="BU341" s="127">
        <f>BK341</f>
        <v>43508</v>
      </c>
      <c r="BV341" s="127">
        <f>BL341</f>
        <v>44239</v>
      </c>
      <c r="BW341" s="90" t="str">
        <f>H341</f>
        <v>ACF</v>
      </c>
      <c r="BX341" s="90" t="str">
        <f>IF(H341="NATIONAL HEMOPHILIA FOUNDATION","Non Federal","Federal")</f>
        <v>Federal</v>
      </c>
      <c r="BY341" s="128">
        <f>BM341</f>
        <v>2494020.1</v>
      </c>
      <c r="BZ341" s="90" t="str">
        <f>IF(LEN(BR341)&gt;0,1,"")</f>
        <v/>
      </c>
      <c r="CA341" s="90" t="str">
        <f>IF(LEN(BR341)&gt;0,"VIRAL HEPATITIS PROJECT","")</f>
        <v/>
      </c>
      <c r="CB341" s="129" t="str">
        <f>IF(LEN(BR341)&gt;0,BM341*0.7,"")</f>
        <v/>
      </c>
      <c r="CC341" s="90">
        <f>BP341</f>
        <v>2618721.105</v>
      </c>
      <c r="CD341" s="90" t="str">
        <f>IF(LEN(BR341)&gt;0,"70%","")</f>
        <v/>
      </c>
      <c r="CE341" s="90">
        <f>BS341</f>
        <v>204132</v>
      </c>
      <c r="CF341" s="90" t="str">
        <f>CA341</f>
        <v/>
      </c>
      <c r="CG341" s="90"/>
      <c r="CH341" s="90"/>
      <c r="CI341" s="90"/>
      <c r="CJ341" s="90"/>
      <c r="CK341" s="90"/>
      <c r="CL341" s="90"/>
      <c r="CM341" s="90"/>
      <c r="CN341" s="90"/>
      <c r="CO341" s="90"/>
      <c r="CP341" s="90"/>
      <c r="CQ341" s="90"/>
      <c r="CR341" s="90"/>
      <c r="CS341" s="90"/>
      <c r="CT341" s="137"/>
    </row>
    <row r="342" spans="1:98" ht="30">
      <c r="A342" s="89">
        <v>204132</v>
      </c>
      <c r="B342" s="90">
        <v>2020</v>
      </c>
      <c r="C342" s="90" t="s">
        <v>81</v>
      </c>
      <c r="D342" s="90" t="s">
        <v>1080</v>
      </c>
      <c r="E342" s="125" t="s">
        <v>781</v>
      </c>
      <c r="F342" s="24" t="s">
        <v>1081</v>
      </c>
      <c r="G342" s="90" t="s">
        <v>85</v>
      </c>
      <c r="H342" s="90" t="s">
        <v>150</v>
      </c>
      <c r="I342" s="90">
        <v>93</v>
      </c>
      <c r="J342" s="90">
        <v>157</v>
      </c>
      <c r="K342" s="90" t="s">
        <v>85</v>
      </c>
      <c r="L342" s="90" t="s">
        <v>1082</v>
      </c>
      <c r="M342" s="90" t="s">
        <v>119</v>
      </c>
      <c r="N342" s="24" t="s">
        <v>573</v>
      </c>
      <c r="O342" s="24" t="str">
        <f>IF(ISNUMBER(SEARCH("Cancer",N342)),"Cancer",IF(ISNUMBER(SEARCH("health",N342)),"Public health",IF(ISNUMBER(SEARCH("disabilities",N342)),"Disabilities","Other")))</f>
        <v>Other</v>
      </c>
      <c r="P342" s="126">
        <v>2267291</v>
      </c>
      <c r="Q342" s="90" t="s">
        <v>85</v>
      </c>
      <c r="R342" s="90" t="str">
        <f>IF(P342&gt;20000000,"B","A")</f>
        <v>A</v>
      </c>
      <c r="S342" s="90" t="s">
        <v>90</v>
      </c>
      <c r="T342" s="90" t="s">
        <v>119</v>
      </c>
      <c r="U342" s="90" t="s">
        <v>119</v>
      </c>
      <c r="V342" s="90" t="s">
        <v>119</v>
      </c>
      <c r="W342" s="90" t="s">
        <v>119</v>
      </c>
      <c r="X342" s="90" t="s">
        <v>119</v>
      </c>
      <c r="Y342" s="90" t="s">
        <v>119</v>
      </c>
      <c r="Z342" s="90" t="s">
        <v>119</v>
      </c>
      <c r="AA342" s="90" t="s">
        <v>119</v>
      </c>
      <c r="AB342" s="90" t="s">
        <v>119</v>
      </c>
      <c r="AC342" s="90" t="s">
        <v>119</v>
      </c>
      <c r="AD342" s="90" t="s">
        <v>119</v>
      </c>
      <c r="AE342" s="24">
        <v>0</v>
      </c>
      <c r="AF342" s="90">
        <v>0</v>
      </c>
      <c r="AG342" s="24">
        <v>0</v>
      </c>
      <c r="AH342" s="90">
        <v>88170</v>
      </c>
      <c r="AI342" s="24" t="s">
        <v>102</v>
      </c>
      <c r="AJ342" s="24" t="s">
        <v>103</v>
      </c>
      <c r="AK342" s="90" t="s">
        <v>85</v>
      </c>
      <c r="AL342" s="90">
        <v>204132</v>
      </c>
      <c r="AM342" s="90" t="s">
        <v>81</v>
      </c>
      <c r="AN342" s="90" t="s">
        <v>1080</v>
      </c>
      <c r="AO342" s="125" t="s">
        <v>781</v>
      </c>
      <c r="AP342" s="24" t="s">
        <v>573</v>
      </c>
      <c r="AQ342" s="90" t="s">
        <v>1082</v>
      </c>
      <c r="AR342" s="24" t="s">
        <v>573</v>
      </c>
      <c r="AS342" s="90" t="s">
        <v>119</v>
      </c>
      <c r="AT342" s="24" t="s">
        <v>102</v>
      </c>
      <c r="AU342" s="90" t="s">
        <v>119</v>
      </c>
      <c r="AV342" s="90" t="str">
        <f>IF(ISNUMBER(SEARCH("disagree",AE342)),"N","Y")</f>
        <v>Y</v>
      </c>
      <c r="AW342" s="90" t="s">
        <v>119</v>
      </c>
      <c r="AX342" s="24" t="s">
        <v>119</v>
      </c>
      <c r="AY342" s="90" t="str">
        <f>CONCATENATE(AZ342,BA342,BB342,BC342)</f>
        <v/>
      </c>
      <c r="AZ342" s="90" t="str">
        <f>IF(ISNUMBER(SEARCH("Y",AC342)),"R","")</f>
        <v/>
      </c>
      <c r="BA342" s="90" t="str">
        <f>IF(ISNUMBER(SEARCH("Y",Y342)),"M","")</f>
        <v/>
      </c>
      <c r="BB342" s="90" t="str">
        <f>IF(ISNUMBER(SEARCH("Y",AB342)),"QC","")</f>
        <v/>
      </c>
      <c r="BC342" s="90" t="str">
        <f>IF(ISNUMBER(SEARCH("Y",Z342)),"S","")</f>
        <v/>
      </c>
      <c r="BD342" s="90"/>
      <c r="BE342" s="24" t="s">
        <v>119</v>
      </c>
      <c r="BF342" s="125" t="str">
        <f>IF(AND(AW342&gt;=56543,AW342&lt;=76543,LEN(AW342)&gt;0),"3 Feb 2020",IF(AND(AW342&gt;=66544,AW342&lt;=99999,LEN(AW342)&gt;0),"12 Sep 2020",""))</f>
        <v/>
      </c>
      <c r="BG342" s="125" t="str">
        <f>IF((AND(BF342="3 Feb 2020",LEN(BF342)&gt;0)),"Completed",IF((AND(BF342="12 Sep 2020",LEN(BF342)&gt;0)),"Pending",""))</f>
        <v/>
      </c>
      <c r="BH342" s="90" t="str">
        <f>IF((AND(BF342="3 Feb 2020",LEN(BF342)&gt;0)),"3 Feb 2020","")</f>
        <v/>
      </c>
      <c r="BI342" s="90">
        <v>204132</v>
      </c>
      <c r="BJ342" s="90" t="str">
        <f>L342</f>
        <v>9B81DR86044-85</v>
      </c>
      <c r="BK342" s="127">
        <v>43508</v>
      </c>
      <c r="BL342" s="127">
        <v>44239</v>
      </c>
      <c r="BM342" s="128">
        <f>P342*1.1</f>
        <v>2494020.1</v>
      </c>
      <c r="BN342" s="129">
        <f>P342*0.9</f>
        <v>2040561.9000000001</v>
      </c>
      <c r="BO342" s="130">
        <f>P342*0.8</f>
        <v>1813832.8</v>
      </c>
      <c r="BP342" s="90">
        <f>IF(Z342="Y",BM342*0.4,BM342*1.05)</f>
        <v>2618721.105</v>
      </c>
      <c r="BQ342" s="90">
        <f>BP342*0.8</f>
        <v>2094976.8840000001</v>
      </c>
      <c r="BR342" s="90" t="str">
        <f>IF(ISNUMBER(SEARCH("subrecipient",AI338)),P342*0.6,"")</f>
        <v/>
      </c>
      <c r="BS342" s="90">
        <v>204132</v>
      </c>
      <c r="BT342" s="90" t="str">
        <f>BJ342</f>
        <v>9B81DR86044-85</v>
      </c>
      <c r="BU342" s="127">
        <f>BK342</f>
        <v>43508</v>
      </c>
      <c r="BV342" s="127">
        <f>BL342</f>
        <v>44239</v>
      </c>
      <c r="BW342" s="90" t="str">
        <f>H342</f>
        <v>ACF</v>
      </c>
      <c r="BX342" s="90" t="str">
        <f>IF(H342="NATIONAL HEMOPHILIA FOUNDATION","Non Federal","Federal")</f>
        <v>Federal</v>
      </c>
      <c r="BY342" s="128">
        <f>BM342</f>
        <v>2494020.1</v>
      </c>
      <c r="BZ342" s="90" t="str">
        <f>IF(LEN(BR342)&gt;0,1,"")</f>
        <v/>
      </c>
      <c r="CA342" s="90" t="str">
        <f>IF(LEN(BR342)&gt;0,"VIRAL HEPATITIS PROJECT","")</f>
        <v/>
      </c>
      <c r="CB342" s="129" t="str">
        <f>IF(LEN(BR342)&gt;0,BM342*0.7,"")</f>
        <v/>
      </c>
      <c r="CC342" s="90">
        <f>BP342</f>
        <v>2618721.105</v>
      </c>
      <c r="CD342" s="90" t="str">
        <f>IF(LEN(BR342)&gt;0,"70%","")</f>
        <v/>
      </c>
      <c r="CE342" s="90">
        <f>BS342</f>
        <v>204132</v>
      </c>
      <c r="CF342" s="90" t="str">
        <f>CA342</f>
        <v/>
      </c>
      <c r="CG342" s="90"/>
      <c r="CH342" s="90"/>
      <c r="CI342" s="90"/>
      <c r="CJ342" s="90"/>
      <c r="CK342" s="90"/>
      <c r="CL342" s="90"/>
      <c r="CM342" s="90"/>
      <c r="CN342" s="90"/>
      <c r="CO342" s="90"/>
      <c r="CP342" s="90"/>
      <c r="CQ342" s="90"/>
      <c r="CR342" s="90"/>
      <c r="CS342" s="90"/>
      <c r="CT342" s="137"/>
    </row>
    <row r="343" spans="1:98" ht="30">
      <c r="A343" s="89">
        <v>204132</v>
      </c>
      <c r="B343" s="90">
        <v>2020</v>
      </c>
      <c r="C343" s="90" t="s">
        <v>81</v>
      </c>
      <c r="D343" s="90" t="s">
        <v>1080</v>
      </c>
      <c r="E343" s="125" t="s">
        <v>784</v>
      </c>
      <c r="F343" s="24" t="s">
        <v>1081</v>
      </c>
      <c r="G343" s="90" t="s">
        <v>85</v>
      </c>
      <c r="H343" s="90" t="s">
        <v>150</v>
      </c>
      <c r="I343" s="90">
        <v>93</v>
      </c>
      <c r="J343" s="90">
        <v>157</v>
      </c>
      <c r="K343" s="90" t="s">
        <v>85</v>
      </c>
      <c r="L343" s="90" t="s">
        <v>1082</v>
      </c>
      <c r="M343" s="90" t="s">
        <v>119</v>
      </c>
      <c r="N343" s="24" t="s">
        <v>573</v>
      </c>
      <c r="O343" s="24" t="str">
        <f>IF(ISNUMBER(SEARCH("Cancer",N343)),"Cancer",IF(ISNUMBER(SEARCH("health",N343)),"Public health",IF(ISNUMBER(SEARCH("disabilities",N343)),"Disabilities","Other")))</f>
        <v>Other</v>
      </c>
      <c r="P343" s="126">
        <v>2267291</v>
      </c>
      <c r="Q343" s="90" t="s">
        <v>85</v>
      </c>
      <c r="R343" s="90" t="str">
        <f>IF(P343&gt;20000000,"B","A")</f>
        <v>A</v>
      </c>
      <c r="S343" s="90" t="s">
        <v>90</v>
      </c>
      <c r="T343" s="90" t="s">
        <v>119</v>
      </c>
      <c r="U343" s="90" t="s">
        <v>119</v>
      </c>
      <c r="V343" s="90" t="s">
        <v>119</v>
      </c>
      <c r="W343" s="90" t="s">
        <v>119</v>
      </c>
      <c r="X343" s="90" t="s">
        <v>119</v>
      </c>
      <c r="Y343" s="90" t="s">
        <v>119</v>
      </c>
      <c r="Z343" s="90" t="s">
        <v>119</v>
      </c>
      <c r="AA343" s="90" t="s">
        <v>119</v>
      </c>
      <c r="AB343" s="90" t="s">
        <v>119</v>
      </c>
      <c r="AC343" s="90" t="s">
        <v>119</v>
      </c>
      <c r="AD343" s="90" t="s">
        <v>119</v>
      </c>
      <c r="AE343" s="24">
        <v>0</v>
      </c>
      <c r="AF343" s="90">
        <v>0</v>
      </c>
      <c r="AG343" s="24">
        <v>0</v>
      </c>
      <c r="AH343" s="90">
        <v>88172</v>
      </c>
      <c r="AI343" s="24" t="s">
        <v>110</v>
      </c>
      <c r="AJ343" s="24" t="s">
        <v>1083</v>
      </c>
      <c r="AK343" s="90" t="s">
        <v>85</v>
      </c>
      <c r="AL343" s="90">
        <v>204132</v>
      </c>
      <c r="AM343" s="90" t="s">
        <v>81</v>
      </c>
      <c r="AN343" s="90" t="s">
        <v>1080</v>
      </c>
      <c r="AO343" s="125" t="s">
        <v>784</v>
      </c>
      <c r="AP343" s="24" t="s">
        <v>573</v>
      </c>
      <c r="AQ343" s="90" t="s">
        <v>1082</v>
      </c>
      <c r="AR343" s="24" t="s">
        <v>573</v>
      </c>
      <c r="AS343" s="90" t="s">
        <v>119</v>
      </c>
      <c r="AT343" s="24" t="s">
        <v>110</v>
      </c>
      <c r="AU343" s="90" t="s">
        <v>119</v>
      </c>
      <c r="AV343" s="90" t="str">
        <f>IF(ISNUMBER(SEARCH("disagree",AE343)),"N","Y")</f>
        <v>Y</v>
      </c>
      <c r="AW343" s="90" t="s">
        <v>119</v>
      </c>
      <c r="AX343" s="24" t="s">
        <v>119</v>
      </c>
      <c r="AY343" s="90" t="str">
        <f>CONCATENATE(AZ343,BA343,BB343,BC343)</f>
        <v/>
      </c>
      <c r="AZ343" s="90" t="str">
        <f>IF(ISNUMBER(SEARCH("Y",AC343)),"R","")</f>
        <v/>
      </c>
      <c r="BA343" s="90" t="str">
        <f>IF(ISNUMBER(SEARCH("Y",Y343)),"M","")</f>
        <v/>
      </c>
      <c r="BB343" s="90" t="str">
        <f>IF(ISNUMBER(SEARCH("Y",AB343)),"QC","")</f>
        <v/>
      </c>
      <c r="BC343" s="90" t="str">
        <f>IF(ISNUMBER(SEARCH("Y",Z343)),"S","")</f>
        <v/>
      </c>
      <c r="BD343" s="90"/>
      <c r="BE343" s="24" t="s">
        <v>119</v>
      </c>
      <c r="BF343" s="125" t="str">
        <f>IF(AND(AW343&gt;=56543,AW343&lt;=76543,LEN(AW343)&gt;0),"3 Feb 2020",IF(AND(AW343&gt;=66544,AW343&lt;=99999,LEN(AW343)&gt;0),"12 Sep 2020",""))</f>
        <v/>
      </c>
      <c r="BG343" s="125" t="str">
        <f>IF((AND(BF343="3 Feb 2020",LEN(BF343)&gt;0)),"Completed",IF((AND(BF343="12 Sep 2020",LEN(BF343)&gt;0)),"Pending",""))</f>
        <v/>
      </c>
      <c r="BH343" s="90" t="str">
        <f>IF((AND(BF343="3 Feb 2020",LEN(BF343)&gt;0)),"3 Feb 2020","")</f>
        <v/>
      </c>
      <c r="BI343" s="90">
        <v>204132</v>
      </c>
      <c r="BJ343" s="90" t="str">
        <f>L343</f>
        <v>9B81DR86044-85</v>
      </c>
      <c r="BK343" s="127">
        <v>43508</v>
      </c>
      <c r="BL343" s="127">
        <v>44239</v>
      </c>
      <c r="BM343" s="128">
        <f>P343*1.1</f>
        <v>2494020.1</v>
      </c>
      <c r="BN343" s="129">
        <f>P343*0.9</f>
        <v>2040561.9000000001</v>
      </c>
      <c r="BO343" s="130">
        <f>P343*0.8</f>
        <v>1813832.8</v>
      </c>
      <c r="BP343" s="90">
        <f>IF(Z343="Y",BM343*0.4,BM343*1.05)</f>
        <v>2618721.105</v>
      </c>
      <c r="BQ343" s="90">
        <f>BP343*0.8</f>
        <v>2094976.8840000001</v>
      </c>
      <c r="BR343" s="90" t="str">
        <f>IF(ISNUMBER(SEARCH("subrecipient",AI339)),P343*0.6,"")</f>
        <v/>
      </c>
      <c r="BS343" s="90">
        <v>204132</v>
      </c>
      <c r="BT343" s="90" t="str">
        <f>BJ343</f>
        <v>9B81DR86044-85</v>
      </c>
      <c r="BU343" s="127">
        <f>BK343</f>
        <v>43508</v>
      </c>
      <c r="BV343" s="127">
        <f>BL343</f>
        <v>44239</v>
      </c>
      <c r="BW343" s="90" t="str">
        <f>H343</f>
        <v>ACF</v>
      </c>
      <c r="BX343" s="90" t="str">
        <f>IF(H343="NATIONAL HEMOPHILIA FOUNDATION","Non Federal","Federal")</f>
        <v>Federal</v>
      </c>
      <c r="BY343" s="128">
        <f>BM343</f>
        <v>2494020.1</v>
      </c>
      <c r="BZ343" s="90" t="str">
        <f>IF(LEN(BR343)&gt;0,1,"")</f>
        <v/>
      </c>
      <c r="CA343" s="90" t="str">
        <f>IF(LEN(BR343)&gt;0,"VIRAL HEPATITIS PROJECT","")</f>
        <v/>
      </c>
      <c r="CB343" s="129" t="str">
        <f>IF(LEN(BR343)&gt;0,BM343*0.7,"")</f>
        <v/>
      </c>
      <c r="CC343" s="90">
        <f>BP343</f>
        <v>2618721.105</v>
      </c>
      <c r="CD343" s="90" t="str">
        <f>IF(LEN(BR343)&gt;0,"70%","")</f>
        <v/>
      </c>
      <c r="CE343" s="90">
        <f>BS343</f>
        <v>204132</v>
      </c>
      <c r="CF343" s="90" t="str">
        <f>CA343</f>
        <v/>
      </c>
      <c r="CG343" s="90"/>
      <c r="CH343" s="90"/>
      <c r="CI343" s="90"/>
      <c r="CJ343" s="90"/>
      <c r="CK343" s="90"/>
      <c r="CL343" s="90"/>
      <c r="CM343" s="90"/>
      <c r="CN343" s="90"/>
      <c r="CO343" s="90"/>
      <c r="CP343" s="90"/>
      <c r="CQ343" s="90"/>
      <c r="CR343" s="90"/>
      <c r="CS343" s="90"/>
      <c r="CT343" s="137"/>
    </row>
    <row r="344" spans="1:98" ht="225">
      <c r="A344" s="89">
        <v>204145</v>
      </c>
      <c r="B344" s="90">
        <v>2020</v>
      </c>
      <c r="C344" s="90" t="s">
        <v>81</v>
      </c>
      <c r="D344" s="90" t="s">
        <v>1084</v>
      </c>
      <c r="E344" s="125" t="s">
        <v>790</v>
      </c>
      <c r="F344" s="24" t="s">
        <v>1085</v>
      </c>
      <c r="G344" s="90" t="s">
        <v>85</v>
      </c>
      <c r="H344" s="90" t="s">
        <v>86</v>
      </c>
      <c r="I344" s="90">
        <v>93</v>
      </c>
      <c r="J344" s="90">
        <v>157</v>
      </c>
      <c r="K344" s="90" t="s">
        <v>85</v>
      </c>
      <c r="L344" s="90" t="s">
        <v>1086</v>
      </c>
      <c r="M344" s="90" t="s">
        <v>85</v>
      </c>
      <c r="N344" s="24" t="s">
        <v>410</v>
      </c>
      <c r="O344" s="24" t="str">
        <f>IF(ISNUMBER(SEARCH("Cancer",N344)),"Cancer",IF(ISNUMBER(SEARCH("health",N344)),"Public health",IF(ISNUMBER(SEARCH("disabilities",N344)),"Disabilities","Other")))</f>
        <v>Public health</v>
      </c>
      <c r="P344" s="126">
        <v>2170110</v>
      </c>
      <c r="Q344" s="90" t="s">
        <v>85</v>
      </c>
      <c r="R344" s="90" t="str">
        <f>IF(P344&gt;20000000,"B","A")</f>
        <v>A</v>
      </c>
      <c r="S344" s="90" t="s">
        <v>90</v>
      </c>
      <c r="T344" s="90">
        <v>2576763</v>
      </c>
      <c r="U344" s="90" t="s">
        <v>91</v>
      </c>
      <c r="V344" s="90" t="s">
        <v>804</v>
      </c>
      <c r="W344" s="90" t="s">
        <v>85</v>
      </c>
      <c r="X344" s="90" t="s">
        <v>87</v>
      </c>
      <c r="Y344" s="90" t="s">
        <v>85</v>
      </c>
      <c r="Z344" s="90" t="s">
        <v>85</v>
      </c>
      <c r="AA344" s="90" t="s">
        <v>85</v>
      </c>
      <c r="AB344" s="90" t="s">
        <v>85</v>
      </c>
      <c r="AC344" s="90" t="s">
        <v>85</v>
      </c>
      <c r="AD344" s="90">
        <v>0</v>
      </c>
      <c r="AE344" s="24" t="s">
        <v>1087</v>
      </c>
      <c r="AF344" s="90" t="s">
        <v>91</v>
      </c>
      <c r="AG344" s="24" t="s">
        <v>1088</v>
      </c>
      <c r="AH344" s="90">
        <v>89261</v>
      </c>
      <c r="AI344" s="24" t="s">
        <v>94</v>
      </c>
      <c r="AJ344" s="24" t="s">
        <v>1089</v>
      </c>
      <c r="AK344" s="90" t="s">
        <v>87</v>
      </c>
      <c r="AL344" s="90">
        <v>204145</v>
      </c>
      <c r="AM344" s="90" t="s">
        <v>81</v>
      </c>
      <c r="AN344" s="90" t="s">
        <v>1084</v>
      </c>
      <c r="AO344" s="125" t="s">
        <v>790</v>
      </c>
      <c r="AP344" s="24" t="s">
        <v>410</v>
      </c>
      <c r="AQ344" s="90" t="s">
        <v>1086</v>
      </c>
      <c r="AR344" s="24" t="s">
        <v>410</v>
      </c>
      <c r="AS344" s="90">
        <v>2576763</v>
      </c>
      <c r="AT344" s="24" t="s">
        <v>94</v>
      </c>
      <c r="AU344" s="90" t="s">
        <v>804</v>
      </c>
      <c r="AV344" s="90" t="str">
        <f>IF(ISNUMBER(SEARCH("disagree",AE344)),"N","Y")</f>
        <v>Y</v>
      </c>
      <c r="AW344" s="90" t="s">
        <v>119</v>
      </c>
      <c r="AX344" s="24" t="s">
        <v>119</v>
      </c>
      <c r="AY344" s="90" t="str">
        <f>CONCATENATE(AZ344,BA344,BB344,BC344)</f>
        <v/>
      </c>
      <c r="AZ344" s="90" t="str">
        <f>IF(ISNUMBER(SEARCH("Y",AC344)),"R","")</f>
        <v/>
      </c>
      <c r="BA344" s="90" t="str">
        <f>IF(ISNUMBER(SEARCH("Y",Y344)),"M","")</f>
        <v/>
      </c>
      <c r="BB344" s="90" t="str">
        <f>IF(ISNUMBER(SEARCH("Y",AB344)),"QC","")</f>
        <v/>
      </c>
      <c r="BC344" s="90" t="str">
        <f>IF(ISNUMBER(SEARCH("Y",Z344)),"S","")</f>
        <v/>
      </c>
      <c r="BD344" s="90"/>
      <c r="BE344" s="24" t="s">
        <v>119</v>
      </c>
      <c r="BF344" s="125" t="str">
        <f>IF(AND(AW344&gt;=56543,AW344&lt;=76543,LEN(AW344)&gt;0),"3 Feb 2020",IF(AND(AW344&gt;=66544,AW344&lt;=99999,LEN(AW344)&gt;0),"12 Sep 2020",""))</f>
        <v/>
      </c>
      <c r="BG344" s="125" t="str">
        <f>IF((AND(BF344="3 Feb 2020",LEN(BF344)&gt;0)),"Completed",IF((AND(BF344="12 Sep 2020",LEN(BF344)&gt;0)),"Pending",""))</f>
        <v/>
      </c>
      <c r="BH344" s="90" t="str">
        <f>IF((AND(BF344="3 Feb 2020",LEN(BF344)&gt;0)),"3 Feb 2020","")</f>
        <v/>
      </c>
      <c r="BI344" s="90">
        <v>204145</v>
      </c>
      <c r="BJ344" s="90" t="str">
        <f>L344</f>
        <v>7D57BT86045-89</v>
      </c>
      <c r="BK344" s="127">
        <v>43508</v>
      </c>
      <c r="BL344" s="127">
        <v>44239</v>
      </c>
      <c r="BM344" s="128">
        <f>P344*1.1</f>
        <v>2387121</v>
      </c>
      <c r="BN344" s="129">
        <f>P344*0.9</f>
        <v>1953099</v>
      </c>
      <c r="BO344" s="130">
        <f>P344*0.8</f>
        <v>1736088</v>
      </c>
      <c r="BP344" s="90">
        <f>IF(Z344="Y",BM344*0.4,BM344*1.05)</f>
        <v>2506477.0500000003</v>
      </c>
      <c r="BQ344" s="90">
        <f>BP344*0.8</f>
        <v>2005181.6400000004</v>
      </c>
      <c r="BR344" s="90">
        <f>IF(ISNUMBER(SEARCH("subrecipient",AI340)),P344*0.6,"")</f>
        <v>1302066</v>
      </c>
      <c r="BS344" s="90">
        <v>204145</v>
      </c>
      <c r="BT344" s="90" t="str">
        <f>BJ344</f>
        <v>7D57BT86045-89</v>
      </c>
      <c r="BU344" s="127">
        <f>BK344</f>
        <v>43508</v>
      </c>
      <c r="BV344" s="127">
        <f>BL344</f>
        <v>44239</v>
      </c>
      <c r="BW344" s="90" t="str">
        <f>H344</f>
        <v>CDC</v>
      </c>
      <c r="BX344" s="90" t="str">
        <f>IF(H344="NATIONAL HEMOPHILIA FOUNDATION","Non Federal","Federal")</f>
        <v>Federal</v>
      </c>
      <c r="BY344" s="128">
        <f>BM344</f>
        <v>2387121</v>
      </c>
      <c r="BZ344" s="90">
        <f>IF(LEN(BR344)&gt;0,1,"")</f>
        <v>1</v>
      </c>
      <c r="CA344" s="90" t="str">
        <f>IF(LEN(BR344)&gt;0,"VIRAL HEPATITIS PROJECT","")</f>
        <v>VIRAL HEPATITIS PROJECT</v>
      </c>
      <c r="CB344" s="129">
        <f>IF(LEN(BR344)&gt;0,BM344*0.7,"")</f>
        <v>1670984.7</v>
      </c>
      <c r="CC344" s="90">
        <f>BP344</f>
        <v>2506477.0500000003</v>
      </c>
      <c r="CD344" s="90" t="str">
        <f>IF(LEN(BR344)&gt;0,"70%","")</f>
        <v>70%</v>
      </c>
      <c r="CE344" s="90">
        <f>BS344</f>
        <v>204145</v>
      </c>
      <c r="CF344" s="90" t="str">
        <f>CA344</f>
        <v>VIRAL HEPATITIS PROJECT</v>
      </c>
      <c r="CG344" s="90" t="s">
        <v>1090</v>
      </c>
      <c r="CH344" s="24" t="s">
        <v>1091</v>
      </c>
      <c r="CI344" s="129">
        <f>CB344</f>
        <v>1670984.7</v>
      </c>
      <c r="CJ344" s="125" t="s">
        <v>157</v>
      </c>
      <c r="CK344" s="90" t="s">
        <v>158</v>
      </c>
      <c r="CL344" s="90" t="s">
        <v>160</v>
      </c>
      <c r="CM344" s="90" t="s">
        <v>160</v>
      </c>
      <c r="CN344" s="90" t="s">
        <v>160</v>
      </c>
      <c r="CO344" s="24" t="s">
        <v>161</v>
      </c>
      <c r="CP344" s="24" t="s">
        <v>1092</v>
      </c>
      <c r="CQ344" s="132">
        <v>0.3</v>
      </c>
      <c r="CR344" s="127">
        <f>BU344+50</f>
        <v>43558</v>
      </c>
      <c r="CS344" s="127">
        <f>BV344-50</f>
        <v>44189</v>
      </c>
      <c r="CT344" s="138">
        <f>CI344*0.4</f>
        <v>668393.88</v>
      </c>
    </row>
    <row r="345" spans="1:98" ht="195">
      <c r="A345" s="89">
        <v>204145</v>
      </c>
      <c r="B345" s="90">
        <v>2020</v>
      </c>
      <c r="C345" s="90" t="s">
        <v>81</v>
      </c>
      <c r="D345" s="90" t="s">
        <v>1084</v>
      </c>
      <c r="E345" s="125" t="s">
        <v>791</v>
      </c>
      <c r="F345" s="24" t="s">
        <v>1085</v>
      </c>
      <c r="G345" s="90" t="s">
        <v>85</v>
      </c>
      <c r="H345" s="90" t="s">
        <v>86</v>
      </c>
      <c r="I345" s="90">
        <v>93</v>
      </c>
      <c r="J345" s="90">
        <v>157</v>
      </c>
      <c r="K345" s="90" t="s">
        <v>85</v>
      </c>
      <c r="L345" s="90" t="s">
        <v>1086</v>
      </c>
      <c r="M345" s="90" t="s">
        <v>85</v>
      </c>
      <c r="N345" s="24" t="s">
        <v>410</v>
      </c>
      <c r="O345" s="24" t="str">
        <f>IF(ISNUMBER(SEARCH("Cancer",N345)),"Cancer",IF(ISNUMBER(SEARCH("health",N345)),"Public health",IF(ISNUMBER(SEARCH("disabilities",N345)),"Disabilities","Other")))</f>
        <v>Public health</v>
      </c>
      <c r="P345" s="126">
        <v>2170110</v>
      </c>
      <c r="Q345" s="90" t="s">
        <v>85</v>
      </c>
      <c r="R345" s="90" t="str">
        <f>IF(P345&gt;20000000,"B","A")</f>
        <v>A</v>
      </c>
      <c r="S345" s="90" t="s">
        <v>90</v>
      </c>
      <c r="T345" s="90">
        <v>2576763</v>
      </c>
      <c r="U345" s="90" t="s">
        <v>91</v>
      </c>
      <c r="V345" s="90" t="s">
        <v>804</v>
      </c>
      <c r="W345" s="90" t="s">
        <v>85</v>
      </c>
      <c r="X345" s="90" t="s">
        <v>87</v>
      </c>
      <c r="Y345" s="90" t="s">
        <v>85</v>
      </c>
      <c r="Z345" s="90" t="s">
        <v>85</v>
      </c>
      <c r="AA345" s="90" t="s">
        <v>85</v>
      </c>
      <c r="AB345" s="90" t="s">
        <v>85</v>
      </c>
      <c r="AC345" s="90" t="s">
        <v>85</v>
      </c>
      <c r="AD345" s="90">
        <v>0</v>
      </c>
      <c r="AE345" s="24" t="s">
        <v>1093</v>
      </c>
      <c r="AF345" s="90" t="s">
        <v>100</v>
      </c>
      <c r="AG345" s="24" t="s">
        <v>1094</v>
      </c>
      <c r="AH345" s="90">
        <v>89262</v>
      </c>
      <c r="AI345" s="24" t="s">
        <v>102</v>
      </c>
      <c r="AJ345" s="24" t="s">
        <v>1095</v>
      </c>
      <c r="AK345" s="90" t="s">
        <v>87</v>
      </c>
      <c r="AL345" s="90">
        <v>204145</v>
      </c>
      <c r="AM345" s="90" t="s">
        <v>81</v>
      </c>
      <c r="AN345" s="90" t="s">
        <v>1084</v>
      </c>
      <c r="AO345" s="125" t="s">
        <v>791</v>
      </c>
      <c r="AP345" s="24" t="s">
        <v>410</v>
      </c>
      <c r="AQ345" s="90" t="s">
        <v>1086</v>
      </c>
      <c r="AR345" s="24" t="s">
        <v>410</v>
      </c>
      <c r="AS345" s="90">
        <v>2576763</v>
      </c>
      <c r="AT345" s="24" t="s">
        <v>102</v>
      </c>
      <c r="AU345" s="90" t="s">
        <v>804</v>
      </c>
      <c r="AV345" s="90" t="str">
        <f>IF(ISNUMBER(SEARCH("disagree",AE345)),"N","Y")</f>
        <v>Y</v>
      </c>
      <c r="AW345" s="90" t="s">
        <v>119</v>
      </c>
      <c r="AX345" s="24" t="s">
        <v>119</v>
      </c>
      <c r="AY345" s="90" t="str">
        <f>CONCATENATE(AZ345,BA345,BB345,BC345)</f>
        <v/>
      </c>
      <c r="AZ345" s="90" t="str">
        <f>IF(ISNUMBER(SEARCH("Y",AC345)),"R","")</f>
        <v/>
      </c>
      <c r="BA345" s="90" t="str">
        <f>IF(ISNUMBER(SEARCH("Y",Y345)),"M","")</f>
        <v/>
      </c>
      <c r="BB345" s="90" t="str">
        <f>IF(ISNUMBER(SEARCH("Y",AB345)),"QC","")</f>
        <v/>
      </c>
      <c r="BC345" s="90" t="str">
        <f>IF(ISNUMBER(SEARCH("Y",Z345)),"S","")</f>
        <v/>
      </c>
      <c r="BD345" s="90"/>
      <c r="BE345" s="24" t="s">
        <v>119</v>
      </c>
      <c r="BF345" s="125" t="str">
        <f>IF(AND(AW345&gt;=56543,AW345&lt;=76543,LEN(AW345)&gt;0),"3 Feb 2020",IF(AND(AW345&gt;=66544,AW345&lt;=99999,LEN(AW345)&gt;0),"12 Sep 2020",""))</f>
        <v/>
      </c>
      <c r="BG345" s="125" t="str">
        <f>IF((AND(BF345="3 Feb 2020",LEN(BF345)&gt;0)),"Completed",IF((AND(BF345="12 Sep 2020",LEN(BF345)&gt;0)),"Pending",""))</f>
        <v/>
      </c>
      <c r="BH345" s="90" t="str">
        <f>IF((AND(BF345="3 Feb 2020",LEN(BF345)&gt;0)),"3 Feb 2020","")</f>
        <v/>
      </c>
      <c r="BI345" s="90">
        <v>204145</v>
      </c>
      <c r="BJ345" s="90" t="str">
        <f>L345</f>
        <v>7D57BT86045-89</v>
      </c>
      <c r="BK345" s="127">
        <v>43508</v>
      </c>
      <c r="BL345" s="127">
        <v>44239</v>
      </c>
      <c r="BM345" s="128">
        <f>P345*1.1</f>
        <v>2387121</v>
      </c>
      <c r="BN345" s="129">
        <f>P345*0.9</f>
        <v>1953099</v>
      </c>
      <c r="BO345" s="130">
        <f>P345*0.8</f>
        <v>1736088</v>
      </c>
      <c r="BP345" s="90">
        <f>IF(Z345="Y",BM345*0.4,BM345*1.05)</f>
        <v>2506477.0500000003</v>
      </c>
      <c r="BQ345" s="90">
        <f>BP345*0.8</f>
        <v>2005181.6400000004</v>
      </c>
      <c r="BR345" s="90" t="str">
        <f>IF(ISNUMBER(SEARCH("subrecipient",AI341)),P345*0.6,"")</f>
        <v/>
      </c>
      <c r="BS345" s="90">
        <v>204145</v>
      </c>
      <c r="BT345" s="90" t="str">
        <f>BJ345</f>
        <v>7D57BT86045-89</v>
      </c>
      <c r="BU345" s="127">
        <f>BK345</f>
        <v>43508</v>
      </c>
      <c r="BV345" s="127">
        <f>BL345</f>
        <v>44239</v>
      </c>
      <c r="BW345" s="90" t="str">
        <f>H345</f>
        <v>CDC</v>
      </c>
      <c r="BX345" s="90" t="str">
        <f>IF(H345="NATIONAL HEMOPHILIA FOUNDATION","Non Federal","Federal")</f>
        <v>Federal</v>
      </c>
      <c r="BY345" s="128">
        <f>BM345</f>
        <v>2387121</v>
      </c>
      <c r="BZ345" s="90" t="str">
        <f>IF(LEN(BR345)&gt;0,1,"")</f>
        <v/>
      </c>
      <c r="CA345" s="90" t="str">
        <f>IF(LEN(BR345)&gt;0,"VIRAL HEPATITIS PROJECT","")</f>
        <v/>
      </c>
      <c r="CB345" s="129" t="str">
        <f>IF(LEN(BR345)&gt;0,BM345*0.7,"")</f>
        <v/>
      </c>
      <c r="CC345" s="90">
        <f>BP345</f>
        <v>2506477.0500000003</v>
      </c>
      <c r="CD345" s="90" t="str">
        <f>IF(LEN(BR345)&gt;0,"70%","")</f>
        <v/>
      </c>
      <c r="CE345" s="90">
        <f>BS345</f>
        <v>204145</v>
      </c>
      <c r="CF345" s="90" t="str">
        <f>CA345</f>
        <v/>
      </c>
      <c r="CG345" s="90"/>
      <c r="CH345" s="90"/>
      <c r="CI345" s="90"/>
      <c r="CJ345" s="90"/>
      <c r="CK345" s="90"/>
      <c r="CL345" s="90"/>
      <c r="CM345" s="90"/>
      <c r="CN345" s="90"/>
      <c r="CO345" s="90"/>
      <c r="CP345" s="90"/>
      <c r="CQ345" s="90"/>
      <c r="CR345" s="90"/>
      <c r="CS345" s="90"/>
      <c r="CT345" s="137"/>
    </row>
    <row r="346" spans="1:98" ht="105">
      <c r="A346" s="89">
        <v>204145</v>
      </c>
      <c r="B346" s="90">
        <v>2020</v>
      </c>
      <c r="C346" s="90" t="s">
        <v>81</v>
      </c>
      <c r="D346" s="90" t="s">
        <v>1084</v>
      </c>
      <c r="E346" s="125" t="s">
        <v>793</v>
      </c>
      <c r="F346" s="24" t="s">
        <v>1085</v>
      </c>
      <c r="G346" s="90" t="s">
        <v>85</v>
      </c>
      <c r="H346" s="90" t="s">
        <v>86</v>
      </c>
      <c r="I346" s="90">
        <v>93</v>
      </c>
      <c r="J346" s="90">
        <v>157</v>
      </c>
      <c r="K346" s="90" t="s">
        <v>85</v>
      </c>
      <c r="L346" s="90" t="s">
        <v>1086</v>
      </c>
      <c r="M346" s="90" t="s">
        <v>85</v>
      </c>
      <c r="N346" s="24" t="s">
        <v>410</v>
      </c>
      <c r="O346" s="24" t="str">
        <f>IF(ISNUMBER(SEARCH("Cancer",N346)),"Cancer",IF(ISNUMBER(SEARCH("health",N346)),"Public health",IF(ISNUMBER(SEARCH("disabilities",N346)),"Disabilities","Other")))</f>
        <v>Public health</v>
      </c>
      <c r="P346" s="126">
        <v>2170110</v>
      </c>
      <c r="Q346" s="90" t="s">
        <v>85</v>
      </c>
      <c r="R346" s="90" t="str">
        <f>IF(P346&gt;20000000,"B","A")</f>
        <v>A</v>
      </c>
      <c r="S346" s="90" t="s">
        <v>90</v>
      </c>
      <c r="T346" s="90">
        <v>2576763</v>
      </c>
      <c r="U346" s="90" t="s">
        <v>91</v>
      </c>
      <c r="V346" s="90" t="s">
        <v>804</v>
      </c>
      <c r="W346" s="90" t="s">
        <v>85</v>
      </c>
      <c r="X346" s="90" t="s">
        <v>87</v>
      </c>
      <c r="Y346" s="90" t="s">
        <v>85</v>
      </c>
      <c r="Z346" s="90" t="s">
        <v>85</v>
      </c>
      <c r="AA346" s="90" t="s">
        <v>85</v>
      </c>
      <c r="AB346" s="90" t="s">
        <v>85</v>
      </c>
      <c r="AC346" s="90" t="s">
        <v>85</v>
      </c>
      <c r="AD346" s="90">
        <v>0</v>
      </c>
      <c r="AE346" s="24">
        <v>0</v>
      </c>
      <c r="AF346" s="90">
        <v>0</v>
      </c>
      <c r="AG346" s="24">
        <v>0</v>
      </c>
      <c r="AH346" s="90">
        <v>89260</v>
      </c>
      <c r="AI346" s="24" t="s">
        <v>1096</v>
      </c>
      <c r="AJ346" s="24" t="s">
        <v>1097</v>
      </c>
      <c r="AK346" s="90" t="s">
        <v>85</v>
      </c>
      <c r="AL346" s="90">
        <v>204145</v>
      </c>
      <c r="AM346" s="90" t="s">
        <v>81</v>
      </c>
      <c r="AN346" s="90" t="s">
        <v>1084</v>
      </c>
      <c r="AO346" s="125" t="s">
        <v>793</v>
      </c>
      <c r="AP346" s="24" t="s">
        <v>410</v>
      </c>
      <c r="AQ346" s="90" t="s">
        <v>1086</v>
      </c>
      <c r="AR346" s="24" t="s">
        <v>410</v>
      </c>
      <c r="AS346" s="90">
        <v>2576763</v>
      </c>
      <c r="AT346" s="24" t="s">
        <v>1096</v>
      </c>
      <c r="AU346" s="90" t="s">
        <v>804</v>
      </c>
      <c r="AV346" s="90" t="str">
        <f>IF(ISNUMBER(SEARCH("disagree",AE346)),"N","Y")</f>
        <v>Y</v>
      </c>
      <c r="AW346" s="90" t="s">
        <v>119</v>
      </c>
      <c r="AX346" s="24" t="s">
        <v>119</v>
      </c>
      <c r="AY346" s="90" t="str">
        <f>CONCATENATE(AZ346,BA346,BB346,BC346)</f>
        <v/>
      </c>
      <c r="AZ346" s="90" t="str">
        <f>IF(ISNUMBER(SEARCH("Y",AC346)),"R","")</f>
        <v/>
      </c>
      <c r="BA346" s="90" t="str">
        <f>IF(ISNUMBER(SEARCH("Y",Y346)),"M","")</f>
        <v/>
      </c>
      <c r="BB346" s="90" t="str">
        <f>IF(ISNUMBER(SEARCH("Y",AB346)),"QC","")</f>
        <v/>
      </c>
      <c r="BC346" s="90" t="str">
        <f>IF(ISNUMBER(SEARCH("Y",Z346)),"S","")</f>
        <v/>
      </c>
      <c r="BD346" s="90"/>
      <c r="BE346" s="24" t="s">
        <v>119</v>
      </c>
      <c r="BF346" s="125" t="str">
        <f>IF(AND(AW346&gt;=56543,AW346&lt;=76543,LEN(AW346)&gt;0),"3 Feb 2020",IF(AND(AW346&gt;=66544,AW346&lt;=99999,LEN(AW346)&gt;0),"12 Sep 2020",""))</f>
        <v/>
      </c>
      <c r="BG346" s="125" t="str">
        <f>IF((AND(BF346="3 Feb 2020",LEN(BF346)&gt;0)),"Completed",IF((AND(BF346="12 Sep 2020",LEN(BF346)&gt;0)),"Pending",""))</f>
        <v/>
      </c>
      <c r="BH346" s="90" t="str">
        <f>IF((AND(BF346="3 Feb 2020",LEN(BF346)&gt;0)),"3 Feb 2020","")</f>
        <v/>
      </c>
      <c r="BI346" s="90">
        <v>204145</v>
      </c>
      <c r="BJ346" s="90" t="str">
        <f>L346</f>
        <v>7D57BT86045-89</v>
      </c>
      <c r="BK346" s="127">
        <v>43508</v>
      </c>
      <c r="BL346" s="127">
        <v>44239</v>
      </c>
      <c r="BM346" s="128">
        <f>P346*1.1</f>
        <v>2387121</v>
      </c>
      <c r="BN346" s="129">
        <f>P346*0.9</f>
        <v>1953099</v>
      </c>
      <c r="BO346" s="130">
        <f>P346*0.8</f>
        <v>1736088</v>
      </c>
      <c r="BP346" s="90">
        <f>IF(Z346="Y",BM346*0.4,BM346*1.05)</f>
        <v>2506477.0500000003</v>
      </c>
      <c r="BQ346" s="90">
        <f>BP346*0.8</f>
        <v>2005181.6400000004</v>
      </c>
      <c r="BR346" s="90" t="str">
        <f>IF(ISNUMBER(SEARCH("subrecipient",AI342)),P346*0.6,"")</f>
        <v/>
      </c>
      <c r="BS346" s="90">
        <v>204145</v>
      </c>
      <c r="BT346" s="90" t="str">
        <f>BJ346</f>
        <v>7D57BT86045-89</v>
      </c>
      <c r="BU346" s="127">
        <f>BK346</f>
        <v>43508</v>
      </c>
      <c r="BV346" s="127">
        <f>BL346</f>
        <v>44239</v>
      </c>
      <c r="BW346" s="90" t="str">
        <f>H346</f>
        <v>CDC</v>
      </c>
      <c r="BX346" s="90" t="str">
        <f>IF(H346="NATIONAL HEMOPHILIA FOUNDATION","Non Federal","Federal")</f>
        <v>Federal</v>
      </c>
      <c r="BY346" s="128">
        <f>BM346</f>
        <v>2387121</v>
      </c>
      <c r="BZ346" s="90" t="str">
        <f>IF(LEN(BR346)&gt;0,1,"")</f>
        <v/>
      </c>
      <c r="CA346" s="90" t="str">
        <f>IF(LEN(BR346)&gt;0,"VIRAL HEPATITIS PROJECT","")</f>
        <v/>
      </c>
      <c r="CB346" s="129" t="str">
        <f>IF(LEN(BR346)&gt;0,BM346*0.7,"")</f>
        <v/>
      </c>
      <c r="CC346" s="90">
        <f>BP346</f>
        <v>2506477.0500000003</v>
      </c>
      <c r="CD346" s="90" t="str">
        <f>IF(LEN(BR346)&gt;0,"70%","")</f>
        <v/>
      </c>
      <c r="CE346" s="90">
        <f>BS346</f>
        <v>204145</v>
      </c>
      <c r="CF346" s="90" t="str">
        <f>CA346</f>
        <v/>
      </c>
      <c r="CG346" s="90"/>
      <c r="CH346" s="90"/>
      <c r="CI346" s="90"/>
      <c r="CJ346" s="90"/>
      <c r="CK346" s="90"/>
      <c r="CL346" s="90"/>
      <c r="CM346" s="90"/>
      <c r="CN346" s="90"/>
      <c r="CO346" s="90"/>
      <c r="CP346" s="90"/>
      <c r="CQ346" s="90"/>
      <c r="CR346" s="90"/>
      <c r="CS346" s="90"/>
      <c r="CT346" s="137"/>
    </row>
    <row r="347" spans="1:98" ht="90">
      <c r="A347" s="89">
        <v>204274</v>
      </c>
      <c r="B347" s="90">
        <v>2020</v>
      </c>
      <c r="C347" s="90" t="s">
        <v>81</v>
      </c>
      <c r="D347" s="90" t="s">
        <v>1098</v>
      </c>
      <c r="E347" s="125" t="s">
        <v>780</v>
      </c>
      <c r="F347" s="24" t="s">
        <v>1099</v>
      </c>
      <c r="G347" s="90" t="s">
        <v>85</v>
      </c>
      <c r="H347" s="90" t="s">
        <v>117</v>
      </c>
      <c r="I347" s="90">
        <v>93</v>
      </c>
      <c r="J347" s="90">
        <v>157</v>
      </c>
      <c r="K347" s="90" t="s">
        <v>85</v>
      </c>
      <c r="L347" s="90" t="s">
        <v>1100</v>
      </c>
      <c r="M347" s="90" t="s">
        <v>119</v>
      </c>
      <c r="N347" s="24" t="s">
        <v>764</v>
      </c>
      <c r="O347" s="24" t="str">
        <f>IF(ISNUMBER(SEARCH("Cancer",N347)),"Cancer",IF(ISNUMBER(SEARCH("health",N347)),"Public health",IF(ISNUMBER(SEARCH("disabilities",N347)),"Disabilities","Other")))</f>
        <v>Other</v>
      </c>
      <c r="P347" s="126">
        <v>2096574</v>
      </c>
      <c r="Q347" s="90" t="s">
        <v>85</v>
      </c>
      <c r="R347" s="90" t="str">
        <f>IF(P347&gt;20000000,"B","A")</f>
        <v>A</v>
      </c>
      <c r="S347" s="90" t="s">
        <v>90</v>
      </c>
      <c r="T347" s="90" t="s">
        <v>119</v>
      </c>
      <c r="U347" s="90" t="s">
        <v>119</v>
      </c>
      <c r="V347" s="90" t="s">
        <v>119</v>
      </c>
      <c r="W347" s="90" t="s">
        <v>119</v>
      </c>
      <c r="X347" s="90" t="s">
        <v>119</v>
      </c>
      <c r="Y347" s="90" t="s">
        <v>119</v>
      </c>
      <c r="Z347" s="90" t="s">
        <v>119</v>
      </c>
      <c r="AA347" s="90" t="s">
        <v>119</v>
      </c>
      <c r="AB347" s="90" t="s">
        <v>119</v>
      </c>
      <c r="AC347" s="90" t="s">
        <v>119</v>
      </c>
      <c r="AD347" s="90" t="s">
        <v>119</v>
      </c>
      <c r="AE347" s="24">
        <v>0</v>
      </c>
      <c r="AF347" s="90">
        <v>0</v>
      </c>
      <c r="AG347" s="24">
        <v>0</v>
      </c>
      <c r="AH347" s="90">
        <v>87141</v>
      </c>
      <c r="AI347" s="24" t="s">
        <v>94</v>
      </c>
      <c r="AJ347" s="24" t="s">
        <v>1101</v>
      </c>
      <c r="AK347" s="90" t="s">
        <v>85</v>
      </c>
      <c r="AL347" s="90">
        <v>204274</v>
      </c>
      <c r="AM347" s="90" t="s">
        <v>81</v>
      </c>
      <c r="AN347" s="90" t="s">
        <v>1098</v>
      </c>
      <c r="AO347" s="125" t="s">
        <v>780</v>
      </c>
      <c r="AP347" s="24" t="s">
        <v>764</v>
      </c>
      <c r="AQ347" s="90" t="s">
        <v>1100</v>
      </c>
      <c r="AR347" s="24" t="s">
        <v>764</v>
      </c>
      <c r="AS347" s="90" t="s">
        <v>119</v>
      </c>
      <c r="AT347" s="24" t="s">
        <v>94</v>
      </c>
      <c r="AU347" s="90" t="s">
        <v>119</v>
      </c>
      <c r="AV347" s="90" t="str">
        <f>IF(ISNUMBER(SEARCH("disagree",AE347)),"N","Y")</f>
        <v>Y</v>
      </c>
      <c r="AW347" s="90" t="s">
        <v>119</v>
      </c>
      <c r="AX347" s="24" t="s">
        <v>119</v>
      </c>
      <c r="AY347" s="90" t="str">
        <f>CONCATENATE(AZ347,BA347,BB347,BC347)</f>
        <v/>
      </c>
      <c r="AZ347" s="90" t="str">
        <f>IF(ISNUMBER(SEARCH("Y",AC347)),"R","")</f>
        <v/>
      </c>
      <c r="BA347" s="90" t="str">
        <f>IF(ISNUMBER(SEARCH("Y",Y347)),"M","")</f>
        <v/>
      </c>
      <c r="BB347" s="90" t="str">
        <f>IF(ISNUMBER(SEARCH("Y",AB347)),"QC","")</f>
        <v/>
      </c>
      <c r="BC347" s="90" t="str">
        <f>IF(ISNUMBER(SEARCH("Y",Z347)),"S","")</f>
        <v/>
      </c>
      <c r="BD347" s="90"/>
      <c r="BE347" s="24" t="s">
        <v>119</v>
      </c>
      <c r="BF347" s="125" t="str">
        <f>IF(AND(AW347&gt;=56543,AW347&lt;=76543,LEN(AW347)&gt;0),"3 Feb 2020",IF(AND(AW347&gt;=66544,AW347&lt;=99999,LEN(AW347)&gt;0),"12 Sep 2020",""))</f>
        <v/>
      </c>
      <c r="BG347" s="125" t="str">
        <f>IF((AND(BF347="3 Feb 2020",LEN(BF347)&gt;0)),"Completed",IF((AND(BF347="12 Sep 2020",LEN(BF347)&gt;0)),"Pending",""))</f>
        <v/>
      </c>
      <c r="BH347" s="90" t="str">
        <f>IF((AND(BF347="3 Feb 2020",LEN(BF347)&gt;0)),"3 Feb 2020","")</f>
        <v/>
      </c>
      <c r="BI347" s="90">
        <v>204274</v>
      </c>
      <c r="BJ347" s="90" t="str">
        <f>L347</f>
        <v>9B84HR89548-41</v>
      </c>
      <c r="BK347" s="127">
        <v>43508</v>
      </c>
      <c r="BL347" s="127">
        <v>44239</v>
      </c>
      <c r="BM347" s="128">
        <f>P347*1.1</f>
        <v>2306231.4000000004</v>
      </c>
      <c r="BN347" s="129">
        <f>P347*0.9</f>
        <v>1886916.6</v>
      </c>
      <c r="BO347" s="130">
        <f>P347*0.8</f>
        <v>1677259.2000000002</v>
      </c>
      <c r="BP347" s="90">
        <f>IF(Z347="Y",BM347*0.4,BM347*1.05)</f>
        <v>2421542.9700000007</v>
      </c>
      <c r="BQ347" s="90">
        <f>BP347*0.8</f>
        <v>1937234.3760000006</v>
      </c>
      <c r="BR347" s="90" t="str">
        <f>IF(ISNUMBER(SEARCH("subrecipient",AI343)),P347*0.6,"")</f>
        <v/>
      </c>
      <c r="BS347" s="90">
        <v>204274</v>
      </c>
      <c r="BT347" s="90" t="str">
        <f>BJ347</f>
        <v>9B84HR89548-41</v>
      </c>
      <c r="BU347" s="127">
        <f>BK347</f>
        <v>43508</v>
      </c>
      <c r="BV347" s="127">
        <f>BL347</f>
        <v>44239</v>
      </c>
      <c r="BW347" s="90" t="str">
        <f>H347</f>
        <v>NIH</v>
      </c>
      <c r="BX347" s="90" t="str">
        <f>IF(H347="NATIONAL HEMOPHILIA FOUNDATION","Non Federal","Federal")</f>
        <v>Federal</v>
      </c>
      <c r="BY347" s="128">
        <f>BM347</f>
        <v>2306231.4000000004</v>
      </c>
      <c r="BZ347" s="90" t="str">
        <f>IF(LEN(BR347)&gt;0,1,"")</f>
        <v/>
      </c>
      <c r="CA347" s="90" t="str">
        <f>IF(LEN(BR347)&gt;0,"VIRAL HEPATITIS PROJECT","")</f>
        <v/>
      </c>
      <c r="CB347" s="129" t="str">
        <f>IF(LEN(BR347)&gt;0,BM347*0.7,"")</f>
        <v/>
      </c>
      <c r="CC347" s="90">
        <f>BP347</f>
        <v>2421542.9700000007</v>
      </c>
      <c r="CD347" s="90" t="str">
        <f>IF(LEN(BR347)&gt;0,"70%","")</f>
        <v/>
      </c>
      <c r="CE347" s="90">
        <f>BS347</f>
        <v>204274</v>
      </c>
      <c r="CF347" s="90" t="str">
        <f>CA347</f>
        <v/>
      </c>
      <c r="CG347" s="90"/>
      <c r="CH347" s="90"/>
      <c r="CI347" s="90"/>
      <c r="CJ347" s="90"/>
      <c r="CK347" s="90"/>
      <c r="CL347" s="90"/>
      <c r="CM347" s="90"/>
      <c r="CN347" s="90"/>
      <c r="CO347" s="90"/>
      <c r="CP347" s="90"/>
      <c r="CQ347" s="90"/>
      <c r="CR347" s="90"/>
      <c r="CS347" s="90"/>
      <c r="CT347" s="137"/>
    </row>
    <row r="348" spans="1:98" ht="45">
      <c r="A348" s="89">
        <v>204274</v>
      </c>
      <c r="B348" s="90">
        <v>2020</v>
      </c>
      <c r="C348" s="90" t="s">
        <v>81</v>
      </c>
      <c r="D348" s="90" t="s">
        <v>1098</v>
      </c>
      <c r="E348" s="125" t="s">
        <v>781</v>
      </c>
      <c r="F348" s="24" t="s">
        <v>1099</v>
      </c>
      <c r="G348" s="90" t="s">
        <v>85</v>
      </c>
      <c r="H348" s="90" t="s">
        <v>117</v>
      </c>
      <c r="I348" s="90">
        <v>93</v>
      </c>
      <c r="J348" s="90">
        <v>157</v>
      </c>
      <c r="K348" s="90" t="s">
        <v>85</v>
      </c>
      <c r="L348" s="90" t="s">
        <v>1100</v>
      </c>
      <c r="M348" s="90" t="s">
        <v>119</v>
      </c>
      <c r="N348" s="24" t="s">
        <v>764</v>
      </c>
      <c r="O348" s="24" t="str">
        <f>IF(ISNUMBER(SEARCH("Cancer",N348)),"Cancer",IF(ISNUMBER(SEARCH("health",N348)),"Public health",IF(ISNUMBER(SEARCH("disabilities",N348)),"Disabilities","Other")))</f>
        <v>Other</v>
      </c>
      <c r="P348" s="126">
        <v>2096574</v>
      </c>
      <c r="Q348" s="90" t="s">
        <v>85</v>
      </c>
      <c r="R348" s="90" t="str">
        <f>IF(P348&gt;20000000,"B","A")</f>
        <v>A</v>
      </c>
      <c r="S348" s="90" t="s">
        <v>90</v>
      </c>
      <c r="T348" s="90" t="s">
        <v>119</v>
      </c>
      <c r="U348" s="90" t="s">
        <v>119</v>
      </c>
      <c r="V348" s="90" t="s">
        <v>119</v>
      </c>
      <c r="W348" s="90" t="s">
        <v>119</v>
      </c>
      <c r="X348" s="90" t="s">
        <v>119</v>
      </c>
      <c r="Y348" s="90" t="s">
        <v>119</v>
      </c>
      <c r="Z348" s="90" t="s">
        <v>119</v>
      </c>
      <c r="AA348" s="90" t="s">
        <v>119</v>
      </c>
      <c r="AB348" s="90" t="s">
        <v>119</v>
      </c>
      <c r="AC348" s="90" t="s">
        <v>119</v>
      </c>
      <c r="AD348" s="90" t="s">
        <v>119</v>
      </c>
      <c r="AE348" s="24">
        <v>0</v>
      </c>
      <c r="AF348" s="90">
        <v>0</v>
      </c>
      <c r="AG348" s="24">
        <v>0</v>
      </c>
      <c r="AH348" s="90">
        <v>87142</v>
      </c>
      <c r="AI348" s="24" t="s">
        <v>102</v>
      </c>
      <c r="AJ348" s="24" t="s">
        <v>103</v>
      </c>
      <c r="AK348" s="90" t="s">
        <v>85</v>
      </c>
      <c r="AL348" s="90">
        <v>204274</v>
      </c>
      <c r="AM348" s="90" t="s">
        <v>81</v>
      </c>
      <c r="AN348" s="90" t="s">
        <v>1098</v>
      </c>
      <c r="AO348" s="125" t="s">
        <v>781</v>
      </c>
      <c r="AP348" s="24" t="s">
        <v>764</v>
      </c>
      <c r="AQ348" s="90" t="s">
        <v>1100</v>
      </c>
      <c r="AR348" s="24" t="s">
        <v>764</v>
      </c>
      <c r="AS348" s="90" t="s">
        <v>119</v>
      </c>
      <c r="AT348" s="24" t="s">
        <v>102</v>
      </c>
      <c r="AU348" s="90" t="s">
        <v>119</v>
      </c>
      <c r="AV348" s="90" t="str">
        <f>IF(ISNUMBER(SEARCH("disagree",AE348)),"N","Y")</f>
        <v>Y</v>
      </c>
      <c r="AW348" s="90" t="s">
        <v>119</v>
      </c>
      <c r="AX348" s="24" t="s">
        <v>119</v>
      </c>
      <c r="AY348" s="90" t="str">
        <f>CONCATENATE(AZ348,BA348,BB348,BC348)</f>
        <v/>
      </c>
      <c r="AZ348" s="90" t="str">
        <f>IF(ISNUMBER(SEARCH("Y",AC348)),"R","")</f>
        <v/>
      </c>
      <c r="BA348" s="90" t="str">
        <f>IF(ISNUMBER(SEARCH("Y",Y348)),"M","")</f>
        <v/>
      </c>
      <c r="BB348" s="90" t="str">
        <f>IF(ISNUMBER(SEARCH("Y",AB348)),"QC","")</f>
        <v/>
      </c>
      <c r="BC348" s="90" t="str">
        <f>IF(ISNUMBER(SEARCH("Y",Z348)),"S","")</f>
        <v/>
      </c>
      <c r="BD348" s="90"/>
      <c r="BE348" s="24" t="s">
        <v>119</v>
      </c>
      <c r="BF348" s="125" t="str">
        <f>IF(AND(AW348&gt;=56543,AW348&lt;=76543,LEN(AW348)&gt;0),"3 Feb 2020",IF(AND(AW348&gt;=66544,AW348&lt;=99999,LEN(AW348)&gt;0),"12 Sep 2020",""))</f>
        <v/>
      </c>
      <c r="BG348" s="125" t="str">
        <f>IF((AND(BF348="3 Feb 2020",LEN(BF348)&gt;0)),"Completed",IF((AND(BF348="12 Sep 2020",LEN(BF348)&gt;0)),"Pending",""))</f>
        <v/>
      </c>
      <c r="BH348" s="90" t="str">
        <f>IF((AND(BF348="3 Feb 2020",LEN(BF348)&gt;0)),"3 Feb 2020","")</f>
        <v/>
      </c>
      <c r="BI348" s="90">
        <v>204274</v>
      </c>
      <c r="BJ348" s="90" t="str">
        <f>L348</f>
        <v>9B84HR89548-41</v>
      </c>
      <c r="BK348" s="127">
        <v>43508</v>
      </c>
      <c r="BL348" s="127">
        <v>44239</v>
      </c>
      <c r="BM348" s="128">
        <f>P348*1.1</f>
        <v>2306231.4000000004</v>
      </c>
      <c r="BN348" s="129">
        <f>P348*0.9</f>
        <v>1886916.6</v>
      </c>
      <c r="BO348" s="130">
        <f>P348*0.8</f>
        <v>1677259.2000000002</v>
      </c>
      <c r="BP348" s="90">
        <f>IF(Z348="Y",BM348*0.4,BM348*1.05)</f>
        <v>2421542.9700000007</v>
      </c>
      <c r="BQ348" s="90">
        <f>BP348*0.8</f>
        <v>1937234.3760000006</v>
      </c>
      <c r="BR348" s="90" t="str">
        <f>IF(ISNUMBER(SEARCH("subrecipient",AI344)),P348*0.6,"")</f>
        <v/>
      </c>
      <c r="BS348" s="90">
        <v>204274</v>
      </c>
      <c r="BT348" s="90" t="str">
        <f>BJ348</f>
        <v>9B84HR89548-41</v>
      </c>
      <c r="BU348" s="127">
        <f>BK348</f>
        <v>43508</v>
      </c>
      <c r="BV348" s="127">
        <f>BL348</f>
        <v>44239</v>
      </c>
      <c r="BW348" s="90" t="str">
        <f>H348</f>
        <v>NIH</v>
      </c>
      <c r="BX348" s="90" t="str">
        <f>IF(H348="NATIONAL HEMOPHILIA FOUNDATION","Non Federal","Federal")</f>
        <v>Federal</v>
      </c>
      <c r="BY348" s="128">
        <f>BM348</f>
        <v>2306231.4000000004</v>
      </c>
      <c r="BZ348" s="90" t="str">
        <f>IF(LEN(BR348)&gt;0,1,"")</f>
        <v/>
      </c>
      <c r="CA348" s="90" t="str">
        <f>IF(LEN(BR348)&gt;0,"VIRAL HEPATITIS PROJECT","")</f>
        <v/>
      </c>
      <c r="CB348" s="129" t="str">
        <f>IF(LEN(BR348)&gt;0,BM348*0.7,"")</f>
        <v/>
      </c>
      <c r="CC348" s="90">
        <f>BP348</f>
        <v>2421542.9700000007</v>
      </c>
      <c r="CD348" s="90" t="str">
        <f>IF(LEN(BR348)&gt;0,"70%","")</f>
        <v/>
      </c>
      <c r="CE348" s="90">
        <f>BS348</f>
        <v>204274</v>
      </c>
      <c r="CF348" s="90" t="str">
        <f>CA348</f>
        <v/>
      </c>
      <c r="CG348" s="90"/>
      <c r="CH348" s="90"/>
      <c r="CI348" s="90"/>
      <c r="CJ348" s="90"/>
      <c r="CK348" s="90"/>
      <c r="CL348" s="90"/>
      <c r="CM348" s="90"/>
      <c r="CN348" s="90"/>
      <c r="CO348" s="90"/>
      <c r="CP348" s="90"/>
      <c r="CQ348" s="90"/>
      <c r="CR348" s="90"/>
      <c r="CS348" s="90"/>
      <c r="CT348" s="137"/>
    </row>
    <row r="349" spans="1:98" ht="210">
      <c r="A349" s="89">
        <v>204276</v>
      </c>
      <c r="B349" s="90">
        <v>2020</v>
      </c>
      <c r="C349" s="90" t="s">
        <v>81</v>
      </c>
      <c r="D349" s="90" t="s">
        <v>1102</v>
      </c>
      <c r="E349" s="125" t="s">
        <v>784</v>
      </c>
      <c r="F349" s="24" t="s">
        <v>1103</v>
      </c>
      <c r="G349" s="90" t="s">
        <v>85</v>
      </c>
      <c r="H349" s="90" t="s">
        <v>132</v>
      </c>
      <c r="I349" s="90">
        <v>93</v>
      </c>
      <c r="J349" s="90">
        <v>157</v>
      </c>
      <c r="K349" s="90" t="s">
        <v>85</v>
      </c>
      <c r="L349" s="90" t="s">
        <v>1104</v>
      </c>
      <c r="M349" s="90" t="s">
        <v>119</v>
      </c>
      <c r="N349" s="24" t="s">
        <v>1105</v>
      </c>
      <c r="O349" s="24" t="str">
        <f>IF(ISNUMBER(SEARCH("Cancer",N349)),"Cancer",IF(ISNUMBER(SEARCH("health",N349)),"Public health",IF(ISNUMBER(SEARCH("disabilities",N349)),"Disabilities","Other")))</f>
        <v>Other</v>
      </c>
      <c r="P349" s="126">
        <v>2048854</v>
      </c>
      <c r="Q349" s="90" t="s">
        <v>85</v>
      </c>
      <c r="R349" s="90" t="str">
        <f>IF(P349&gt;20000000,"B","A")</f>
        <v>A</v>
      </c>
      <c r="S349" s="90" t="s">
        <v>90</v>
      </c>
      <c r="T349" s="90" t="s">
        <v>119</v>
      </c>
      <c r="U349" s="90" t="s">
        <v>119</v>
      </c>
      <c r="V349" s="90" t="s">
        <v>119</v>
      </c>
      <c r="W349" s="90" t="s">
        <v>119</v>
      </c>
      <c r="X349" s="90" t="s">
        <v>119</v>
      </c>
      <c r="Y349" s="90" t="s">
        <v>119</v>
      </c>
      <c r="Z349" s="90" t="s">
        <v>119</v>
      </c>
      <c r="AA349" s="90" t="s">
        <v>119</v>
      </c>
      <c r="AB349" s="90" t="s">
        <v>119</v>
      </c>
      <c r="AC349" s="90" t="s">
        <v>119</v>
      </c>
      <c r="AD349" s="90" t="s">
        <v>119</v>
      </c>
      <c r="AE349" s="24">
        <v>0</v>
      </c>
      <c r="AF349" s="90">
        <v>0</v>
      </c>
      <c r="AG349" s="24">
        <v>0</v>
      </c>
      <c r="AH349" s="90">
        <v>84008</v>
      </c>
      <c r="AI349" s="24" t="s">
        <v>94</v>
      </c>
      <c r="AJ349" s="24" t="s">
        <v>1106</v>
      </c>
      <c r="AK349" s="90" t="s">
        <v>85</v>
      </c>
      <c r="AL349" s="90">
        <v>204276</v>
      </c>
      <c r="AM349" s="90" t="s">
        <v>81</v>
      </c>
      <c r="AN349" s="90" t="s">
        <v>1102</v>
      </c>
      <c r="AO349" s="125" t="s">
        <v>784</v>
      </c>
      <c r="AP349" s="24" t="s">
        <v>1105</v>
      </c>
      <c r="AQ349" s="90" t="s">
        <v>1104</v>
      </c>
      <c r="AR349" s="24" t="s">
        <v>1105</v>
      </c>
      <c r="AS349" s="90" t="s">
        <v>119</v>
      </c>
      <c r="AT349" s="24" t="s">
        <v>94</v>
      </c>
      <c r="AU349" s="90" t="s">
        <v>119</v>
      </c>
      <c r="AV349" s="90" t="str">
        <f>IF(ISNUMBER(SEARCH("disagree",AE349)),"N","Y")</f>
        <v>Y</v>
      </c>
      <c r="AW349" s="90" t="s">
        <v>119</v>
      </c>
      <c r="AX349" s="24" t="s">
        <v>119</v>
      </c>
      <c r="AY349" s="90" t="str">
        <f>CONCATENATE(AZ349,BA349,BB349,BC349)</f>
        <v/>
      </c>
      <c r="AZ349" s="90" t="str">
        <f>IF(ISNUMBER(SEARCH("Y",AC349)),"R","")</f>
        <v/>
      </c>
      <c r="BA349" s="90" t="str">
        <f>IF(ISNUMBER(SEARCH("Y",Y349)),"M","")</f>
        <v/>
      </c>
      <c r="BB349" s="90" t="str">
        <f>IF(ISNUMBER(SEARCH("Y",AB349)),"QC","")</f>
        <v/>
      </c>
      <c r="BC349" s="90" t="str">
        <f>IF(ISNUMBER(SEARCH("Y",Z349)),"S","")</f>
        <v/>
      </c>
      <c r="BD349" s="90"/>
      <c r="BE349" s="24" t="s">
        <v>119</v>
      </c>
      <c r="BF349" s="125" t="str">
        <f>IF(AND(AW349&gt;=56543,AW349&lt;=76543,LEN(AW349)&gt;0),"3 Feb 2020",IF(AND(AW349&gt;=66544,AW349&lt;=99999,LEN(AW349)&gt;0),"12 Sep 2020",""))</f>
        <v/>
      </c>
      <c r="BG349" s="125" t="str">
        <f>IF((AND(BF349="3 Feb 2020",LEN(BF349)&gt;0)),"Completed",IF((AND(BF349="12 Sep 2020",LEN(BF349)&gt;0)),"Pending",""))</f>
        <v/>
      </c>
      <c r="BH349" s="90" t="str">
        <f>IF((AND(BF349="3 Feb 2020",LEN(BF349)&gt;0)),"3 Feb 2020","")</f>
        <v/>
      </c>
      <c r="BI349" s="90">
        <v>204276</v>
      </c>
      <c r="BJ349" s="90" t="str">
        <f>L349</f>
        <v>8B89DR89260-92</v>
      </c>
      <c r="BK349" s="127">
        <v>43508</v>
      </c>
      <c r="BL349" s="127">
        <v>44239</v>
      </c>
      <c r="BM349" s="128">
        <f>P349*1.1</f>
        <v>2253739.4000000004</v>
      </c>
      <c r="BN349" s="129">
        <f>P349*0.9</f>
        <v>1843968.6</v>
      </c>
      <c r="BO349" s="130">
        <f>P349*0.8</f>
        <v>1639083.2000000002</v>
      </c>
      <c r="BP349" s="90">
        <f>IF(Z349="Y",BM349*0.4,BM349*1.05)</f>
        <v>2366426.3700000006</v>
      </c>
      <c r="BQ349" s="90">
        <f>BP349*0.8</f>
        <v>1893141.0960000006</v>
      </c>
      <c r="BR349" s="90" t="str">
        <f>IF(ISNUMBER(SEARCH("subrecipient",AI345)),P349*0.6,"")</f>
        <v/>
      </c>
      <c r="BS349" s="90">
        <v>204276</v>
      </c>
      <c r="BT349" s="90" t="str">
        <f>BJ349</f>
        <v>8B89DR89260-92</v>
      </c>
      <c r="BU349" s="127">
        <f>BK349</f>
        <v>43508</v>
      </c>
      <c r="BV349" s="127">
        <f>BL349</f>
        <v>44239</v>
      </c>
      <c r="BW349" s="90" t="str">
        <f>H349</f>
        <v>FDA</v>
      </c>
      <c r="BX349" s="90" t="str">
        <f>IF(H349="NATIONAL HEMOPHILIA FOUNDATION","Non Federal","Federal")</f>
        <v>Federal</v>
      </c>
      <c r="BY349" s="128">
        <f>BM349</f>
        <v>2253739.4000000004</v>
      </c>
      <c r="BZ349" s="90" t="str">
        <f>IF(LEN(BR349)&gt;0,1,"")</f>
        <v/>
      </c>
      <c r="CA349" s="90" t="str">
        <f>IF(LEN(BR349)&gt;0,"VIRAL HEPATITIS PROJECT","")</f>
        <v/>
      </c>
      <c r="CB349" s="129" t="str">
        <f>IF(LEN(BR349)&gt;0,BM349*0.7,"")</f>
        <v/>
      </c>
      <c r="CC349" s="90">
        <f>BP349</f>
        <v>2366426.3700000006</v>
      </c>
      <c r="CD349" s="90" t="str">
        <f>IF(LEN(BR349)&gt;0,"70%","")</f>
        <v/>
      </c>
      <c r="CE349" s="90">
        <f>BS349</f>
        <v>204276</v>
      </c>
      <c r="CF349" s="90" t="str">
        <f>CA349</f>
        <v/>
      </c>
      <c r="CG349" s="90"/>
      <c r="CH349" s="90"/>
      <c r="CI349" s="90"/>
      <c r="CJ349" s="90"/>
      <c r="CK349" s="90"/>
      <c r="CL349" s="90"/>
      <c r="CM349" s="90"/>
      <c r="CN349" s="90"/>
      <c r="CO349" s="90"/>
      <c r="CP349" s="90"/>
      <c r="CQ349" s="90"/>
      <c r="CR349" s="90"/>
      <c r="CS349" s="90"/>
      <c r="CT349" s="137"/>
    </row>
    <row r="350" spans="1:98" ht="30">
      <c r="A350" s="89">
        <v>204276</v>
      </c>
      <c r="B350" s="90">
        <v>2020</v>
      </c>
      <c r="C350" s="90" t="s">
        <v>81</v>
      </c>
      <c r="D350" s="90" t="s">
        <v>1102</v>
      </c>
      <c r="E350" s="125" t="s">
        <v>790</v>
      </c>
      <c r="F350" s="24" t="s">
        <v>1103</v>
      </c>
      <c r="G350" s="90" t="s">
        <v>85</v>
      </c>
      <c r="H350" s="90" t="s">
        <v>132</v>
      </c>
      <c r="I350" s="90">
        <v>93</v>
      </c>
      <c r="J350" s="90">
        <v>157</v>
      </c>
      <c r="K350" s="90" t="s">
        <v>85</v>
      </c>
      <c r="L350" s="90" t="s">
        <v>1104</v>
      </c>
      <c r="M350" s="90" t="s">
        <v>119</v>
      </c>
      <c r="N350" s="24" t="s">
        <v>1105</v>
      </c>
      <c r="O350" s="24" t="str">
        <f>IF(ISNUMBER(SEARCH("Cancer",N350)),"Cancer",IF(ISNUMBER(SEARCH("health",N350)),"Public health",IF(ISNUMBER(SEARCH("disabilities",N350)),"Disabilities","Other")))</f>
        <v>Other</v>
      </c>
      <c r="P350" s="126">
        <v>2048854</v>
      </c>
      <c r="Q350" s="90" t="s">
        <v>85</v>
      </c>
      <c r="R350" s="90" t="str">
        <f>IF(P350&gt;20000000,"B","A")</f>
        <v>A</v>
      </c>
      <c r="S350" s="90" t="s">
        <v>90</v>
      </c>
      <c r="T350" s="90" t="s">
        <v>119</v>
      </c>
      <c r="U350" s="90" t="s">
        <v>119</v>
      </c>
      <c r="V350" s="90" t="s">
        <v>119</v>
      </c>
      <c r="W350" s="90" t="s">
        <v>119</v>
      </c>
      <c r="X350" s="90" t="s">
        <v>119</v>
      </c>
      <c r="Y350" s="90" t="s">
        <v>119</v>
      </c>
      <c r="Z350" s="90" t="s">
        <v>119</v>
      </c>
      <c r="AA350" s="90" t="s">
        <v>119</v>
      </c>
      <c r="AB350" s="90" t="s">
        <v>119</v>
      </c>
      <c r="AC350" s="90" t="s">
        <v>119</v>
      </c>
      <c r="AD350" s="90" t="s">
        <v>119</v>
      </c>
      <c r="AE350" s="24">
        <v>0</v>
      </c>
      <c r="AF350" s="90">
        <v>0</v>
      </c>
      <c r="AG350" s="24">
        <v>0</v>
      </c>
      <c r="AH350" s="90">
        <v>84009</v>
      </c>
      <c r="AI350" s="24" t="s">
        <v>102</v>
      </c>
      <c r="AJ350" s="24" t="s">
        <v>103</v>
      </c>
      <c r="AK350" s="90" t="s">
        <v>85</v>
      </c>
      <c r="AL350" s="90">
        <v>204276</v>
      </c>
      <c r="AM350" s="90" t="s">
        <v>81</v>
      </c>
      <c r="AN350" s="90" t="s">
        <v>1102</v>
      </c>
      <c r="AO350" s="125" t="s">
        <v>790</v>
      </c>
      <c r="AP350" s="24" t="s">
        <v>1105</v>
      </c>
      <c r="AQ350" s="90" t="s">
        <v>1104</v>
      </c>
      <c r="AR350" s="24" t="s">
        <v>1105</v>
      </c>
      <c r="AS350" s="90" t="s">
        <v>119</v>
      </c>
      <c r="AT350" s="24" t="s">
        <v>102</v>
      </c>
      <c r="AU350" s="90" t="s">
        <v>119</v>
      </c>
      <c r="AV350" s="90" t="str">
        <f>IF(ISNUMBER(SEARCH("disagree",AE350)),"N","Y")</f>
        <v>Y</v>
      </c>
      <c r="AW350" s="90" t="s">
        <v>119</v>
      </c>
      <c r="AX350" s="24" t="s">
        <v>119</v>
      </c>
      <c r="AY350" s="90" t="str">
        <f>CONCATENATE(AZ350,BA350,BB350,BC350)</f>
        <v/>
      </c>
      <c r="AZ350" s="90" t="str">
        <f>IF(ISNUMBER(SEARCH("Y",AC350)),"R","")</f>
        <v/>
      </c>
      <c r="BA350" s="90" t="str">
        <f>IF(ISNUMBER(SEARCH("Y",Y350)),"M","")</f>
        <v/>
      </c>
      <c r="BB350" s="90" t="str">
        <f>IF(ISNUMBER(SEARCH("Y",AB350)),"QC","")</f>
        <v/>
      </c>
      <c r="BC350" s="90" t="str">
        <f>IF(ISNUMBER(SEARCH("Y",Z350)),"S","")</f>
        <v/>
      </c>
      <c r="BD350" s="90"/>
      <c r="BE350" s="24" t="s">
        <v>119</v>
      </c>
      <c r="BF350" s="125" t="str">
        <f>IF(AND(AW350&gt;=56543,AW350&lt;=76543,LEN(AW350)&gt;0),"3 Feb 2020",IF(AND(AW350&gt;=66544,AW350&lt;=99999,LEN(AW350)&gt;0),"12 Sep 2020",""))</f>
        <v/>
      </c>
      <c r="BG350" s="125" t="str">
        <f>IF((AND(BF350="3 Feb 2020",LEN(BF350)&gt;0)),"Completed",IF((AND(BF350="12 Sep 2020",LEN(BF350)&gt;0)),"Pending",""))</f>
        <v/>
      </c>
      <c r="BH350" s="90" t="str">
        <f>IF((AND(BF350="3 Feb 2020",LEN(BF350)&gt;0)),"3 Feb 2020","")</f>
        <v/>
      </c>
      <c r="BI350" s="90">
        <v>204276</v>
      </c>
      <c r="BJ350" s="90" t="str">
        <f>L350</f>
        <v>8B89DR89260-92</v>
      </c>
      <c r="BK350" s="127">
        <v>43508</v>
      </c>
      <c r="BL350" s="127">
        <v>44239</v>
      </c>
      <c r="BM350" s="128">
        <f>P350*1.1</f>
        <v>2253739.4000000004</v>
      </c>
      <c r="BN350" s="129">
        <f>P350*0.9</f>
        <v>1843968.6</v>
      </c>
      <c r="BO350" s="130">
        <f>P350*0.8</f>
        <v>1639083.2000000002</v>
      </c>
      <c r="BP350" s="90">
        <f>IF(Z350="Y",BM350*0.4,BM350*1.05)</f>
        <v>2366426.3700000006</v>
      </c>
      <c r="BQ350" s="90">
        <f>BP350*0.8</f>
        <v>1893141.0960000006</v>
      </c>
      <c r="BR350" s="90" t="str">
        <f>IF(ISNUMBER(SEARCH("subrecipient",AI346)),P350*0.6,"")</f>
        <v/>
      </c>
      <c r="BS350" s="90">
        <v>204276</v>
      </c>
      <c r="BT350" s="90" t="str">
        <f>BJ350</f>
        <v>8B89DR89260-92</v>
      </c>
      <c r="BU350" s="127">
        <f>BK350</f>
        <v>43508</v>
      </c>
      <c r="BV350" s="127">
        <f>BL350</f>
        <v>44239</v>
      </c>
      <c r="BW350" s="90" t="str">
        <f>H350</f>
        <v>FDA</v>
      </c>
      <c r="BX350" s="90" t="str">
        <f>IF(H350="NATIONAL HEMOPHILIA FOUNDATION","Non Federal","Federal")</f>
        <v>Federal</v>
      </c>
      <c r="BY350" s="128">
        <f>BM350</f>
        <v>2253739.4000000004</v>
      </c>
      <c r="BZ350" s="90" t="str">
        <f>IF(LEN(BR350)&gt;0,1,"")</f>
        <v/>
      </c>
      <c r="CA350" s="90" t="str">
        <f>IF(LEN(BR350)&gt;0,"VIRAL HEPATITIS PROJECT","")</f>
        <v/>
      </c>
      <c r="CB350" s="129" t="str">
        <f>IF(LEN(BR350)&gt;0,BM350*0.7,"")</f>
        <v/>
      </c>
      <c r="CC350" s="90">
        <f>BP350</f>
        <v>2366426.3700000006</v>
      </c>
      <c r="CD350" s="90" t="str">
        <f>IF(LEN(BR350)&gt;0,"70%","")</f>
        <v/>
      </c>
      <c r="CE350" s="90">
        <f>BS350</f>
        <v>204276</v>
      </c>
      <c r="CF350" s="90" t="str">
        <f>CA350</f>
        <v/>
      </c>
      <c r="CG350" s="90"/>
      <c r="CH350" s="90"/>
      <c r="CI350" s="90"/>
      <c r="CJ350" s="90"/>
      <c r="CK350" s="90"/>
      <c r="CL350" s="90"/>
      <c r="CM350" s="90"/>
      <c r="CN350" s="90"/>
      <c r="CO350" s="90"/>
      <c r="CP350" s="90"/>
      <c r="CQ350" s="90"/>
      <c r="CR350" s="90"/>
      <c r="CS350" s="90"/>
      <c r="CT350" s="137"/>
    </row>
    <row r="351" spans="1:98" ht="210">
      <c r="A351" s="89">
        <v>204529</v>
      </c>
      <c r="B351" s="90">
        <v>2020</v>
      </c>
      <c r="C351" s="90" t="s">
        <v>81</v>
      </c>
      <c r="D351" s="90" t="s">
        <v>1107</v>
      </c>
      <c r="E351" s="125" t="s">
        <v>791</v>
      </c>
      <c r="F351" s="24" t="s">
        <v>1108</v>
      </c>
      <c r="G351" s="90" t="s">
        <v>85</v>
      </c>
      <c r="H351" s="90" t="s">
        <v>150</v>
      </c>
      <c r="I351" s="90">
        <v>93</v>
      </c>
      <c r="J351" s="90">
        <v>157</v>
      </c>
      <c r="K351" s="90" t="s">
        <v>85</v>
      </c>
      <c r="L351" s="90" t="s">
        <v>1109</v>
      </c>
      <c r="M351" s="90" t="s">
        <v>85</v>
      </c>
      <c r="N351" s="24" t="s">
        <v>1110</v>
      </c>
      <c r="O351" s="24" t="str">
        <f>IF(ISNUMBER(SEARCH("Cancer",N351)),"Cancer",IF(ISNUMBER(SEARCH("health",N351)),"Public health",IF(ISNUMBER(SEARCH("disabilities",N351)),"Disabilities","Other")))</f>
        <v>Public health</v>
      </c>
      <c r="P351" s="126">
        <v>2749866</v>
      </c>
      <c r="Q351" s="90" t="s">
        <v>85</v>
      </c>
      <c r="R351" s="90" t="str">
        <f>IF(P351&gt;20000000,"B","A")</f>
        <v>A</v>
      </c>
      <c r="S351" s="90" t="s">
        <v>90</v>
      </c>
      <c r="T351" s="90">
        <v>2562717</v>
      </c>
      <c r="U351" s="90" t="s">
        <v>91</v>
      </c>
      <c r="V351" s="90" t="s">
        <v>804</v>
      </c>
      <c r="W351" s="90" t="s">
        <v>85</v>
      </c>
      <c r="X351" s="90" t="s">
        <v>87</v>
      </c>
      <c r="Y351" s="90" t="s">
        <v>85</v>
      </c>
      <c r="Z351" s="90" t="s">
        <v>85</v>
      </c>
      <c r="AA351" s="90" t="s">
        <v>85</v>
      </c>
      <c r="AB351" s="90" t="s">
        <v>85</v>
      </c>
      <c r="AC351" s="90" t="s">
        <v>85</v>
      </c>
      <c r="AD351" s="90">
        <v>0</v>
      </c>
      <c r="AE351" s="24" t="s">
        <v>1111</v>
      </c>
      <c r="AF351" s="90" t="s">
        <v>91</v>
      </c>
      <c r="AG351" s="24" t="s">
        <v>1112</v>
      </c>
      <c r="AH351" s="90">
        <v>88761</v>
      </c>
      <c r="AI351" s="24" t="s">
        <v>94</v>
      </c>
      <c r="AJ351" s="24" t="s">
        <v>1113</v>
      </c>
      <c r="AK351" s="90" t="s">
        <v>85</v>
      </c>
      <c r="AL351" s="90">
        <v>204529</v>
      </c>
      <c r="AM351" s="90" t="s">
        <v>81</v>
      </c>
      <c r="AN351" s="90" t="s">
        <v>1107</v>
      </c>
      <c r="AO351" s="125" t="s">
        <v>791</v>
      </c>
      <c r="AP351" s="24" t="s">
        <v>1110</v>
      </c>
      <c r="AQ351" s="90" t="s">
        <v>1109</v>
      </c>
      <c r="AR351" s="24" t="s">
        <v>1110</v>
      </c>
      <c r="AS351" s="90">
        <v>2562717</v>
      </c>
      <c r="AT351" s="24" t="s">
        <v>94</v>
      </c>
      <c r="AU351" s="90" t="s">
        <v>804</v>
      </c>
      <c r="AV351" s="90" t="str">
        <f>IF(ISNUMBER(SEARCH("disagree",AE351)),"N","Y")</f>
        <v>Y</v>
      </c>
      <c r="AW351" s="90" t="s">
        <v>119</v>
      </c>
      <c r="AX351" s="24" t="s">
        <v>119</v>
      </c>
      <c r="AY351" s="90" t="str">
        <f>CONCATENATE(AZ351,BA351,BB351,BC351)</f>
        <v/>
      </c>
      <c r="AZ351" s="90" t="str">
        <f>IF(ISNUMBER(SEARCH("Y",AC351)),"R","")</f>
        <v/>
      </c>
      <c r="BA351" s="90" t="str">
        <f>IF(ISNUMBER(SEARCH("Y",Y351)),"M","")</f>
        <v/>
      </c>
      <c r="BB351" s="90" t="str">
        <f>IF(ISNUMBER(SEARCH("Y",AB351)),"QC","")</f>
        <v/>
      </c>
      <c r="BC351" s="90" t="str">
        <f>IF(ISNUMBER(SEARCH("Y",Z351)),"S","")</f>
        <v/>
      </c>
      <c r="BD351" s="90"/>
      <c r="BE351" s="24" t="s">
        <v>119</v>
      </c>
      <c r="BF351" s="125" t="str">
        <f>IF(AND(AW351&gt;=56543,AW351&lt;=76543,LEN(AW351)&gt;0),"3 Feb 2020",IF(AND(AW351&gt;=66544,AW351&lt;=99999,LEN(AW351)&gt;0),"12 Sep 2020",""))</f>
        <v/>
      </c>
      <c r="BG351" s="125" t="str">
        <f>IF((AND(BF351="3 Feb 2020",LEN(BF351)&gt;0)),"Completed",IF((AND(BF351="12 Sep 2020",LEN(BF351)&gt;0)),"Pending",""))</f>
        <v/>
      </c>
      <c r="BH351" s="90" t="str">
        <f>IF((AND(BF351="3 Feb 2020",LEN(BF351)&gt;0)),"3 Feb 2020","")</f>
        <v/>
      </c>
      <c r="BI351" s="90">
        <v>204529</v>
      </c>
      <c r="BJ351" s="90" t="str">
        <f>L351</f>
        <v>2B66HR84008-37</v>
      </c>
      <c r="BK351" s="127">
        <v>43508</v>
      </c>
      <c r="BL351" s="127">
        <v>44239</v>
      </c>
      <c r="BM351" s="128">
        <f>P351*1.1</f>
        <v>3024852.6</v>
      </c>
      <c r="BN351" s="129">
        <f>P351*0.9</f>
        <v>2474879.4</v>
      </c>
      <c r="BO351" s="130">
        <f>P351*0.8</f>
        <v>2199892.8000000003</v>
      </c>
      <c r="BP351" s="90">
        <f>IF(Z351="Y",BM351*0.4,BM351*1.05)</f>
        <v>3176095.2300000004</v>
      </c>
      <c r="BQ351" s="90">
        <f>BP351*0.8</f>
        <v>2540876.1840000004</v>
      </c>
      <c r="BR351" s="90" t="str">
        <f>IF(ISNUMBER(SEARCH("subrecipient",AI347)),P351*0.6,"")</f>
        <v/>
      </c>
      <c r="BS351" s="90">
        <v>204529</v>
      </c>
      <c r="BT351" s="90" t="str">
        <f>BJ351</f>
        <v>2B66HR84008-37</v>
      </c>
      <c r="BU351" s="127">
        <f>BK351</f>
        <v>43508</v>
      </c>
      <c r="BV351" s="127">
        <f>BL351</f>
        <v>44239</v>
      </c>
      <c r="BW351" s="90" t="str">
        <f>H351</f>
        <v>ACF</v>
      </c>
      <c r="BX351" s="90" t="str">
        <f>IF(H351="NATIONAL HEMOPHILIA FOUNDATION","Non Federal","Federal")</f>
        <v>Federal</v>
      </c>
      <c r="BY351" s="128">
        <f>BM351</f>
        <v>3024852.6</v>
      </c>
      <c r="BZ351" s="90" t="str">
        <f>IF(LEN(BR351)&gt;0,1,"")</f>
        <v/>
      </c>
      <c r="CA351" s="90" t="str">
        <f>IF(LEN(BR351)&gt;0,"VIRAL HEPATITIS PROJECT","")</f>
        <v/>
      </c>
      <c r="CB351" s="129" t="str">
        <f>IF(LEN(BR351)&gt;0,BM351*0.7,"")</f>
        <v/>
      </c>
      <c r="CC351" s="90">
        <f>BP351</f>
        <v>3176095.2300000004</v>
      </c>
      <c r="CD351" s="90" t="str">
        <f>IF(LEN(BR351)&gt;0,"70%","")</f>
        <v/>
      </c>
      <c r="CE351" s="90">
        <f>BS351</f>
        <v>204529</v>
      </c>
      <c r="CF351" s="90" t="str">
        <f>CA351</f>
        <v/>
      </c>
      <c r="CG351" s="90"/>
      <c r="CH351" s="90"/>
      <c r="CI351" s="90"/>
      <c r="CJ351" s="90"/>
      <c r="CK351" s="90"/>
      <c r="CL351" s="90"/>
      <c r="CM351" s="90"/>
      <c r="CN351" s="90"/>
      <c r="CO351" s="90"/>
      <c r="CP351" s="90"/>
      <c r="CQ351" s="90"/>
      <c r="CR351" s="90"/>
      <c r="CS351" s="90"/>
      <c r="CT351" s="137"/>
    </row>
    <row r="352" spans="1:98" ht="210">
      <c r="A352" s="89">
        <v>204529</v>
      </c>
      <c r="B352" s="90">
        <v>2020</v>
      </c>
      <c r="C352" s="90" t="s">
        <v>81</v>
      </c>
      <c r="D352" s="90" t="s">
        <v>1107</v>
      </c>
      <c r="E352" s="125" t="s">
        <v>793</v>
      </c>
      <c r="F352" s="24" t="s">
        <v>1108</v>
      </c>
      <c r="G352" s="90" t="s">
        <v>85</v>
      </c>
      <c r="H352" s="90" t="s">
        <v>150</v>
      </c>
      <c r="I352" s="90">
        <v>93</v>
      </c>
      <c r="J352" s="90">
        <v>157</v>
      </c>
      <c r="K352" s="90" t="s">
        <v>85</v>
      </c>
      <c r="L352" s="90" t="s">
        <v>1109</v>
      </c>
      <c r="M352" s="90" t="s">
        <v>85</v>
      </c>
      <c r="N352" s="24" t="s">
        <v>1110</v>
      </c>
      <c r="O352" s="24" t="str">
        <f>IF(ISNUMBER(SEARCH("Cancer",N352)),"Cancer",IF(ISNUMBER(SEARCH("health",N352)),"Public health",IF(ISNUMBER(SEARCH("disabilities",N352)),"Disabilities","Other")))</f>
        <v>Public health</v>
      </c>
      <c r="P352" s="126">
        <v>2749866</v>
      </c>
      <c r="Q352" s="90" t="s">
        <v>85</v>
      </c>
      <c r="R352" s="90" t="str">
        <f>IF(P352&gt;20000000,"B","A")</f>
        <v>A</v>
      </c>
      <c r="S352" s="90" t="s">
        <v>90</v>
      </c>
      <c r="T352" s="90">
        <v>2562717</v>
      </c>
      <c r="U352" s="90" t="s">
        <v>91</v>
      </c>
      <c r="V352" s="90" t="s">
        <v>804</v>
      </c>
      <c r="W352" s="90" t="s">
        <v>85</v>
      </c>
      <c r="X352" s="90" t="s">
        <v>87</v>
      </c>
      <c r="Y352" s="90" t="s">
        <v>85</v>
      </c>
      <c r="Z352" s="90" t="s">
        <v>85</v>
      </c>
      <c r="AA352" s="90" t="s">
        <v>85</v>
      </c>
      <c r="AB352" s="90" t="s">
        <v>85</v>
      </c>
      <c r="AC352" s="90" t="s">
        <v>85</v>
      </c>
      <c r="AD352" s="90">
        <v>0</v>
      </c>
      <c r="AE352" s="24">
        <v>0</v>
      </c>
      <c r="AF352" s="90">
        <v>0</v>
      </c>
      <c r="AG352" s="24">
        <v>0</v>
      </c>
      <c r="AH352" s="90">
        <v>88759</v>
      </c>
      <c r="AI352" s="24" t="s">
        <v>102</v>
      </c>
      <c r="AJ352" s="24" t="s">
        <v>1114</v>
      </c>
      <c r="AK352" s="90" t="s">
        <v>85</v>
      </c>
      <c r="AL352" s="90">
        <v>204529</v>
      </c>
      <c r="AM352" s="90" t="s">
        <v>81</v>
      </c>
      <c r="AN352" s="90" t="s">
        <v>1107</v>
      </c>
      <c r="AO352" s="125" t="s">
        <v>793</v>
      </c>
      <c r="AP352" s="24" t="s">
        <v>1110</v>
      </c>
      <c r="AQ352" s="90" t="s">
        <v>1109</v>
      </c>
      <c r="AR352" s="24" t="s">
        <v>1110</v>
      </c>
      <c r="AS352" s="90">
        <v>2562717</v>
      </c>
      <c r="AT352" s="24" t="s">
        <v>102</v>
      </c>
      <c r="AU352" s="90" t="s">
        <v>804</v>
      </c>
      <c r="AV352" s="90" t="str">
        <f>IF(ISNUMBER(SEARCH("disagree",AE352)),"N","Y")</f>
        <v>Y</v>
      </c>
      <c r="AW352" s="90" t="s">
        <v>119</v>
      </c>
      <c r="AX352" s="24" t="s">
        <v>119</v>
      </c>
      <c r="AY352" s="90" t="str">
        <f>CONCATENATE(AZ352,BA352,BB352,BC352)</f>
        <v/>
      </c>
      <c r="AZ352" s="90" t="str">
        <f>IF(ISNUMBER(SEARCH("Y",AC352)),"R","")</f>
        <v/>
      </c>
      <c r="BA352" s="90" t="str">
        <f>IF(ISNUMBER(SEARCH("Y",Y352)),"M","")</f>
        <v/>
      </c>
      <c r="BB352" s="90" t="str">
        <f>IF(ISNUMBER(SEARCH("Y",AB352)),"QC","")</f>
        <v/>
      </c>
      <c r="BC352" s="90" t="str">
        <f>IF(ISNUMBER(SEARCH("Y",Z352)),"S","")</f>
        <v/>
      </c>
      <c r="BD352" s="90"/>
      <c r="BE352" s="24" t="s">
        <v>119</v>
      </c>
      <c r="BF352" s="125" t="str">
        <f>IF(AND(AW352&gt;=56543,AW352&lt;=76543,LEN(AW352)&gt;0),"3 Feb 2020",IF(AND(AW352&gt;=66544,AW352&lt;=99999,LEN(AW352)&gt;0),"12 Sep 2020",""))</f>
        <v/>
      </c>
      <c r="BG352" s="125" t="str">
        <f>IF((AND(BF352="3 Feb 2020",LEN(BF352)&gt;0)),"Completed",IF((AND(BF352="12 Sep 2020",LEN(BF352)&gt;0)),"Pending",""))</f>
        <v/>
      </c>
      <c r="BH352" s="90" t="str">
        <f>IF((AND(BF352="3 Feb 2020",LEN(BF352)&gt;0)),"3 Feb 2020","")</f>
        <v/>
      </c>
      <c r="BI352" s="90">
        <v>204529</v>
      </c>
      <c r="BJ352" s="90" t="str">
        <f>L352</f>
        <v>2B66HR84008-37</v>
      </c>
      <c r="BK352" s="127">
        <v>43508</v>
      </c>
      <c r="BL352" s="127">
        <v>44239</v>
      </c>
      <c r="BM352" s="128">
        <f>P352*1.1</f>
        <v>3024852.6</v>
      </c>
      <c r="BN352" s="129">
        <f>P352*0.9</f>
        <v>2474879.4</v>
      </c>
      <c r="BO352" s="130">
        <f>P352*0.8</f>
        <v>2199892.8000000003</v>
      </c>
      <c r="BP352" s="90">
        <f>IF(Z352="Y",BM352*0.4,BM352*1.05)</f>
        <v>3176095.2300000004</v>
      </c>
      <c r="BQ352" s="90">
        <f>BP352*0.8</f>
        <v>2540876.1840000004</v>
      </c>
      <c r="BR352" s="90" t="str">
        <f>IF(ISNUMBER(SEARCH("subrecipient",AI348)),P352*0.6,"")</f>
        <v/>
      </c>
      <c r="BS352" s="90">
        <v>204529</v>
      </c>
      <c r="BT352" s="90" t="str">
        <f>BJ352</f>
        <v>2B66HR84008-37</v>
      </c>
      <c r="BU352" s="127">
        <f>BK352</f>
        <v>43508</v>
      </c>
      <c r="BV352" s="127">
        <f>BL352</f>
        <v>44239</v>
      </c>
      <c r="BW352" s="90" t="str">
        <f>H352</f>
        <v>ACF</v>
      </c>
      <c r="BX352" s="90" t="str">
        <f>IF(H352="NATIONAL HEMOPHILIA FOUNDATION","Non Federal","Federal")</f>
        <v>Federal</v>
      </c>
      <c r="BY352" s="128">
        <f>BM352</f>
        <v>3024852.6</v>
      </c>
      <c r="BZ352" s="90" t="str">
        <f>IF(LEN(BR352)&gt;0,1,"")</f>
        <v/>
      </c>
      <c r="CA352" s="90" t="str">
        <f>IF(LEN(BR352)&gt;0,"VIRAL HEPATITIS PROJECT","")</f>
        <v/>
      </c>
      <c r="CB352" s="129" t="str">
        <f>IF(LEN(BR352)&gt;0,BM352*0.7,"")</f>
        <v/>
      </c>
      <c r="CC352" s="90">
        <f>BP352</f>
        <v>3176095.2300000004</v>
      </c>
      <c r="CD352" s="90" t="str">
        <f>IF(LEN(BR352)&gt;0,"70%","")</f>
        <v/>
      </c>
      <c r="CE352" s="90">
        <f>BS352</f>
        <v>204529</v>
      </c>
      <c r="CF352" s="90" t="str">
        <f>CA352</f>
        <v/>
      </c>
      <c r="CG352" s="90"/>
      <c r="CH352" s="90"/>
      <c r="CI352" s="90"/>
      <c r="CJ352" s="90"/>
      <c r="CK352" s="90"/>
      <c r="CL352" s="90"/>
      <c r="CM352" s="90"/>
      <c r="CN352" s="90"/>
      <c r="CO352" s="90"/>
      <c r="CP352" s="90"/>
      <c r="CQ352" s="90"/>
      <c r="CR352" s="90"/>
      <c r="CS352" s="90"/>
      <c r="CT352" s="137"/>
    </row>
    <row r="353" spans="1:98" ht="210">
      <c r="A353" s="89">
        <v>204529</v>
      </c>
      <c r="B353" s="90">
        <v>2020</v>
      </c>
      <c r="C353" s="90" t="s">
        <v>81</v>
      </c>
      <c r="D353" s="90" t="s">
        <v>1107</v>
      </c>
      <c r="E353" s="125" t="s">
        <v>780</v>
      </c>
      <c r="F353" s="24" t="s">
        <v>1108</v>
      </c>
      <c r="G353" s="90" t="s">
        <v>85</v>
      </c>
      <c r="H353" s="90" t="s">
        <v>150</v>
      </c>
      <c r="I353" s="90">
        <v>93</v>
      </c>
      <c r="J353" s="90">
        <v>157</v>
      </c>
      <c r="K353" s="90" t="s">
        <v>85</v>
      </c>
      <c r="L353" s="90" t="s">
        <v>1109</v>
      </c>
      <c r="M353" s="90" t="s">
        <v>85</v>
      </c>
      <c r="N353" s="24" t="s">
        <v>1110</v>
      </c>
      <c r="O353" s="24" t="str">
        <f>IF(ISNUMBER(SEARCH("Cancer",N353)),"Cancer",IF(ISNUMBER(SEARCH("health",N353)),"Public health",IF(ISNUMBER(SEARCH("disabilities",N353)),"Disabilities","Other")))</f>
        <v>Public health</v>
      </c>
      <c r="P353" s="126">
        <v>2749866</v>
      </c>
      <c r="Q353" s="90" t="s">
        <v>85</v>
      </c>
      <c r="R353" s="90" t="str">
        <f>IF(P353&gt;20000000,"B","A")</f>
        <v>A</v>
      </c>
      <c r="S353" s="90" t="s">
        <v>90</v>
      </c>
      <c r="T353" s="90">
        <v>2562717</v>
      </c>
      <c r="U353" s="90" t="s">
        <v>91</v>
      </c>
      <c r="V353" s="90" t="s">
        <v>804</v>
      </c>
      <c r="W353" s="90" t="s">
        <v>85</v>
      </c>
      <c r="X353" s="90" t="s">
        <v>87</v>
      </c>
      <c r="Y353" s="90" t="s">
        <v>85</v>
      </c>
      <c r="Z353" s="90" t="s">
        <v>85</v>
      </c>
      <c r="AA353" s="90" t="s">
        <v>85</v>
      </c>
      <c r="AB353" s="90" t="s">
        <v>85</v>
      </c>
      <c r="AC353" s="90" t="s">
        <v>85</v>
      </c>
      <c r="AD353" s="90">
        <v>0</v>
      </c>
      <c r="AE353" s="24">
        <v>0</v>
      </c>
      <c r="AF353" s="90">
        <v>0</v>
      </c>
      <c r="AG353" s="24">
        <v>0</v>
      </c>
      <c r="AH353" s="90">
        <v>88760</v>
      </c>
      <c r="AI353" s="24" t="s">
        <v>1115</v>
      </c>
      <c r="AJ353" s="24" t="s">
        <v>1116</v>
      </c>
      <c r="AK353" s="90" t="s">
        <v>85</v>
      </c>
      <c r="AL353" s="90">
        <v>204529</v>
      </c>
      <c r="AM353" s="90" t="s">
        <v>81</v>
      </c>
      <c r="AN353" s="90" t="s">
        <v>1107</v>
      </c>
      <c r="AO353" s="125" t="s">
        <v>780</v>
      </c>
      <c r="AP353" s="24" t="s">
        <v>1110</v>
      </c>
      <c r="AQ353" s="90" t="s">
        <v>1109</v>
      </c>
      <c r="AR353" s="24" t="s">
        <v>1110</v>
      </c>
      <c r="AS353" s="90">
        <v>2562717</v>
      </c>
      <c r="AT353" s="24" t="s">
        <v>1115</v>
      </c>
      <c r="AU353" s="90" t="s">
        <v>804</v>
      </c>
      <c r="AV353" s="90" t="str">
        <f>IF(ISNUMBER(SEARCH("disagree",AE353)),"N","Y")</f>
        <v>Y</v>
      </c>
      <c r="AW353" s="90" t="s">
        <v>119</v>
      </c>
      <c r="AX353" s="24" t="s">
        <v>119</v>
      </c>
      <c r="AY353" s="90" t="str">
        <f>CONCATENATE(AZ353,BA353,BB353,BC353)</f>
        <v/>
      </c>
      <c r="AZ353" s="90" t="str">
        <f>IF(ISNUMBER(SEARCH("Y",AC353)),"R","")</f>
        <v/>
      </c>
      <c r="BA353" s="90" t="str">
        <f>IF(ISNUMBER(SEARCH("Y",Y353)),"M","")</f>
        <v/>
      </c>
      <c r="BB353" s="90" t="str">
        <f>IF(ISNUMBER(SEARCH("Y",AB353)),"QC","")</f>
        <v/>
      </c>
      <c r="BC353" s="90" t="str">
        <f>IF(ISNUMBER(SEARCH("Y",Z353)),"S","")</f>
        <v/>
      </c>
      <c r="BD353" s="90"/>
      <c r="BE353" s="24" t="s">
        <v>119</v>
      </c>
      <c r="BF353" s="125" t="str">
        <f>IF(AND(AW353&gt;=56543,AW353&lt;=76543,LEN(AW353)&gt;0),"3 Feb 2020",IF(AND(AW353&gt;=66544,AW353&lt;=99999,LEN(AW353)&gt;0),"12 Sep 2020",""))</f>
        <v/>
      </c>
      <c r="BG353" s="125" t="str">
        <f>IF((AND(BF353="3 Feb 2020",LEN(BF353)&gt;0)),"Completed",IF((AND(BF353="12 Sep 2020",LEN(BF353)&gt;0)),"Pending",""))</f>
        <v/>
      </c>
      <c r="BH353" s="90" t="str">
        <f>IF((AND(BF353="3 Feb 2020",LEN(BF353)&gt;0)),"3 Feb 2020","")</f>
        <v/>
      </c>
      <c r="BI353" s="90">
        <v>204529</v>
      </c>
      <c r="BJ353" s="90" t="str">
        <f>L353</f>
        <v>2B66HR84008-37</v>
      </c>
      <c r="BK353" s="127">
        <v>43508</v>
      </c>
      <c r="BL353" s="127">
        <v>44239</v>
      </c>
      <c r="BM353" s="128">
        <f>P353*1.1</f>
        <v>3024852.6</v>
      </c>
      <c r="BN353" s="129">
        <f>P353*0.9</f>
        <v>2474879.4</v>
      </c>
      <c r="BO353" s="130">
        <f>P353*0.8</f>
        <v>2199892.8000000003</v>
      </c>
      <c r="BP353" s="90">
        <f>IF(Z353="Y",BM353*0.4,BM353*1.05)</f>
        <v>3176095.2300000004</v>
      </c>
      <c r="BQ353" s="90">
        <f>BP353*0.8</f>
        <v>2540876.1840000004</v>
      </c>
      <c r="BR353" s="90" t="str">
        <f>IF(ISNUMBER(SEARCH("subrecipient",AI349)),P353*0.6,"")</f>
        <v/>
      </c>
      <c r="BS353" s="90">
        <v>204529</v>
      </c>
      <c r="BT353" s="90" t="str">
        <f>BJ353</f>
        <v>2B66HR84008-37</v>
      </c>
      <c r="BU353" s="127">
        <f>BK353</f>
        <v>43508</v>
      </c>
      <c r="BV353" s="127">
        <f>BL353</f>
        <v>44239</v>
      </c>
      <c r="BW353" s="90" t="str">
        <f>H353</f>
        <v>ACF</v>
      </c>
      <c r="BX353" s="90" t="str">
        <f>IF(H353="NATIONAL HEMOPHILIA FOUNDATION","Non Federal","Federal")</f>
        <v>Federal</v>
      </c>
      <c r="BY353" s="128">
        <f>BM353</f>
        <v>3024852.6</v>
      </c>
      <c r="BZ353" s="90" t="str">
        <f>IF(LEN(BR353)&gt;0,1,"")</f>
        <v/>
      </c>
      <c r="CA353" s="90" t="str">
        <f>IF(LEN(BR353)&gt;0,"VIRAL HEPATITIS PROJECT","")</f>
        <v/>
      </c>
      <c r="CB353" s="129" t="str">
        <f>IF(LEN(BR353)&gt;0,BM353*0.7,"")</f>
        <v/>
      </c>
      <c r="CC353" s="90">
        <f>BP353</f>
        <v>3176095.2300000004</v>
      </c>
      <c r="CD353" s="90" t="str">
        <f>IF(LEN(BR353)&gt;0,"70%","")</f>
        <v/>
      </c>
      <c r="CE353" s="90">
        <f>BS353</f>
        <v>204529</v>
      </c>
      <c r="CF353" s="90" t="str">
        <f>CA353</f>
        <v/>
      </c>
      <c r="CG353" s="90"/>
      <c r="CH353" s="90"/>
      <c r="CI353" s="90"/>
      <c r="CJ353" s="90"/>
      <c r="CK353" s="90"/>
      <c r="CL353" s="90"/>
      <c r="CM353" s="90"/>
      <c r="CN353" s="90"/>
      <c r="CO353" s="90"/>
      <c r="CP353" s="90"/>
      <c r="CQ353" s="90"/>
      <c r="CR353" s="90"/>
      <c r="CS353" s="90"/>
      <c r="CT353" s="137"/>
    </row>
    <row r="354" spans="1:98" ht="90">
      <c r="A354" s="89">
        <v>204932</v>
      </c>
      <c r="B354" s="90">
        <v>2020</v>
      </c>
      <c r="C354" s="90" t="s">
        <v>81</v>
      </c>
      <c r="D354" s="90" t="s">
        <v>1117</v>
      </c>
      <c r="E354" s="125" t="s">
        <v>781</v>
      </c>
      <c r="F354" s="24" t="s">
        <v>1118</v>
      </c>
      <c r="G354" s="90" t="s">
        <v>85</v>
      </c>
      <c r="H354" s="90" t="s">
        <v>86</v>
      </c>
      <c r="I354" s="90">
        <v>93</v>
      </c>
      <c r="J354" s="90">
        <v>157</v>
      </c>
      <c r="K354" s="90" t="s">
        <v>85</v>
      </c>
      <c r="L354" s="90" t="s">
        <v>1119</v>
      </c>
      <c r="M354" s="90" t="s">
        <v>119</v>
      </c>
      <c r="N354" s="24" t="s">
        <v>243</v>
      </c>
      <c r="O354" s="24" t="str">
        <f>IF(ISNUMBER(SEARCH("Cancer",N354)),"Cancer",IF(ISNUMBER(SEARCH("health",N354)),"Public health",IF(ISNUMBER(SEARCH("disabilities",N354)),"Disabilities","Other")))</f>
        <v>Other</v>
      </c>
      <c r="P354" s="126">
        <v>2457343</v>
      </c>
      <c r="Q354" s="90" t="s">
        <v>85</v>
      </c>
      <c r="R354" s="90" t="str">
        <f>IF(P354&gt;20000000,"B","A")</f>
        <v>A</v>
      </c>
      <c r="S354" s="90" t="s">
        <v>90</v>
      </c>
      <c r="T354" s="90" t="s">
        <v>119</v>
      </c>
      <c r="U354" s="90" t="s">
        <v>119</v>
      </c>
      <c r="V354" s="90" t="s">
        <v>119</v>
      </c>
      <c r="W354" s="90" t="s">
        <v>119</v>
      </c>
      <c r="X354" s="90" t="s">
        <v>119</v>
      </c>
      <c r="Y354" s="90" t="s">
        <v>119</v>
      </c>
      <c r="Z354" s="90" t="s">
        <v>119</v>
      </c>
      <c r="AA354" s="90" t="s">
        <v>119</v>
      </c>
      <c r="AB354" s="90" t="s">
        <v>119</v>
      </c>
      <c r="AC354" s="90" t="s">
        <v>119</v>
      </c>
      <c r="AD354" s="90" t="s">
        <v>119</v>
      </c>
      <c r="AE354" s="24">
        <v>0</v>
      </c>
      <c r="AF354" s="90">
        <v>0</v>
      </c>
      <c r="AG354" s="24">
        <v>0</v>
      </c>
      <c r="AH354" s="90">
        <v>86230</v>
      </c>
      <c r="AI354" s="24" t="s">
        <v>94</v>
      </c>
      <c r="AJ354" s="24" t="s">
        <v>95</v>
      </c>
      <c r="AK354" s="90" t="s">
        <v>85</v>
      </c>
      <c r="AL354" s="90">
        <v>204932</v>
      </c>
      <c r="AM354" s="90" t="s">
        <v>81</v>
      </c>
      <c r="AN354" s="90" t="s">
        <v>1117</v>
      </c>
      <c r="AO354" s="125" t="s">
        <v>781</v>
      </c>
      <c r="AP354" s="24" t="s">
        <v>243</v>
      </c>
      <c r="AQ354" s="90" t="s">
        <v>1119</v>
      </c>
      <c r="AR354" s="24" t="s">
        <v>243</v>
      </c>
      <c r="AS354" s="90" t="s">
        <v>119</v>
      </c>
      <c r="AT354" s="24" t="s">
        <v>94</v>
      </c>
      <c r="AU354" s="90" t="s">
        <v>119</v>
      </c>
      <c r="AV354" s="90" t="str">
        <f>IF(ISNUMBER(SEARCH("disagree",AE354)),"N","Y")</f>
        <v>Y</v>
      </c>
      <c r="AW354" s="90" t="s">
        <v>119</v>
      </c>
      <c r="AX354" s="24" t="s">
        <v>119</v>
      </c>
      <c r="AY354" s="90" t="str">
        <f>CONCATENATE(AZ354,BA354,BB354,BC354)</f>
        <v/>
      </c>
      <c r="AZ354" s="90" t="str">
        <f>IF(ISNUMBER(SEARCH("Y",AC354)),"R","")</f>
        <v/>
      </c>
      <c r="BA354" s="90" t="str">
        <f>IF(ISNUMBER(SEARCH("Y",Y354)),"M","")</f>
        <v/>
      </c>
      <c r="BB354" s="90" t="str">
        <f>IF(ISNUMBER(SEARCH("Y",AB354)),"QC","")</f>
        <v/>
      </c>
      <c r="BC354" s="90" t="str">
        <f>IF(ISNUMBER(SEARCH("Y",Z354)),"S","")</f>
        <v/>
      </c>
      <c r="BD354" s="90"/>
      <c r="BE354" s="24" t="s">
        <v>119</v>
      </c>
      <c r="BF354" s="125" t="str">
        <f>IF(AND(AW354&gt;=56543,AW354&lt;=76543,LEN(AW354)&gt;0),"3 Feb 2020",IF(AND(AW354&gt;=66544,AW354&lt;=99999,LEN(AW354)&gt;0),"12 Sep 2020",""))</f>
        <v/>
      </c>
      <c r="BG354" s="125" t="str">
        <f>IF((AND(BF354="3 Feb 2020",LEN(BF354)&gt;0)),"Completed",IF((AND(BF354="12 Sep 2020",LEN(BF354)&gt;0)),"Pending",""))</f>
        <v/>
      </c>
      <c r="BH354" s="90" t="str">
        <f>IF((AND(BF354="3 Feb 2020",LEN(BF354)&gt;0)),"3 Feb 2020","")</f>
        <v/>
      </c>
      <c r="BI354" s="90">
        <v>204932</v>
      </c>
      <c r="BJ354" s="90" t="str">
        <f>L354</f>
        <v>2B20AR88759-19</v>
      </c>
      <c r="BK354" s="127">
        <v>43508</v>
      </c>
      <c r="BL354" s="127">
        <v>44239</v>
      </c>
      <c r="BM354" s="128">
        <f>P354*1.1</f>
        <v>2703077.3000000003</v>
      </c>
      <c r="BN354" s="129">
        <f>P354*0.9</f>
        <v>2211608.7000000002</v>
      </c>
      <c r="BO354" s="130">
        <f>P354*0.8</f>
        <v>1965874.4000000001</v>
      </c>
      <c r="BP354" s="90">
        <f>IF(Z354="Y",BM354*0.4,BM354*1.05)</f>
        <v>2838231.1650000005</v>
      </c>
      <c r="BQ354" s="90">
        <f>BP354*0.8</f>
        <v>2270584.9320000005</v>
      </c>
      <c r="BR354" s="90" t="str">
        <f>IF(ISNUMBER(SEARCH("subrecipient",AI350)),P354*0.6,"")</f>
        <v/>
      </c>
      <c r="BS354" s="90">
        <v>204932</v>
      </c>
      <c r="BT354" s="90" t="str">
        <f>BJ354</f>
        <v>2B20AR88759-19</v>
      </c>
      <c r="BU354" s="127">
        <f>BK354</f>
        <v>43508</v>
      </c>
      <c r="BV354" s="127">
        <f>BL354</f>
        <v>44239</v>
      </c>
      <c r="BW354" s="90" t="str">
        <f>H354</f>
        <v>CDC</v>
      </c>
      <c r="BX354" s="90" t="str">
        <f>IF(H354="NATIONAL HEMOPHILIA FOUNDATION","Non Federal","Federal")</f>
        <v>Federal</v>
      </c>
      <c r="BY354" s="128">
        <f>BM354</f>
        <v>2703077.3000000003</v>
      </c>
      <c r="BZ354" s="90" t="str">
        <f>IF(LEN(BR354)&gt;0,1,"")</f>
        <v/>
      </c>
      <c r="CA354" s="90" t="str">
        <f>IF(LEN(BR354)&gt;0,"VIRAL HEPATITIS PROJECT","")</f>
        <v/>
      </c>
      <c r="CB354" s="129" t="str">
        <f>IF(LEN(BR354)&gt;0,BM354*0.7,"")</f>
        <v/>
      </c>
      <c r="CC354" s="90">
        <f>BP354</f>
        <v>2838231.1650000005</v>
      </c>
      <c r="CD354" s="90" t="str">
        <f>IF(LEN(BR354)&gt;0,"70%","")</f>
        <v/>
      </c>
      <c r="CE354" s="90">
        <f>BS354</f>
        <v>204932</v>
      </c>
      <c r="CF354" s="90" t="str">
        <f>CA354</f>
        <v/>
      </c>
      <c r="CG354" s="90"/>
      <c r="CH354" s="90"/>
      <c r="CI354" s="90"/>
      <c r="CJ354" s="90"/>
      <c r="CK354" s="90"/>
      <c r="CL354" s="90"/>
      <c r="CM354" s="90"/>
      <c r="CN354" s="90"/>
      <c r="CO354" s="90"/>
      <c r="CP354" s="90"/>
      <c r="CQ354" s="90"/>
      <c r="CR354" s="90"/>
      <c r="CS354" s="90"/>
      <c r="CT354" s="137"/>
    </row>
    <row r="355" spans="1:98" ht="90">
      <c r="A355" s="89">
        <v>204932</v>
      </c>
      <c r="B355" s="90">
        <v>2020</v>
      </c>
      <c r="C355" s="90" t="s">
        <v>81</v>
      </c>
      <c r="D355" s="90" t="s">
        <v>1117</v>
      </c>
      <c r="E355" s="125" t="s">
        <v>784</v>
      </c>
      <c r="F355" s="24" t="s">
        <v>1118</v>
      </c>
      <c r="G355" s="90" t="s">
        <v>85</v>
      </c>
      <c r="H355" s="90" t="s">
        <v>86</v>
      </c>
      <c r="I355" s="90">
        <v>93</v>
      </c>
      <c r="J355" s="90">
        <v>157</v>
      </c>
      <c r="K355" s="90" t="s">
        <v>85</v>
      </c>
      <c r="L355" s="90" t="s">
        <v>1119</v>
      </c>
      <c r="M355" s="90" t="s">
        <v>119</v>
      </c>
      <c r="N355" s="24" t="s">
        <v>243</v>
      </c>
      <c r="O355" s="24" t="str">
        <f>IF(ISNUMBER(SEARCH("Cancer",N355)),"Cancer",IF(ISNUMBER(SEARCH("health",N355)),"Public health",IF(ISNUMBER(SEARCH("disabilities",N355)),"Disabilities","Other")))</f>
        <v>Other</v>
      </c>
      <c r="P355" s="126">
        <v>2457343</v>
      </c>
      <c r="Q355" s="90" t="s">
        <v>85</v>
      </c>
      <c r="R355" s="90" t="str">
        <f>IF(P355&gt;20000000,"B","A")</f>
        <v>A</v>
      </c>
      <c r="S355" s="90" t="s">
        <v>90</v>
      </c>
      <c r="T355" s="90" t="s">
        <v>119</v>
      </c>
      <c r="U355" s="90" t="s">
        <v>119</v>
      </c>
      <c r="V355" s="90" t="s">
        <v>119</v>
      </c>
      <c r="W355" s="90" t="s">
        <v>119</v>
      </c>
      <c r="X355" s="90" t="s">
        <v>119</v>
      </c>
      <c r="Y355" s="90" t="s">
        <v>119</v>
      </c>
      <c r="Z355" s="90" t="s">
        <v>119</v>
      </c>
      <c r="AA355" s="90" t="s">
        <v>119</v>
      </c>
      <c r="AB355" s="90" t="s">
        <v>119</v>
      </c>
      <c r="AC355" s="90" t="s">
        <v>119</v>
      </c>
      <c r="AD355" s="90" t="s">
        <v>119</v>
      </c>
      <c r="AE355" s="24">
        <v>0</v>
      </c>
      <c r="AF355" s="90">
        <v>0</v>
      </c>
      <c r="AG355" s="24">
        <v>0</v>
      </c>
      <c r="AH355" s="90">
        <v>86229</v>
      </c>
      <c r="AI355" s="24" t="s">
        <v>102</v>
      </c>
      <c r="AJ355" s="24" t="s">
        <v>103</v>
      </c>
      <c r="AK355" s="90" t="s">
        <v>85</v>
      </c>
      <c r="AL355" s="90">
        <v>204932</v>
      </c>
      <c r="AM355" s="90" t="s">
        <v>81</v>
      </c>
      <c r="AN355" s="90" t="s">
        <v>1117</v>
      </c>
      <c r="AO355" s="125" t="s">
        <v>784</v>
      </c>
      <c r="AP355" s="24" t="s">
        <v>243</v>
      </c>
      <c r="AQ355" s="90" t="s">
        <v>1119</v>
      </c>
      <c r="AR355" s="24" t="s">
        <v>243</v>
      </c>
      <c r="AS355" s="90" t="s">
        <v>119</v>
      </c>
      <c r="AT355" s="24" t="s">
        <v>102</v>
      </c>
      <c r="AU355" s="90" t="s">
        <v>119</v>
      </c>
      <c r="AV355" s="90" t="str">
        <f>IF(ISNUMBER(SEARCH("disagree",AE355)),"N","Y")</f>
        <v>Y</v>
      </c>
      <c r="AW355" s="90" t="s">
        <v>119</v>
      </c>
      <c r="AX355" s="24" t="s">
        <v>119</v>
      </c>
      <c r="AY355" s="90" t="str">
        <f>CONCATENATE(AZ355,BA355,BB355,BC355)</f>
        <v/>
      </c>
      <c r="AZ355" s="90" t="str">
        <f>IF(ISNUMBER(SEARCH("Y",AC355)),"R","")</f>
        <v/>
      </c>
      <c r="BA355" s="90" t="str">
        <f>IF(ISNUMBER(SEARCH("Y",Y355)),"M","")</f>
        <v/>
      </c>
      <c r="BB355" s="90" t="str">
        <f>IF(ISNUMBER(SEARCH("Y",AB355)),"QC","")</f>
        <v/>
      </c>
      <c r="BC355" s="90" t="str">
        <f>IF(ISNUMBER(SEARCH("Y",Z355)),"S","")</f>
        <v/>
      </c>
      <c r="BD355" s="90"/>
      <c r="BE355" s="24" t="s">
        <v>119</v>
      </c>
      <c r="BF355" s="125" t="str">
        <f>IF(AND(AW355&gt;=56543,AW355&lt;=76543,LEN(AW355)&gt;0),"3 Feb 2020",IF(AND(AW355&gt;=66544,AW355&lt;=99999,LEN(AW355)&gt;0),"12 Sep 2020",""))</f>
        <v/>
      </c>
      <c r="BG355" s="125" t="str">
        <f>IF((AND(BF355="3 Feb 2020",LEN(BF355)&gt;0)),"Completed",IF((AND(BF355="12 Sep 2020",LEN(BF355)&gt;0)),"Pending",""))</f>
        <v/>
      </c>
      <c r="BH355" s="90" t="str">
        <f>IF((AND(BF355="3 Feb 2020",LEN(BF355)&gt;0)),"3 Feb 2020","")</f>
        <v/>
      </c>
      <c r="BI355" s="90">
        <v>204932</v>
      </c>
      <c r="BJ355" s="90" t="str">
        <f>L355</f>
        <v>2B20AR88759-19</v>
      </c>
      <c r="BK355" s="127">
        <v>43508</v>
      </c>
      <c r="BL355" s="127">
        <v>44239</v>
      </c>
      <c r="BM355" s="128">
        <f>P355*1.1</f>
        <v>2703077.3000000003</v>
      </c>
      <c r="BN355" s="129">
        <f>P355*0.9</f>
        <v>2211608.7000000002</v>
      </c>
      <c r="BO355" s="130">
        <f>P355*0.8</f>
        <v>1965874.4000000001</v>
      </c>
      <c r="BP355" s="90">
        <f>IF(Z355="Y",BM355*0.4,BM355*1.05)</f>
        <v>2838231.1650000005</v>
      </c>
      <c r="BQ355" s="90">
        <f>BP355*0.8</f>
        <v>2270584.9320000005</v>
      </c>
      <c r="BR355" s="90" t="str">
        <f>IF(ISNUMBER(SEARCH("subrecipient",AI351)),P355*0.6,"")</f>
        <v/>
      </c>
      <c r="BS355" s="90">
        <v>204932</v>
      </c>
      <c r="BT355" s="90" t="str">
        <f>BJ355</f>
        <v>2B20AR88759-19</v>
      </c>
      <c r="BU355" s="127">
        <f>BK355</f>
        <v>43508</v>
      </c>
      <c r="BV355" s="127">
        <f>BL355</f>
        <v>44239</v>
      </c>
      <c r="BW355" s="90" t="str">
        <f>H355</f>
        <v>CDC</v>
      </c>
      <c r="BX355" s="90" t="str">
        <f>IF(H355="NATIONAL HEMOPHILIA FOUNDATION","Non Federal","Federal")</f>
        <v>Federal</v>
      </c>
      <c r="BY355" s="128">
        <f>BM355</f>
        <v>2703077.3000000003</v>
      </c>
      <c r="BZ355" s="90" t="str">
        <f>IF(LEN(BR355)&gt;0,1,"")</f>
        <v/>
      </c>
      <c r="CA355" s="90" t="str">
        <f>IF(LEN(BR355)&gt;0,"VIRAL HEPATITIS PROJECT","")</f>
        <v/>
      </c>
      <c r="CB355" s="129" t="str">
        <f>IF(LEN(BR355)&gt;0,BM355*0.7,"")</f>
        <v/>
      </c>
      <c r="CC355" s="90">
        <f>BP355</f>
        <v>2838231.1650000005</v>
      </c>
      <c r="CD355" s="90" t="str">
        <f>IF(LEN(BR355)&gt;0,"70%","")</f>
        <v/>
      </c>
      <c r="CE355" s="90">
        <f>BS355</f>
        <v>204932</v>
      </c>
      <c r="CF355" s="90" t="str">
        <f>CA355</f>
        <v/>
      </c>
      <c r="CG355" s="90"/>
      <c r="CH355" s="90"/>
      <c r="CI355" s="90"/>
      <c r="CJ355" s="90"/>
      <c r="CK355" s="90"/>
      <c r="CL355" s="90"/>
      <c r="CM355" s="90"/>
      <c r="CN355" s="90"/>
      <c r="CO355" s="90"/>
      <c r="CP355" s="90"/>
      <c r="CQ355" s="90"/>
      <c r="CR355" s="90"/>
      <c r="CS355" s="90"/>
      <c r="CT355" s="137"/>
    </row>
    <row r="356" spans="1:98" ht="90">
      <c r="A356" s="89">
        <v>204932</v>
      </c>
      <c r="B356" s="90">
        <v>2020</v>
      </c>
      <c r="C356" s="90" t="s">
        <v>81</v>
      </c>
      <c r="D356" s="90" t="s">
        <v>1117</v>
      </c>
      <c r="E356" s="125" t="s">
        <v>790</v>
      </c>
      <c r="F356" s="24" t="s">
        <v>1118</v>
      </c>
      <c r="G356" s="90" t="s">
        <v>85</v>
      </c>
      <c r="H356" s="90" t="s">
        <v>86</v>
      </c>
      <c r="I356" s="90">
        <v>93</v>
      </c>
      <c r="J356" s="90">
        <v>157</v>
      </c>
      <c r="K356" s="90" t="s">
        <v>85</v>
      </c>
      <c r="L356" s="90" t="s">
        <v>1119</v>
      </c>
      <c r="M356" s="90" t="s">
        <v>119</v>
      </c>
      <c r="N356" s="24" t="s">
        <v>243</v>
      </c>
      <c r="O356" s="24" t="str">
        <f>IF(ISNUMBER(SEARCH("Cancer",N356)),"Cancer",IF(ISNUMBER(SEARCH("health",N356)),"Public health",IF(ISNUMBER(SEARCH("disabilities",N356)),"Disabilities","Other")))</f>
        <v>Other</v>
      </c>
      <c r="P356" s="126">
        <v>2457343</v>
      </c>
      <c r="Q356" s="90" t="s">
        <v>85</v>
      </c>
      <c r="R356" s="90" t="str">
        <f>IF(P356&gt;20000000,"B","A")</f>
        <v>A</v>
      </c>
      <c r="S356" s="90" t="s">
        <v>90</v>
      </c>
      <c r="T356" s="90" t="s">
        <v>119</v>
      </c>
      <c r="U356" s="90" t="s">
        <v>119</v>
      </c>
      <c r="V356" s="90" t="s">
        <v>119</v>
      </c>
      <c r="W356" s="90" t="s">
        <v>119</v>
      </c>
      <c r="X356" s="90" t="s">
        <v>119</v>
      </c>
      <c r="Y356" s="90" t="s">
        <v>119</v>
      </c>
      <c r="Z356" s="90" t="s">
        <v>119</v>
      </c>
      <c r="AA356" s="90" t="s">
        <v>119</v>
      </c>
      <c r="AB356" s="90" t="s">
        <v>119</v>
      </c>
      <c r="AC356" s="90" t="s">
        <v>119</v>
      </c>
      <c r="AD356" s="90" t="s">
        <v>119</v>
      </c>
      <c r="AE356" s="24">
        <v>0</v>
      </c>
      <c r="AF356" s="90">
        <v>0</v>
      </c>
      <c r="AG356" s="24">
        <v>0</v>
      </c>
      <c r="AH356" s="90">
        <v>86231</v>
      </c>
      <c r="AI356" s="24" t="s">
        <v>110</v>
      </c>
      <c r="AJ356" s="24" t="s">
        <v>1120</v>
      </c>
      <c r="AK356" s="90" t="s">
        <v>85</v>
      </c>
      <c r="AL356" s="90">
        <v>204932</v>
      </c>
      <c r="AM356" s="90" t="s">
        <v>81</v>
      </c>
      <c r="AN356" s="90" t="s">
        <v>1117</v>
      </c>
      <c r="AO356" s="125" t="s">
        <v>790</v>
      </c>
      <c r="AP356" s="24" t="s">
        <v>243</v>
      </c>
      <c r="AQ356" s="90" t="s">
        <v>1119</v>
      </c>
      <c r="AR356" s="24" t="s">
        <v>243</v>
      </c>
      <c r="AS356" s="90" t="s">
        <v>119</v>
      </c>
      <c r="AT356" s="24" t="s">
        <v>110</v>
      </c>
      <c r="AU356" s="90" t="s">
        <v>119</v>
      </c>
      <c r="AV356" s="90" t="str">
        <f>IF(ISNUMBER(SEARCH("disagree",AE356)),"N","Y")</f>
        <v>Y</v>
      </c>
      <c r="AW356" s="90" t="s">
        <v>119</v>
      </c>
      <c r="AX356" s="24" t="s">
        <v>119</v>
      </c>
      <c r="AY356" s="90" t="str">
        <f>CONCATENATE(AZ356,BA356,BB356,BC356)</f>
        <v/>
      </c>
      <c r="AZ356" s="90" t="str">
        <f>IF(ISNUMBER(SEARCH("Y",AC356)),"R","")</f>
        <v/>
      </c>
      <c r="BA356" s="90" t="str">
        <f>IF(ISNUMBER(SEARCH("Y",Y356)),"M","")</f>
        <v/>
      </c>
      <c r="BB356" s="90" t="str">
        <f>IF(ISNUMBER(SEARCH("Y",AB356)),"QC","")</f>
        <v/>
      </c>
      <c r="BC356" s="90" t="str">
        <f>IF(ISNUMBER(SEARCH("Y",Z356)),"S","")</f>
        <v/>
      </c>
      <c r="BD356" s="90"/>
      <c r="BE356" s="24" t="s">
        <v>119</v>
      </c>
      <c r="BF356" s="125" t="str">
        <f>IF(AND(AW356&gt;=56543,AW356&lt;=76543,LEN(AW356)&gt;0),"3 Feb 2020",IF(AND(AW356&gt;=66544,AW356&lt;=99999,LEN(AW356)&gt;0),"12 Sep 2020",""))</f>
        <v/>
      </c>
      <c r="BG356" s="125" t="str">
        <f>IF((AND(BF356="3 Feb 2020",LEN(BF356)&gt;0)),"Completed",IF((AND(BF356="12 Sep 2020",LEN(BF356)&gt;0)),"Pending",""))</f>
        <v/>
      </c>
      <c r="BH356" s="90" t="str">
        <f>IF((AND(BF356="3 Feb 2020",LEN(BF356)&gt;0)),"3 Feb 2020","")</f>
        <v/>
      </c>
      <c r="BI356" s="90">
        <v>204932</v>
      </c>
      <c r="BJ356" s="90" t="str">
        <f>L356</f>
        <v>2B20AR88759-19</v>
      </c>
      <c r="BK356" s="127">
        <v>43508</v>
      </c>
      <c r="BL356" s="127">
        <v>44239</v>
      </c>
      <c r="BM356" s="128">
        <f>P356*1.1</f>
        <v>2703077.3000000003</v>
      </c>
      <c r="BN356" s="129">
        <f>P356*0.9</f>
        <v>2211608.7000000002</v>
      </c>
      <c r="BO356" s="130">
        <f>P356*0.8</f>
        <v>1965874.4000000001</v>
      </c>
      <c r="BP356" s="90">
        <f>IF(Z356="Y",BM356*0.4,BM356*1.05)</f>
        <v>2838231.1650000005</v>
      </c>
      <c r="BQ356" s="90">
        <f>BP356*0.8</f>
        <v>2270584.9320000005</v>
      </c>
      <c r="BR356" s="90" t="str">
        <f>IF(ISNUMBER(SEARCH("subrecipient",AI352)),P356*0.6,"")</f>
        <v/>
      </c>
      <c r="BS356" s="90">
        <v>204932</v>
      </c>
      <c r="BT356" s="90" t="str">
        <f>BJ356</f>
        <v>2B20AR88759-19</v>
      </c>
      <c r="BU356" s="127">
        <f>BK356</f>
        <v>43508</v>
      </c>
      <c r="BV356" s="127">
        <f>BL356</f>
        <v>44239</v>
      </c>
      <c r="BW356" s="90" t="str">
        <f>H356</f>
        <v>CDC</v>
      </c>
      <c r="BX356" s="90" t="str">
        <f>IF(H356="NATIONAL HEMOPHILIA FOUNDATION","Non Federal","Federal")</f>
        <v>Federal</v>
      </c>
      <c r="BY356" s="128">
        <f>BM356</f>
        <v>2703077.3000000003</v>
      </c>
      <c r="BZ356" s="90" t="str">
        <f>IF(LEN(BR356)&gt;0,1,"")</f>
        <v/>
      </c>
      <c r="CA356" s="90" t="str">
        <f>IF(LEN(BR356)&gt;0,"VIRAL HEPATITIS PROJECT","")</f>
        <v/>
      </c>
      <c r="CB356" s="129" t="str">
        <f>IF(LEN(BR356)&gt;0,BM356*0.7,"")</f>
        <v/>
      </c>
      <c r="CC356" s="90">
        <f>BP356</f>
        <v>2838231.1650000005</v>
      </c>
      <c r="CD356" s="90" t="str">
        <f>IF(LEN(BR356)&gt;0,"70%","")</f>
        <v/>
      </c>
      <c r="CE356" s="90">
        <f>BS356</f>
        <v>204932</v>
      </c>
      <c r="CF356" s="90" t="str">
        <f>CA356</f>
        <v/>
      </c>
      <c r="CG356" s="90"/>
      <c r="CH356" s="90"/>
      <c r="CI356" s="90"/>
      <c r="CJ356" s="90"/>
      <c r="CK356" s="90"/>
      <c r="CL356" s="90"/>
      <c r="CM356" s="90"/>
      <c r="CN356" s="90"/>
      <c r="CO356" s="90"/>
      <c r="CP356" s="90"/>
      <c r="CQ356" s="90"/>
      <c r="CR356" s="90"/>
      <c r="CS356" s="90"/>
      <c r="CT356" s="137"/>
    </row>
    <row r="357" spans="1:98" ht="225">
      <c r="A357" s="89">
        <v>205167</v>
      </c>
      <c r="B357" s="90">
        <v>2020</v>
      </c>
      <c r="C357" s="90" t="s">
        <v>81</v>
      </c>
      <c r="D357" s="90" t="s">
        <v>1121</v>
      </c>
      <c r="E357" s="125" t="s">
        <v>791</v>
      </c>
      <c r="F357" s="24" t="s">
        <v>1122</v>
      </c>
      <c r="G357" s="90" t="s">
        <v>85</v>
      </c>
      <c r="H357" s="90" t="s">
        <v>117</v>
      </c>
      <c r="I357" s="90">
        <v>93</v>
      </c>
      <c r="J357" s="90">
        <v>157</v>
      </c>
      <c r="K357" s="90" t="s">
        <v>85</v>
      </c>
      <c r="L357" s="90" t="s">
        <v>1123</v>
      </c>
      <c r="M357" s="90" t="s">
        <v>87</v>
      </c>
      <c r="N357" s="24" t="s">
        <v>1124</v>
      </c>
      <c r="O357" s="24" t="str">
        <f>IF(ISNUMBER(SEARCH("Cancer",N357)),"Cancer",IF(ISNUMBER(SEARCH("health",N357)),"Public health",IF(ISNUMBER(SEARCH("disabilities",N357)),"Disabilities","Other")))</f>
        <v>Other</v>
      </c>
      <c r="P357" s="126">
        <v>2654533</v>
      </c>
      <c r="Q357" s="90" t="s">
        <v>87</v>
      </c>
      <c r="R357" s="90" t="str">
        <f>IF(P357&gt;20000000,"B","A")</f>
        <v>A</v>
      </c>
      <c r="S357" s="90" t="s">
        <v>90</v>
      </c>
      <c r="T357" s="90">
        <v>2585261</v>
      </c>
      <c r="U357" s="90" t="s">
        <v>91</v>
      </c>
      <c r="V357" s="90" t="s">
        <v>85</v>
      </c>
      <c r="W357" s="90" t="s">
        <v>87</v>
      </c>
      <c r="X357" s="90" t="s">
        <v>85</v>
      </c>
      <c r="Y357" s="90" t="s">
        <v>85</v>
      </c>
      <c r="Z357" s="90" t="s">
        <v>85</v>
      </c>
      <c r="AA357" s="90" t="s">
        <v>85</v>
      </c>
      <c r="AB357" s="90" t="s">
        <v>85</v>
      </c>
      <c r="AC357" s="90" t="s">
        <v>85</v>
      </c>
      <c r="AD357" s="90">
        <v>0</v>
      </c>
      <c r="AE357" s="24" t="s">
        <v>1125</v>
      </c>
      <c r="AF357" s="90" t="s">
        <v>91</v>
      </c>
      <c r="AG357" s="24" t="s">
        <v>1126</v>
      </c>
      <c r="AH357" s="90">
        <v>90448</v>
      </c>
      <c r="AI357" s="24" t="s">
        <v>94</v>
      </c>
      <c r="AJ357" s="24" t="s">
        <v>95</v>
      </c>
      <c r="AK357" s="90" t="s">
        <v>87</v>
      </c>
      <c r="AL357" s="90">
        <v>205167</v>
      </c>
      <c r="AM357" s="90" t="s">
        <v>81</v>
      </c>
      <c r="AN357" s="90" t="s">
        <v>1121</v>
      </c>
      <c r="AO357" s="125" t="s">
        <v>791</v>
      </c>
      <c r="AP357" s="24" t="s">
        <v>1124</v>
      </c>
      <c r="AQ357" s="90" t="s">
        <v>1123</v>
      </c>
      <c r="AR357" s="24" t="s">
        <v>1124</v>
      </c>
      <c r="AS357" s="90">
        <v>2585261</v>
      </c>
      <c r="AT357" s="24" t="s">
        <v>94</v>
      </c>
      <c r="AU357" s="90" t="s">
        <v>85</v>
      </c>
      <c r="AV357" s="90" t="str">
        <f>IF(ISNUMBER(SEARCH("disagree",AE357)),"N","Y")</f>
        <v>Y</v>
      </c>
      <c r="AW357" s="90" t="s">
        <v>119</v>
      </c>
      <c r="AX357" s="24" t="s">
        <v>119</v>
      </c>
      <c r="AY357" s="90" t="str">
        <f>CONCATENATE(AZ357,BA357,BB357,BC357)</f>
        <v/>
      </c>
      <c r="AZ357" s="90" t="str">
        <f>IF(ISNUMBER(SEARCH("Y",AC357)),"R","")</f>
        <v/>
      </c>
      <c r="BA357" s="90" t="str">
        <f>IF(ISNUMBER(SEARCH("Y",Y357)),"M","")</f>
        <v/>
      </c>
      <c r="BB357" s="90" t="str">
        <f>IF(ISNUMBER(SEARCH("Y",AB357)),"QC","")</f>
        <v/>
      </c>
      <c r="BC357" s="90" t="str">
        <f>IF(ISNUMBER(SEARCH("Y",Z357)),"S","")</f>
        <v/>
      </c>
      <c r="BD357" s="90"/>
      <c r="BE357" s="24" t="s">
        <v>119</v>
      </c>
      <c r="BF357" s="125" t="str">
        <f>IF(AND(AW357&gt;=56543,AW357&lt;=76543,LEN(AW357)&gt;0),"3 Feb 2020",IF(AND(AW357&gt;=66544,AW357&lt;=99999,LEN(AW357)&gt;0),"12 Sep 2020",""))</f>
        <v/>
      </c>
      <c r="BG357" s="125" t="str">
        <f>IF((AND(BF357="3 Feb 2020",LEN(BF357)&gt;0)),"Completed",IF((AND(BF357="12 Sep 2020",LEN(BF357)&gt;0)),"Pending",""))</f>
        <v/>
      </c>
      <c r="BH357" s="90" t="str">
        <f>IF((AND(BF357="3 Feb 2020",LEN(BF357)&gt;0)),"3 Feb 2020","")</f>
        <v/>
      </c>
      <c r="BI357" s="90">
        <v>205167</v>
      </c>
      <c r="BJ357" s="90" t="str">
        <f>L357</f>
        <v>9B52ER86229-71</v>
      </c>
      <c r="BK357" s="127">
        <v>43508</v>
      </c>
      <c r="BL357" s="127">
        <v>44239</v>
      </c>
      <c r="BM357" s="128">
        <f>P357*1.1</f>
        <v>2919986.3000000003</v>
      </c>
      <c r="BN357" s="129">
        <f>P357*0.9</f>
        <v>2389079.7000000002</v>
      </c>
      <c r="BO357" s="130">
        <f>P357*0.8</f>
        <v>2123626.4</v>
      </c>
      <c r="BP357" s="90">
        <f>IF(Z357="Y",BM357*0.4,BM357*1.05)</f>
        <v>3065985.6150000002</v>
      </c>
      <c r="BQ357" s="90">
        <f>BP357*0.8</f>
        <v>2452788.4920000001</v>
      </c>
      <c r="BR357" s="90" t="str">
        <f>IF(ISNUMBER(SEARCH("subrecipient",AI353)),P357*0.6,"")</f>
        <v/>
      </c>
      <c r="BS357" s="90">
        <v>205167</v>
      </c>
      <c r="BT357" s="90" t="str">
        <f>BJ357</f>
        <v>9B52ER86229-71</v>
      </c>
      <c r="BU357" s="127">
        <f>BK357</f>
        <v>43508</v>
      </c>
      <c r="BV357" s="127">
        <f>BL357</f>
        <v>44239</v>
      </c>
      <c r="BW357" s="90" t="str">
        <f>H357</f>
        <v>NIH</v>
      </c>
      <c r="BX357" s="90" t="str">
        <f>IF(H357="NATIONAL HEMOPHILIA FOUNDATION","Non Federal","Federal")</f>
        <v>Federal</v>
      </c>
      <c r="BY357" s="128">
        <f>BM357</f>
        <v>2919986.3000000003</v>
      </c>
      <c r="BZ357" s="90" t="str">
        <f>IF(LEN(BR357)&gt;0,1,"")</f>
        <v/>
      </c>
      <c r="CA357" s="90" t="str">
        <f>IF(LEN(BR357)&gt;0,"VIRAL HEPATITIS PROJECT","")</f>
        <v/>
      </c>
      <c r="CB357" s="129" t="str">
        <f>IF(LEN(BR357)&gt;0,BM357*0.7,"")</f>
        <v/>
      </c>
      <c r="CC357" s="90">
        <f>BP357</f>
        <v>3065985.6150000002</v>
      </c>
      <c r="CD357" s="90" t="str">
        <f>IF(LEN(BR357)&gt;0,"70%","")</f>
        <v/>
      </c>
      <c r="CE357" s="90">
        <f>BS357</f>
        <v>205167</v>
      </c>
      <c r="CF357" s="90" t="str">
        <f>CA357</f>
        <v/>
      </c>
      <c r="CG357" s="90"/>
      <c r="CH357" s="90"/>
      <c r="CI357" s="90"/>
      <c r="CJ357" s="90"/>
      <c r="CK357" s="90"/>
      <c r="CL357" s="90"/>
      <c r="CM357" s="90"/>
      <c r="CN357" s="90"/>
      <c r="CO357" s="90"/>
      <c r="CP357" s="90"/>
      <c r="CQ357" s="90"/>
      <c r="CR357" s="90"/>
      <c r="CS357" s="90"/>
      <c r="CT357" s="137"/>
    </row>
    <row r="358" spans="1:98" ht="225">
      <c r="A358" s="89">
        <v>205167</v>
      </c>
      <c r="B358" s="90">
        <v>2020</v>
      </c>
      <c r="C358" s="90" t="s">
        <v>81</v>
      </c>
      <c r="D358" s="90" t="s">
        <v>1121</v>
      </c>
      <c r="E358" s="125" t="s">
        <v>793</v>
      </c>
      <c r="F358" s="24" t="s">
        <v>1122</v>
      </c>
      <c r="G358" s="90" t="s">
        <v>85</v>
      </c>
      <c r="H358" s="90" t="s">
        <v>117</v>
      </c>
      <c r="I358" s="90">
        <v>93</v>
      </c>
      <c r="J358" s="90">
        <v>157</v>
      </c>
      <c r="K358" s="90" t="s">
        <v>85</v>
      </c>
      <c r="L358" s="90" t="s">
        <v>1123</v>
      </c>
      <c r="M358" s="90" t="s">
        <v>87</v>
      </c>
      <c r="N358" s="24" t="s">
        <v>1124</v>
      </c>
      <c r="O358" s="24" t="str">
        <f>IF(ISNUMBER(SEARCH("Cancer",N358)),"Cancer",IF(ISNUMBER(SEARCH("health",N358)),"Public health",IF(ISNUMBER(SEARCH("disabilities",N358)),"Disabilities","Other")))</f>
        <v>Other</v>
      </c>
      <c r="P358" s="126">
        <v>2654533</v>
      </c>
      <c r="Q358" s="90" t="s">
        <v>85</v>
      </c>
      <c r="R358" s="90" t="str">
        <f>IF(P358&gt;20000000,"B","A")</f>
        <v>A</v>
      </c>
      <c r="S358" s="90" t="s">
        <v>90</v>
      </c>
      <c r="T358" s="90">
        <v>2585261</v>
      </c>
      <c r="U358" s="90" t="s">
        <v>91</v>
      </c>
      <c r="V358" s="90" t="s">
        <v>85</v>
      </c>
      <c r="W358" s="90" t="s">
        <v>87</v>
      </c>
      <c r="X358" s="90" t="s">
        <v>85</v>
      </c>
      <c r="Y358" s="90" t="s">
        <v>85</v>
      </c>
      <c r="Z358" s="90" t="s">
        <v>85</v>
      </c>
      <c r="AA358" s="90" t="s">
        <v>85</v>
      </c>
      <c r="AB358" s="90" t="s">
        <v>85</v>
      </c>
      <c r="AC358" s="90" t="s">
        <v>85</v>
      </c>
      <c r="AD358" s="90">
        <v>0</v>
      </c>
      <c r="AE358" s="24" t="s">
        <v>1127</v>
      </c>
      <c r="AF358" s="90" t="s">
        <v>100</v>
      </c>
      <c r="AG358" s="24" t="s">
        <v>1128</v>
      </c>
      <c r="AH358" s="90">
        <v>90449</v>
      </c>
      <c r="AI358" s="24" t="s">
        <v>102</v>
      </c>
      <c r="AJ358" s="24" t="s">
        <v>103</v>
      </c>
      <c r="AK358" s="90" t="s">
        <v>85</v>
      </c>
      <c r="AL358" s="90">
        <v>205167</v>
      </c>
      <c r="AM358" s="90" t="s">
        <v>81</v>
      </c>
      <c r="AN358" s="90" t="s">
        <v>1121</v>
      </c>
      <c r="AO358" s="125" t="s">
        <v>793</v>
      </c>
      <c r="AP358" s="24" t="s">
        <v>1124</v>
      </c>
      <c r="AQ358" s="90" t="s">
        <v>1123</v>
      </c>
      <c r="AR358" s="24" t="s">
        <v>1124</v>
      </c>
      <c r="AS358" s="90">
        <v>2585261</v>
      </c>
      <c r="AT358" s="24" t="s">
        <v>102</v>
      </c>
      <c r="AU358" s="90" t="s">
        <v>85</v>
      </c>
      <c r="AV358" s="90" t="str">
        <f>IF(ISNUMBER(SEARCH("disagree",AE358)),"N","Y")</f>
        <v>Y</v>
      </c>
      <c r="AW358" s="90" t="s">
        <v>119</v>
      </c>
      <c r="AX358" s="24" t="s">
        <v>119</v>
      </c>
      <c r="AY358" s="90" t="str">
        <f>CONCATENATE(AZ358,BA358,BB358,BC358)</f>
        <v/>
      </c>
      <c r="AZ358" s="90" t="str">
        <f>IF(ISNUMBER(SEARCH("Y",AC358)),"R","")</f>
        <v/>
      </c>
      <c r="BA358" s="90" t="str">
        <f>IF(ISNUMBER(SEARCH("Y",Y358)),"M","")</f>
        <v/>
      </c>
      <c r="BB358" s="90" t="str">
        <f>IF(ISNUMBER(SEARCH("Y",AB358)),"QC","")</f>
        <v/>
      </c>
      <c r="BC358" s="90" t="str">
        <f>IF(ISNUMBER(SEARCH("Y",Z358)),"S","")</f>
        <v/>
      </c>
      <c r="BD358" s="90"/>
      <c r="BE358" s="24" t="s">
        <v>119</v>
      </c>
      <c r="BF358" s="125" t="str">
        <f>IF(AND(AW358&gt;=56543,AW358&lt;=76543,LEN(AW358)&gt;0),"3 Feb 2020",IF(AND(AW358&gt;=66544,AW358&lt;=99999,LEN(AW358)&gt;0),"12 Sep 2020",""))</f>
        <v/>
      </c>
      <c r="BG358" s="125" t="str">
        <f>IF((AND(BF358="3 Feb 2020",LEN(BF358)&gt;0)),"Completed",IF((AND(BF358="12 Sep 2020",LEN(BF358)&gt;0)),"Pending",""))</f>
        <v/>
      </c>
      <c r="BH358" s="90" t="str">
        <f>IF((AND(BF358="3 Feb 2020",LEN(BF358)&gt;0)),"3 Feb 2020","")</f>
        <v/>
      </c>
      <c r="BI358" s="90">
        <v>205167</v>
      </c>
      <c r="BJ358" s="90" t="str">
        <f>L358</f>
        <v>9B52ER86229-71</v>
      </c>
      <c r="BK358" s="127">
        <v>43508</v>
      </c>
      <c r="BL358" s="127">
        <v>44239</v>
      </c>
      <c r="BM358" s="128">
        <f>P358*1.1</f>
        <v>2919986.3000000003</v>
      </c>
      <c r="BN358" s="129">
        <f>P358*0.9</f>
        <v>2389079.7000000002</v>
      </c>
      <c r="BO358" s="130">
        <f>P358*0.8</f>
        <v>2123626.4</v>
      </c>
      <c r="BP358" s="90">
        <f>IF(Z358="Y",BM358*0.4,BM358*1.05)</f>
        <v>3065985.6150000002</v>
      </c>
      <c r="BQ358" s="90">
        <f>BP358*0.8</f>
        <v>2452788.4920000001</v>
      </c>
      <c r="BR358" s="90" t="str">
        <f>IF(ISNUMBER(SEARCH("subrecipient",AI354)),P358*0.6,"")</f>
        <v/>
      </c>
      <c r="BS358" s="90">
        <v>205167</v>
      </c>
      <c r="BT358" s="90" t="str">
        <f>BJ358</f>
        <v>9B52ER86229-71</v>
      </c>
      <c r="BU358" s="127">
        <f>BK358</f>
        <v>43508</v>
      </c>
      <c r="BV358" s="127">
        <f>BL358</f>
        <v>44239</v>
      </c>
      <c r="BW358" s="90" t="str">
        <f>H358</f>
        <v>NIH</v>
      </c>
      <c r="BX358" s="90" t="str">
        <f>IF(H358="NATIONAL HEMOPHILIA FOUNDATION","Non Federal","Federal")</f>
        <v>Federal</v>
      </c>
      <c r="BY358" s="128">
        <f>BM358</f>
        <v>2919986.3000000003</v>
      </c>
      <c r="BZ358" s="90" t="str">
        <f>IF(LEN(BR358)&gt;0,1,"")</f>
        <v/>
      </c>
      <c r="CA358" s="90" t="str">
        <f>IF(LEN(BR358)&gt;0,"VIRAL HEPATITIS PROJECT","")</f>
        <v/>
      </c>
      <c r="CB358" s="129" t="str">
        <f>IF(LEN(BR358)&gt;0,BM358*0.7,"")</f>
        <v/>
      </c>
      <c r="CC358" s="90">
        <f>BP358</f>
        <v>3065985.6150000002</v>
      </c>
      <c r="CD358" s="90" t="str">
        <f>IF(LEN(BR358)&gt;0,"70%","")</f>
        <v/>
      </c>
      <c r="CE358" s="90">
        <f>BS358</f>
        <v>205167</v>
      </c>
      <c r="CF358" s="90" t="str">
        <f>CA358</f>
        <v/>
      </c>
      <c r="CG358" s="90"/>
      <c r="CH358" s="90"/>
      <c r="CI358" s="90"/>
      <c r="CJ358" s="90"/>
      <c r="CK358" s="90"/>
      <c r="CL358" s="90"/>
      <c r="CM358" s="90"/>
      <c r="CN358" s="90"/>
      <c r="CO358" s="90"/>
      <c r="CP358" s="90"/>
      <c r="CQ358" s="90"/>
      <c r="CR358" s="90"/>
      <c r="CS358" s="90"/>
      <c r="CT358" s="137"/>
    </row>
    <row r="359" spans="1:98" ht="210">
      <c r="A359" s="89">
        <v>205167</v>
      </c>
      <c r="B359" s="90">
        <v>2020</v>
      </c>
      <c r="C359" s="90" t="s">
        <v>81</v>
      </c>
      <c r="D359" s="90" t="s">
        <v>1121</v>
      </c>
      <c r="E359" s="125" t="s">
        <v>780</v>
      </c>
      <c r="F359" s="24" t="s">
        <v>1122</v>
      </c>
      <c r="G359" s="90" t="s">
        <v>85</v>
      </c>
      <c r="H359" s="90" t="s">
        <v>117</v>
      </c>
      <c r="I359" s="90">
        <v>93</v>
      </c>
      <c r="J359" s="90">
        <v>157</v>
      </c>
      <c r="K359" s="90" t="s">
        <v>85</v>
      </c>
      <c r="L359" s="90" t="s">
        <v>1123</v>
      </c>
      <c r="M359" s="90" t="s">
        <v>87</v>
      </c>
      <c r="N359" s="24" t="s">
        <v>1124</v>
      </c>
      <c r="O359" s="24" t="str">
        <f>IF(ISNUMBER(SEARCH("Cancer",N359)),"Cancer",IF(ISNUMBER(SEARCH("health",N359)),"Public health",IF(ISNUMBER(SEARCH("disabilities",N359)),"Disabilities","Other")))</f>
        <v>Other</v>
      </c>
      <c r="P359" s="126">
        <v>2654533</v>
      </c>
      <c r="Q359" s="90" t="s">
        <v>85</v>
      </c>
      <c r="R359" s="90" t="str">
        <f>IF(P359&gt;20000000,"B","A")</f>
        <v>A</v>
      </c>
      <c r="S359" s="90" t="s">
        <v>90</v>
      </c>
      <c r="T359" s="90">
        <v>2585261</v>
      </c>
      <c r="U359" s="90" t="s">
        <v>91</v>
      </c>
      <c r="V359" s="90" t="s">
        <v>85</v>
      </c>
      <c r="W359" s="90" t="s">
        <v>87</v>
      </c>
      <c r="X359" s="90" t="s">
        <v>85</v>
      </c>
      <c r="Y359" s="90" t="s">
        <v>85</v>
      </c>
      <c r="Z359" s="90" t="s">
        <v>85</v>
      </c>
      <c r="AA359" s="90" t="s">
        <v>85</v>
      </c>
      <c r="AB359" s="90" t="s">
        <v>85</v>
      </c>
      <c r="AC359" s="90" t="s">
        <v>85</v>
      </c>
      <c r="AD359" s="90">
        <v>0</v>
      </c>
      <c r="AE359" s="24" t="s">
        <v>1129</v>
      </c>
      <c r="AF359" s="90" t="s">
        <v>108</v>
      </c>
      <c r="AG359" s="24" t="s">
        <v>1130</v>
      </c>
      <c r="AH359" s="90">
        <v>90450</v>
      </c>
      <c r="AI359" s="24" t="s">
        <v>110</v>
      </c>
      <c r="AJ359" s="24" t="s">
        <v>1131</v>
      </c>
      <c r="AK359" s="90" t="s">
        <v>85</v>
      </c>
      <c r="AL359" s="90">
        <v>205167</v>
      </c>
      <c r="AM359" s="90" t="s">
        <v>81</v>
      </c>
      <c r="AN359" s="90" t="s">
        <v>1121</v>
      </c>
      <c r="AO359" s="125" t="s">
        <v>780</v>
      </c>
      <c r="AP359" s="24" t="s">
        <v>1124</v>
      </c>
      <c r="AQ359" s="90" t="s">
        <v>1123</v>
      </c>
      <c r="AR359" s="24" t="s">
        <v>1124</v>
      </c>
      <c r="AS359" s="90">
        <v>2585261</v>
      </c>
      <c r="AT359" s="24" t="s">
        <v>110</v>
      </c>
      <c r="AU359" s="90" t="s">
        <v>85</v>
      </c>
      <c r="AV359" s="90" t="str">
        <f>IF(ISNUMBER(SEARCH("disagree",AE359)),"N","Y")</f>
        <v>Y</v>
      </c>
      <c r="AW359" s="90" t="s">
        <v>119</v>
      </c>
      <c r="AX359" s="24" t="s">
        <v>119</v>
      </c>
      <c r="AY359" s="90" t="str">
        <f>CONCATENATE(AZ359,BA359,BB359,BC359)</f>
        <v/>
      </c>
      <c r="AZ359" s="90" t="str">
        <f>IF(ISNUMBER(SEARCH("Y",AC359)),"R","")</f>
        <v/>
      </c>
      <c r="BA359" s="90" t="str">
        <f>IF(ISNUMBER(SEARCH("Y",Y359)),"M","")</f>
        <v/>
      </c>
      <c r="BB359" s="90" t="str">
        <f>IF(ISNUMBER(SEARCH("Y",AB359)),"QC","")</f>
        <v/>
      </c>
      <c r="BC359" s="90" t="str">
        <f>IF(ISNUMBER(SEARCH("Y",Z359)),"S","")</f>
        <v/>
      </c>
      <c r="BD359" s="90"/>
      <c r="BE359" s="24" t="s">
        <v>119</v>
      </c>
      <c r="BF359" s="125" t="str">
        <f>IF(AND(AW359&gt;=56543,AW359&lt;=76543,LEN(AW359)&gt;0),"3 Feb 2020",IF(AND(AW359&gt;=66544,AW359&lt;=99999,LEN(AW359)&gt;0),"12 Sep 2020",""))</f>
        <v/>
      </c>
      <c r="BG359" s="125" t="str">
        <f>IF((AND(BF359="3 Feb 2020",LEN(BF359)&gt;0)),"Completed",IF((AND(BF359="12 Sep 2020",LEN(BF359)&gt;0)),"Pending",""))</f>
        <v/>
      </c>
      <c r="BH359" s="90" t="str">
        <f>IF((AND(BF359="3 Feb 2020",LEN(BF359)&gt;0)),"3 Feb 2020","")</f>
        <v/>
      </c>
      <c r="BI359" s="90">
        <v>205167</v>
      </c>
      <c r="BJ359" s="90" t="str">
        <f>L359</f>
        <v>9B52ER86229-71</v>
      </c>
      <c r="BK359" s="127">
        <v>43508</v>
      </c>
      <c r="BL359" s="127">
        <v>44239</v>
      </c>
      <c r="BM359" s="128">
        <f>P359*1.1</f>
        <v>2919986.3000000003</v>
      </c>
      <c r="BN359" s="129">
        <f>P359*0.9</f>
        <v>2389079.7000000002</v>
      </c>
      <c r="BO359" s="130">
        <f>P359*0.8</f>
        <v>2123626.4</v>
      </c>
      <c r="BP359" s="90">
        <f>IF(Z359="Y",BM359*0.4,BM359*1.05)</f>
        <v>3065985.6150000002</v>
      </c>
      <c r="BQ359" s="90">
        <f>BP359*0.8</f>
        <v>2452788.4920000001</v>
      </c>
      <c r="BR359" s="90" t="str">
        <f>IF(ISNUMBER(SEARCH("subrecipient",AI355)),P359*0.6,"")</f>
        <v/>
      </c>
      <c r="BS359" s="90">
        <v>205167</v>
      </c>
      <c r="BT359" s="90" t="str">
        <f>BJ359</f>
        <v>9B52ER86229-71</v>
      </c>
      <c r="BU359" s="127">
        <f>BK359</f>
        <v>43508</v>
      </c>
      <c r="BV359" s="127">
        <f>BL359</f>
        <v>44239</v>
      </c>
      <c r="BW359" s="90" t="str">
        <f>H359</f>
        <v>NIH</v>
      </c>
      <c r="BX359" s="90" t="str">
        <f>IF(H359="NATIONAL HEMOPHILIA FOUNDATION","Non Federal","Federal")</f>
        <v>Federal</v>
      </c>
      <c r="BY359" s="128">
        <f>BM359</f>
        <v>2919986.3000000003</v>
      </c>
      <c r="BZ359" s="90" t="str">
        <f>IF(LEN(BR359)&gt;0,1,"")</f>
        <v/>
      </c>
      <c r="CA359" s="90" t="str">
        <f>IF(LEN(BR359)&gt;0,"VIRAL HEPATITIS PROJECT","")</f>
        <v/>
      </c>
      <c r="CB359" s="129" t="str">
        <f>IF(LEN(BR359)&gt;0,BM359*0.7,"")</f>
        <v/>
      </c>
      <c r="CC359" s="90">
        <f>BP359</f>
        <v>3065985.6150000002</v>
      </c>
      <c r="CD359" s="90" t="str">
        <f>IF(LEN(BR359)&gt;0,"70%","")</f>
        <v/>
      </c>
      <c r="CE359" s="90">
        <f>BS359</f>
        <v>205167</v>
      </c>
      <c r="CF359" s="90" t="str">
        <f>CA359</f>
        <v/>
      </c>
      <c r="CG359" s="90"/>
      <c r="CH359" s="90"/>
      <c r="CI359" s="90"/>
      <c r="CJ359" s="90"/>
      <c r="CK359" s="90"/>
      <c r="CL359" s="90"/>
      <c r="CM359" s="90"/>
      <c r="CN359" s="90"/>
      <c r="CO359" s="90"/>
      <c r="CP359" s="90"/>
      <c r="CQ359" s="90"/>
      <c r="CR359" s="90"/>
      <c r="CS359" s="90"/>
      <c r="CT359" s="137"/>
    </row>
    <row r="360" spans="1:98" ht="135">
      <c r="A360" s="89">
        <v>205482</v>
      </c>
      <c r="B360" s="90">
        <v>2020</v>
      </c>
      <c r="C360" s="90" t="s">
        <v>81</v>
      </c>
      <c r="D360" s="90" t="s">
        <v>1132</v>
      </c>
      <c r="E360" s="125" t="s">
        <v>781</v>
      </c>
      <c r="F360" s="24" t="s">
        <v>1133</v>
      </c>
      <c r="G360" s="90" t="s">
        <v>85</v>
      </c>
      <c r="H360" s="90" t="s">
        <v>132</v>
      </c>
      <c r="I360" s="90">
        <v>93</v>
      </c>
      <c r="J360" s="90">
        <v>157</v>
      </c>
      <c r="K360" s="90" t="s">
        <v>85</v>
      </c>
      <c r="L360" s="90" t="s">
        <v>1134</v>
      </c>
      <c r="M360" s="90" t="s">
        <v>119</v>
      </c>
      <c r="N360" s="24" t="s">
        <v>254</v>
      </c>
      <c r="O360" s="24" t="str">
        <f>IF(ISNUMBER(SEARCH("Cancer",N360)),"Cancer",IF(ISNUMBER(SEARCH("health",N360)),"Public health",IF(ISNUMBER(SEARCH("disabilities",N360)),"Disabilities","Other")))</f>
        <v>Other</v>
      </c>
      <c r="P360" s="126">
        <v>2546329</v>
      </c>
      <c r="Q360" s="90" t="s">
        <v>85</v>
      </c>
      <c r="R360" s="90" t="str">
        <f>IF(P360&gt;20000000,"B","A")</f>
        <v>A</v>
      </c>
      <c r="S360" s="90" t="s">
        <v>90</v>
      </c>
      <c r="T360" s="90" t="s">
        <v>119</v>
      </c>
      <c r="U360" s="90" t="s">
        <v>119</v>
      </c>
      <c r="V360" s="90" t="s">
        <v>119</v>
      </c>
      <c r="W360" s="90" t="s">
        <v>119</v>
      </c>
      <c r="X360" s="90" t="s">
        <v>119</v>
      </c>
      <c r="Y360" s="90" t="s">
        <v>119</v>
      </c>
      <c r="Z360" s="90" t="s">
        <v>119</v>
      </c>
      <c r="AA360" s="90" t="s">
        <v>119</v>
      </c>
      <c r="AB360" s="90" t="s">
        <v>119</v>
      </c>
      <c r="AC360" s="90" t="s">
        <v>119</v>
      </c>
      <c r="AD360" s="90" t="s">
        <v>119</v>
      </c>
      <c r="AE360" s="24">
        <v>0</v>
      </c>
      <c r="AF360" s="90">
        <v>0</v>
      </c>
      <c r="AG360" s="24">
        <v>0</v>
      </c>
      <c r="AH360" s="90">
        <v>89234</v>
      </c>
      <c r="AI360" s="24" t="s">
        <v>94</v>
      </c>
      <c r="AJ360" s="24" t="s">
        <v>1135</v>
      </c>
      <c r="AK360" s="90" t="s">
        <v>85</v>
      </c>
      <c r="AL360" s="90">
        <v>205482</v>
      </c>
      <c r="AM360" s="90" t="s">
        <v>81</v>
      </c>
      <c r="AN360" s="90" t="s">
        <v>1132</v>
      </c>
      <c r="AO360" s="125" t="s">
        <v>781</v>
      </c>
      <c r="AP360" s="24" t="s">
        <v>254</v>
      </c>
      <c r="AQ360" s="90" t="s">
        <v>1134</v>
      </c>
      <c r="AR360" s="24" t="s">
        <v>254</v>
      </c>
      <c r="AS360" s="90" t="s">
        <v>119</v>
      </c>
      <c r="AT360" s="24" t="s">
        <v>94</v>
      </c>
      <c r="AU360" s="90" t="s">
        <v>119</v>
      </c>
      <c r="AV360" s="90" t="str">
        <f>IF(ISNUMBER(SEARCH("disagree",AE360)),"N","Y")</f>
        <v>Y</v>
      </c>
      <c r="AW360" s="90" t="s">
        <v>119</v>
      </c>
      <c r="AX360" s="24" t="s">
        <v>119</v>
      </c>
      <c r="AY360" s="90" t="str">
        <f>CONCATENATE(AZ360,BA360,BB360,BC360)</f>
        <v/>
      </c>
      <c r="AZ360" s="90" t="str">
        <f>IF(ISNUMBER(SEARCH("Y",AC360)),"R","")</f>
        <v/>
      </c>
      <c r="BA360" s="90" t="str">
        <f>IF(ISNUMBER(SEARCH("Y",Y360)),"M","")</f>
        <v/>
      </c>
      <c r="BB360" s="90" t="str">
        <f>IF(ISNUMBER(SEARCH("Y",AB360)),"QC","")</f>
        <v/>
      </c>
      <c r="BC360" s="90" t="str">
        <f>IF(ISNUMBER(SEARCH("Y",Z360)),"S","")</f>
        <v/>
      </c>
      <c r="BD360" s="90"/>
      <c r="BE360" s="24" t="s">
        <v>119</v>
      </c>
      <c r="BF360" s="125" t="str">
        <f>IF(AND(AW360&gt;=56543,AW360&lt;=76543,LEN(AW360)&gt;0),"3 Feb 2020",IF(AND(AW360&gt;=66544,AW360&lt;=99999,LEN(AW360)&gt;0),"12 Sep 2020",""))</f>
        <v/>
      </c>
      <c r="BG360" s="125" t="str">
        <f>IF((AND(BF360="3 Feb 2020",LEN(BF360)&gt;0)),"Completed",IF((AND(BF360="12 Sep 2020",LEN(BF360)&gt;0)),"Pending",""))</f>
        <v/>
      </c>
      <c r="BH360" s="90" t="str">
        <f>IF((AND(BF360="3 Feb 2020",LEN(BF360)&gt;0)),"3 Feb 2020","")</f>
        <v/>
      </c>
      <c r="BI360" s="90">
        <v>205482</v>
      </c>
      <c r="BJ360" s="90" t="str">
        <f>L360</f>
        <v>4D31GT89234-76</v>
      </c>
      <c r="BK360" s="127">
        <v>43508</v>
      </c>
      <c r="BL360" s="127">
        <v>44239</v>
      </c>
      <c r="BM360" s="128">
        <f>P360*1.1</f>
        <v>2800961.9000000004</v>
      </c>
      <c r="BN360" s="129">
        <f>P360*0.9</f>
        <v>2291696.1</v>
      </c>
      <c r="BO360" s="130">
        <f>P360*0.8</f>
        <v>2037063.2000000002</v>
      </c>
      <c r="BP360" s="90">
        <f>IF(Z360="Y",BM360*0.4,BM360*1.05)</f>
        <v>2941009.9950000006</v>
      </c>
      <c r="BQ360" s="90">
        <f>BP360*0.8</f>
        <v>2352807.9960000007</v>
      </c>
      <c r="BR360" s="90" t="str">
        <f>IF(ISNUMBER(SEARCH("subrecipient",AI356)),P360*0.6,"")</f>
        <v/>
      </c>
      <c r="BS360" s="90">
        <v>205482</v>
      </c>
      <c r="BT360" s="90" t="str">
        <f>BJ360</f>
        <v>4D31GT89234-76</v>
      </c>
      <c r="BU360" s="127">
        <f>BK360</f>
        <v>43508</v>
      </c>
      <c r="BV360" s="127">
        <f>BL360</f>
        <v>44239</v>
      </c>
      <c r="BW360" s="90" t="str">
        <f>H360</f>
        <v>FDA</v>
      </c>
      <c r="BX360" s="90" t="str">
        <f>IF(H360="NATIONAL HEMOPHILIA FOUNDATION","Non Federal","Federal")</f>
        <v>Federal</v>
      </c>
      <c r="BY360" s="128">
        <f>BM360</f>
        <v>2800961.9000000004</v>
      </c>
      <c r="BZ360" s="90" t="str">
        <f>IF(LEN(BR360)&gt;0,1,"")</f>
        <v/>
      </c>
      <c r="CA360" s="90" t="str">
        <f>IF(LEN(BR360)&gt;0,"VIRAL HEPATITIS PROJECT","")</f>
        <v/>
      </c>
      <c r="CB360" s="129" t="str">
        <f>IF(LEN(BR360)&gt;0,BM360*0.7,"")</f>
        <v/>
      </c>
      <c r="CC360" s="90">
        <f>BP360</f>
        <v>2941009.9950000006</v>
      </c>
      <c r="CD360" s="90" t="str">
        <f>IF(LEN(BR360)&gt;0,"70%","")</f>
        <v/>
      </c>
      <c r="CE360" s="90">
        <f>BS360</f>
        <v>205482</v>
      </c>
      <c r="CF360" s="90" t="str">
        <f>CA360</f>
        <v/>
      </c>
      <c r="CG360" s="90"/>
      <c r="CH360" s="90"/>
      <c r="CI360" s="90"/>
      <c r="CJ360" s="90"/>
      <c r="CK360" s="90"/>
      <c r="CL360" s="90"/>
      <c r="CM360" s="90"/>
      <c r="CN360" s="90"/>
      <c r="CO360" s="90"/>
      <c r="CP360" s="90"/>
      <c r="CQ360" s="90"/>
      <c r="CR360" s="90"/>
      <c r="CS360" s="90"/>
      <c r="CT360" s="137"/>
    </row>
    <row r="361" spans="1:98" ht="30">
      <c r="A361" s="89">
        <v>205482</v>
      </c>
      <c r="B361" s="90">
        <v>2020</v>
      </c>
      <c r="C361" s="90" t="s">
        <v>81</v>
      </c>
      <c r="D361" s="90" t="s">
        <v>1132</v>
      </c>
      <c r="E361" s="125" t="s">
        <v>784</v>
      </c>
      <c r="F361" s="24" t="s">
        <v>1133</v>
      </c>
      <c r="G361" s="90" t="s">
        <v>85</v>
      </c>
      <c r="H361" s="90" t="s">
        <v>132</v>
      </c>
      <c r="I361" s="90">
        <v>93</v>
      </c>
      <c r="J361" s="90">
        <v>157</v>
      </c>
      <c r="K361" s="90" t="s">
        <v>85</v>
      </c>
      <c r="L361" s="90" t="s">
        <v>1134</v>
      </c>
      <c r="M361" s="90" t="s">
        <v>119</v>
      </c>
      <c r="N361" s="24" t="s">
        <v>254</v>
      </c>
      <c r="O361" s="24" t="str">
        <f>IF(ISNUMBER(SEARCH("Cancer",N361)),"Cancer",IF(ISNUMBER(SEARCH("health",N361)),"Public health",IF(ISNUMBER(SEARCH("disabilities",N361)),"Disabilities","Other")))</f>
        <v>Other</v>
      </c>
      <c r="P361" s="126">
        <v>2546329</v>
      </c>
      <c r="Q361" s="90" t="s">
        <v>85</v>
      </c>
      <c r="R361" s="90" t="str">
        <f>IF(P361&gt;20000000,"B","A")</f>
        <v>A</v>
      </c>
      <c r="S361" s="90" t="s">
        <v>90</v>
      </c>
      <c r="T361" s="90" t="s">
        <v>119</v>
      </c>
      <c r="U361" s="90" t="s">
        <v>119</v>
      </c>
      <c r="V361" s="90" t="s">
        <v>119</v>
      </c>
      <c r="W361" s="90" t="s">
        <v>119</v>
      </c>
      <c r="X361" s="90" t="s">
        <v>119</v>
      </c>
      <c r="Y361" s="90" t="s">
        <v>119</v>
      </c>
      <c r="Z361" s="90" t="s">
        <v>119</v>
      </c>
      <c r="AA361" s="90" t="s">
        <v>119</v>
      </c>
      <c r="AB361" s="90" t="s">
        <v>119</v>
      </c>
      <c r="AC361" s="90" t="s">
        <v>119</v>
      </c>
      <c r="AD361" s="90" t="s">
        <v>119</v>
      </c>
      <c r="AE361" s="24">
        <v>0</v>
      </c>
      <c r="AF361" s="90">
        <v>0</v>
      </c>
      <c r="AG361" s="24">
        <v>0</v>
      </c>
      <c r="AH361" s="90">
        <v>89232</v>
      </c>
      <c r="AI361" s="24" t="s">
        <v>102</v>
      </c>
      <c r="AJ361" s="24" t="s">
        <v>1136</v>
      </c>
      <c r="AK361" s="90" t="s">
        <v>85</v>
      </c>
      <c r="AL361" s="90">
        <v>205482</v>
      </c>
      <c r="AM361" s="90" t="s">
        <v>81</v>
      </c>
      <c r="AN361" s="90" t="s">
        <v>1132</v>
      </c>
      <c r="AO361" s="125" t="s">
        <v>784</v>
      </c>
      <c r="AP361" s="24" t="s">
        <v>254</v>
      </c>
      <c r="AQ361" s="90" t="s">
        <v>1134</v>
      </c>
      <c r="AR361" s="24" t="s">
        <v>254</v>
      </c>
      <c r="AS361" s="90" t="s">
        <v>119</v>
      </c>
      <c r="AT361" s="24" t="s">
        <v>102</v>
      </c>
      <c r="AU361" s="90" t="s">
        <v>119</v>
      </c>
      <c r="AV361" s="90" t="str">
        <f>IF(ISNUMBER(SEARCH("disagree",AE361)),"N","Y")</f>
        <v>Y</v>
      </c>
      <c r="AW361" s="90" t="s">
        <v>119</v>
      </c>
      <c r="AX361" s="24" t="s">
        <v>119</v>
      </c>
      <c r="AY361" s="90" t="str">
        <f>CONCATENATE(AZ361,BA361,BB361,BC361)</f>
        <v/>
      </c>
      <c r="AZ361" s="90" t="str">
        <f>IF(ISNUMBER(SEARCH("Y",AC361)),"R","")</f>
        <v/>
      </c>
      <c r="BA361" s="90" t="str">
        <f>IF(ISNUMBER(SEARCH("Y",Y361)),"M","")</f>
        <v/>
      </c>
      <c r="BB361" s="90" t="str">
        <f>IF(ISNUMBER(SEARCH("Y",AB361)),"QC","")</f>
        <v/>
      </c>
      <c r="BC361" s="90" t="str">
        <f>IF(ISNUMBER(SEARCH("Y",Z361)),"S","")</f>
        <v/>
      </c>
      <c r="BD361" s="90"/>
      <c r="BE361" s="24" t="s">
        <v>119</v>
      </c>
      <c r="BF361" s="125" t="str">
        <f>IF(AND(AW361&gt;=56543,AW361&lt;=76543,LEN(AW361)&gt;0),"3 Feb 2020",IF(AND(AW361&gt;=66544,AW361&lt;=99999,LEN(AW361)&gt;0),"12 Sep 2020",""))</f>
        <v/>
      </c>
      <c r="BG361" s="125" t="str">
        <f>IF((AND(BF361="3 Feb 2020",LEN(BF361)&gt;0)),"Completed",IF((AND(BF361="12 Sep 2020",LEN(BF361)&gt;0)),"Pending",""))</f>
        <v/>
      </c>
      <c r="BH361" s="90" t="str">
        <f>IF((AND(BF361="3 Feb 2020",LEN(BF361)&gt;0)),"3 Feb 2020","")</f>
        <v/>
      </c>
      <c r="BI361" s="90">
        <v>205482</v>
      </c>
      <c r="BJ361" s="90" t="str">
        <f>L361</f>
        <v>4D31GT89234-76</v>
      </c>
      <c r="BK361" s="127">
        <v>43508</v>
      </c>
      <c r="BL361" s="127">
        <v>44239</v>
      </c>
      <c r="BM361" s="128">
        <f>P361*1.1</f>
        <v>2800961.9000000004</v>
      </c>
      <c r="BN361" s="129">
        <f>P361*0.9</f>
        <v>2291696.1</v>
      </c>
      <c r="BO361" s="130">
        <f>P361*0.8</f>
        <v>2037063.2000000002</v>
      </c>
      <c r="BP361" s="90">
        <f>IF(Z361="Y",BM361*0.4,BM361*1.05)</f>
        <v>2941009.9950000006</v>
      </c>
      <c r="BQ361" s="90">
        <f>BP361*0.8</f>
        <v>2352807.9960000007</v>
      </c>
      <c r="BR361" s="90" t="str">
        <f>IF(ISNUMBER(SEARCH("subrecipient",AI357)),P361*0.6,"")</f>
        <v/>
      </c>
      <c r="BS361" s="90">
        <v>205482</v>
      </c>
      <c r="BT361" s="90" t="str">
        <f>BJ361</f>
        <v>4D31GT89234-76</v>
      </c>
      <c r="BU361" s="127">
        <f>BK361</f>
        <v>43508</v>
      </c>
      <c r="BV361" s="127">
        <f>BL361</f>
        <v>44239</v>
      </c>
      <c r="BW361" s="90" t="str">
        <f>H361</f>
        <v>FDA</v>
      </c>
      <c r="BX361" s="90" t="str">
        <f>IF(H361="NATIONAL HEMOPHILIA FOUNDATION","Non Federal","Federal")</f>
        <v>Federal</v>
      </c>
      <c r="BY361" s="128">
        <f>BM361</f>
        <v>2800961.9000000004</v>
      </c>
      <c r="BZ361" s="90" t="str">
        <f>IF(LEN(BR361)&gt;0,1,"")</f>
        <v/>
      </c>
      <c r="CA361" s="90" t="str">
        <f>IF(LEN(BR361)&gt;0,"VIRAL HEPATITIS PROJECT","")</f>
        <v/>
      </c>
      <c r="CB361" s="129" t="str">
        <f>IF(LEN(BR361)&gt;0,BM361*0.7,"")</f>
        <v/>
      </c>
      <c r="CC361" s="90">
        <f>BP361</f>
        <v>2941009.9950000006</v>
      </c>
      <c r="CD361" s="90" t="str">
        <f>IF(LEN(BR361)&gt;0,"70%","")</f>
        <v/>
      </c>
      <c r="CE361" s="90">
        <f>BS361</f>
        <v>205482</v>
      </c>
      <c r="CF361" s="90" t="str">
        <f>CA361</f>
        <v/>
      </c>
      <c r="CG361" s="90"/>
      <c r="CH361" s="90"/>
      <c r="CI361" s="90"/>
      <c r="CJ361" s="90"/>
      <c r="CK361" s="90"/>
      <c r="CL361" s="90"/>
      <c r="CM361" s="90"/>
      <c r="CN361" s="90"/>
      <c r="CO361" s="90"/>
      <c r="CP361" s="90"/>
      <c r="CQ361" s="90"/>
      <c r="CR361" s="90"/>
      <c r="CS361" s="90"/>
      <c r="CT361" s="137"/>
    </row>
    <row r="362" spans="1:98" ht="90">
      <c r="A362" s="89">
        <v>205482</v>
      </c>
      <c r="B362" s="90">
        <v>2020</v>
      </c>
      <c r="C362" s="90" t="s">
        <v>81</v>
      </c>
      <c r="D362" s="90" t="s">
        <v>1132</v>
      </c>
      <c r="E362" s="125" t="s">
        <v>790</v>
      </c>
      <c r="F362" s="24" t="s">
        <v>1133</v>
      </c>
      <c r="G362" s="90" t="s">
        <v>85</v>
      </c>
      <c r="H362" s="90" t="s">
        <v>132</v>
      </c>
      <c r="I362" s="90">
        <v>93</v>
      </c>
      <c r="J362" s="90">
        <v>157</v>
      </c>
      <c r="K362" s="90" t="s">
        <v>85</v>
      </c>
      <c r="L362" s="90" t="s">
        <v>1134</v>
      </c>
      <c r="M362" s="90" t="s">
        <v>119</v>
      </c>
      <c r="N362" s="24" t="s">
        <v>254</v>
      </c>
      <c r="O362" s="24" t="str">
        <f>IF(ISNUMBER(SEARCH("Cancer",N362)),"Cancer",IF(ISNUMBER(SEARCH("health",N362)),"Public health",IF(ISNUMBER(SEARCH("disabilities",N362)),"Disabilities","Other")))</f>
        <v>Other</v>
      </c>
      <c r="P362" s="126">
        <v>2546329</v>
      </c>
      <c r="Q362" s="90" t="s">
        <v>85</v>
      </c>
      <c r="R362" s="90" t="str">
        <f>IF(P362&gt;20000000,"B","A")</f>
        <v>A</v>
      </c>
      <c r="S362" s="90" t="s">
        <v>90</v>
      </c>
      <c r="T362" s="90" t="s">
        <v>119</v>
      </c>
      <c r="U362" s="90" t="s">
        <v>119</v>
      </c>
      <c r="V362" s="90" t="s">
        <v>119</v>
      </c>
      <c r="W362" s="90" t="s">
        <v>119</v>
      </c>
      <c r="X362" s="90" t="s">
        <v>119</v>
      </c>
      <c r="Y362" s="90" t="s">
        <v>119</v>
      </c>
      <c r="Z362" s="90" t="s">
        <v>119</v>
      </c>
      <c r="AA362" s="90" t="s">
        <v>119</v>
      </c>
      <c r="AB362" s="90" t="s">
        <v>119</v>
      </c>
      <c r="AC362" s="90" t="s">
        <v>119</v>
      </c>
      <c r="AD362" s="90" t="s">
        <v>119</v>
      </c>
      <c r="AE362" s="24">
        <v>0</v>
      </c>
      <c r="AF362" s="90">
        <v>0</v>
      </c>
      <c r="AG362" s="24">
        <v>0</v>
      </c>
      <c r="AH362" s="90">
        <v>89233</v>
      </c>
      <c r="AI362" s="24" t="s">
        <v>885</v>
      </c>
      <c r="AJ362" s="24" t="s">
        <v>1137</v>
      </c>
      <c r="AK362" s="90" t="s">
        <v>85</v>
      </c>
      <c r="AL362" s="90">
        <v>205482</v>
      </c>
      <c r="AM362" s="90" t="s">
        <v>81</v>
      </c>
      <c r="AN362" s="90" t="s">
        <v>1132</v>
      </c>
      <c r="AO362" s="125" t="s">
        <v>790</v>
      </c>
      <c r="AP362" s="24" t="s">
        <v>254</v>
      </c>
      <c r="AQ362" s="90" t="s">
        <v>1134</v>
      </c>
      <c r="AR362" s="24" t="s">
        <v>254</v>
      </c>
      <c r="AS362" s="90" t="s">
        <v>119</v>
      </c>
      <c r="AT362" s="24" t="s">
        <v>885</v>
      </c>
      <c r="AU362" s="90" t="s">
        <v>119</v>
      </c>
      <c r="AV362" s="90" t="str">
        <f>IF(ISNUMBER(SEARCH("disagree",AE362)),"N","Y")</f>
        <v>Y</v>
      </c>
      <c r="AW362" s="90" t="s">
        <v>119</v>
      </c>
      <c r="AX362" s="24" t="s">
        <v>119</v>
      </c>
      <c r="AY362" s="90" t="str">
        <f>CONCATENATE(AZ362,BA362,BB362,BC362)</f>
        <v/>
      </c>
      <c r="AZ362" s="90" t="str">
        <f>IF(ISNUMBER(SEARCH("Y",AC362)),"R","")</f>
        <v/>
      </c>
      <c r="BA362" s="90" t="str">
        <f>IF(ISNUMBER(SEARCH("Y",Y362)),"M","")</f>
        <v/>
      </c>
      <c r="BB362" s="90" t="str">
        <f>IF(ISNUMBER(SEARCH("Y",AB362)),"QC","")</f>
        <v/>
      </c>
      <c r="BC362" s="90" t="str">
        <f>IF(ISNUMBER(SEARCH("Y",Z362)),"S","")</f>
        <v/>
      </c>
      <c r="BD362" s="90"/>
      <c r="BE362" s="24" t="s">
        <v>119</v>
      </c>
      <c r="BF362" s="125" t="str">
        <f>IF(AND(AW362&gt;=56543,AW362&lt;=76543,LEN(AW362)&gt;0),"3 Feb 2020",IF(AND(AW362&gt;=66544,AW362&lt;=99999,LEN(AW362)&gt;0),"12 Sep 2020",""))</f>
        <v/>
      </c>
      <c r="BG362" s="125" t="str">
        <f>IF((AND(BF362="3 Feb 2020",LEN(BF362)&gt;0)),"Completed",IF((AND(BF362="12 Sep 2020",LEN(BF362)&gt;0)),"Pending",""))</f>
        <v/>
      </c>
      <c r="BH362" s="90" t="str">
        <f>IF((AND(BF362="3 Feb 2020",LEN(BF362)&gt;0)),"3 Feb 2020","")</f>
        <v/>
      </c>
      <c r="BI362" s="90">
        <v>205482</v>
      </c>
      <c r="BJ362" s="90" t="str">
        <f>L362</f>
        <v>4D31GT89234-76</v>
      </c>
      <c r="BK362" s="127">
        <v>43508</v>
      </c>
      <c r="BL362" s="127">
        <v>44239</v>
      </c>
      <c r="BM362" s="128">
        <f>P362*1.1</f>
        <v>2800961.9000000004</v>
      </c>
      <c r="BN362" s="129">
        <f>P362*0.9</f>
        <v>2291696.1</v>
      </c>
      <c r="BO362" s="130">
        <f>P362*0.8</f>
        <v>2037063.2000000002</v>
      </c>
      <c r="BP362" s="90">
        <f>IF(Z362="Y",BM362*0.4,BM362*1.05)</f>
        <v>2941009.9950000006</v>
      </c>
      <c r="BQ362" s="90">
        <f>BP362*0.8</f>
        <v>2352807.9960000007</v>
      </c>
      <c r="BR362" s="90" t="str">
        <f>IF(ISNUMBER(SEARCH("subrecipient",AI358)),P362*0.6,"")</f>
        <v/>
      </c>
      <c r="BS362" s="90">
        <v>205482</v>
      </c>
      <c r="BT362" s="90" t="str">
        <f>BJ362</f>
        <v>4D31GT89234-76</v>
      </c>
      <c r="BU362" s="127">
        <f>BK362</f>
        <v>43508</v>
      </c>
      <c r="BV362" s="127">
        <f>BL362</f>
        <v>44239</v>
      </c>
      <c r="BW362" s="90" t="str">
        <f>H362</f>
        <v>FDA</v>
      </c>
      <c r="BX362" s="90" t="str">
        <f>IF(H362="NATIONAL HEMOPHILIA FOUNDATION","Non Federal","Federal")</f>
        <v>Federal</v>
      </c>
      <c r="BY362" s="128">
        <f>BM362</f>
        <v>2800961.9000000004</v>
      </c>
      <c r="BZ362" s="90" t="str">
        <f>IF(LEN(BR362)&gt;0,1,"")</f>
        <v/>
      </c>
      <c r="CA362" s="90" t="str">
        <f>IF(LEN(BR362)&gt;0,"VIRAL HEPATITIS PROJECT","")</f>
        <v/>
      </c>
      <c r="CB362" s="129" t="str">
        <f>IF(LEN(BR362)&gt;0,BM362*0.7,"")</f>
        <v/>
      </c>
      <c r="CC362" s="90">
        <f>BP362</f>
        <v>2941009.9950000006</v>
      </c>
      <c r="CD362" s="90" t="str">
        <f>IF(LEN(BR362)&gt;0,"70%","")</f>
        <v/>
      </c>
      <c r="CE362" s="90">
        <f>BS362</f>
        <v>205482</v>
      </c>
      <c r="CF362" s="90" t="str">
        <f>CA362</f>
        <v/>
      </c>
      <c r="CG362" s="90"/>
      <c r="CH362" s="90"/>
      <c r="CI362" s="90"/>
      <c r="CJ362" s="90"/>
      <c r="CK362" s="90"/>
      <c r="CL362" s="90"/>
      <c r="CM362" s="90"/>
      <c r="CN362" s="90"/>
      <c r="CO362" s="90"/>
      <c r="CP362" s="90"/>
      <c r="CQ362" s="90"/>
      <c r="CR362" s="90"/>
      <c r="CS362" s="90"/>
      <c r="CT362" s="137"/>
    </row>
    <row r="363" spans="1:98" ht="180">
      <c r="A363" s="89">
        <v>205633</v>
      </c>
      <c r="B363" s="90">
        <v>2020</v>
      </c>
      <c r="C363" s="90" t="s">
        <v>81</v>
      </c>
      <c r="D363" s="90" t="s">
        <v>1138</v>
      </c>
      <c r="E363" s="125" t="s">
        <v>791</v>
      </c>
      <c r="F363" s="24" t="s">
        <v>1139</v>
      </c>
      <c r="G363" s="90" t="s">
        <v>85</v>
      </c>
      <c r="H363" s="90" t="s">
        <v>150</v>
      </c>
      <c r="I363" s="90">
        <v>93</v>
      </c>
      <c r="J363" s="90">
        <v>157</v>
      </c>
      <c r="K363" s="90" t="s">
        <v>85</v>
      </c>
      <c r="L363" s="90" t="s">
        <v>1140</v>
      </c>
      <c r="M363" s="90" t="s">
        <v>119</v>
      </c>
      <c r="N363" s="24" t="s">
        <v>1141</v>
      </c>
      <c r="O363" s="24" t="str">
        <f>IF(ISNUMBER(SEARCH("Cancer",N363)),"Cancer",IF(ISNUMBER(SEARCH("health",N363)),"Public health",IF(ISNUMBER(SEARCH("disabilities",N363)),"Disabilities","Other")))</f>
        <v>Public health</v>
      </c>
      <c r="P363" s="126">
        <v>2821120</v>
      </c>
      <c r="Q363" s="90" t="s">
        <v>85</v>
      </c>
      <c r="R363" s="90" t="str">
        <f>IF(P363&gt;20000000,"B","A")</f>
        <v>A</v>
      </c>
      <c r="S363" s="90" t="s">
        <v>90</v>
      </c>
      <c r="T363" s="90" t="s">
        <v>119</v>
      </c>
      <c r="U363" s="90" t="s">
        <v>119</v>
      </c>
      <c r="V363" s="90" t="s">
        <v>119</v>
      </c>
      <c r="W363" s="90" t="s">
        <v>119</v>
      </c>
      <c r="X363" s="90" t="s">
        <v>119</v>
      </c>
      <c r="Y363" s="90" t="s">
        <v>119</v>
      </c>
      <c r="Z363" s="90" t="s">
        <v>119</v>
      </c>
      <c r="AA363" s="90" t="s">
        <v>119</v>
      </c>
      <c r="AB363" s="90" t="s">
        <v>119</v>
      </c>
      <c r="AC363" s="90" t="s">
        <v>119</v>
      </c>
      <c r="AD363" s="90" t="s">
        <v>119</v>
      </c>
      <c r="AE363" s="24">
        <v>0</v>
      </c>
      <c r="AF363" s="90">
        <v>0</v>
      </c>
      <c r="AG363" s="24">
        <v>0</v>
      </c>
      <c r="AH363" s="90">
        <v>89912</v>
      </c>
      <c r="AI363" s="24" t="s">
        <v>94</v>
      </c>
      <c r="AJ363" s="24" t="s">
        <v>1142</v>
      </c>
      <c r="AK363" s="90" t="s">
        <v>85</v>
      </c>
      <c r="AL363" s="90">
        <v>205633</v>
      </c>
      <c r="AM363" s="90" t="s">
        <v>81</v>
      </c>
      <c r="AN363" s="90" t="s">
        <v>1138</v>
      </c>
      <c r="AO363" s="125" t="s">
        <v>791</v>
      </c>
      <c r="AP363" s="24" t="s">
        <v>1141</v>
      </c>
      <c r="AQ363" s="90" t="s">
        <v>1140</v>
      </c>
      <c r="AR363" s="24" t="s">
        <v>1141</v>
      </c>
      <c r="AS363" s="90" t="s">
        <v>119</v>
      </c>
      <c r="AT363" s="24" t="s">
        <v>94</v>
      </c>
      <c r="AU363" s="90" t="s">
        <v>119</v>
      </c>
      <c r="AV363" s="90" t="str">
        <f>IF(ISNUMBER(SEARCH("disagree",AE363)),"N","Y")</f>
        <v>Y</v>
      </c>
      <c r="AW363" s="90" t="s">
        <v>119</v>
      </c>
      <c r="AX363" s="24" t="s">
        <v>119</v>
      </c>
      <c r="AY363" s="90" t="str">
        <f>CONCATENATE(AZ363,BA363,BB363,BC363)</f>
        <v/>
      </c>
      <c r="AZ363" s="90" t="str">
        <f>IF(ISNUMBER(SEARCH("Y",AC363)),"R","")</f>
        <v/>
      </c>
      <c r="BA363" s="90" t="str">
        <f>IF(ISNUMBER(SEARCH("Y",Y363)),"M","")</f>
        <v/>
      </c>
      <c r="BB363" s="90" t="str">
        <f>IF(ISNUMBER(SEARCH("Y",AB363)),"QC","")</f>
        <v/>
      </c>
      <c r="BC363" s="90" t="str">
        <f>IF(ISNUMBER(SEARCH("Y",Z363)),"S","")</f>
        <v/>
      </c>
      <c r="BD363" s="90"/>
      <c r="BE363" s="24" t="s">
        <v>119</v>
      </c>
      <c r="BF363" s="125" t="str">
        <f>IF(AND(AW363&gt;=56543,AW363&lt;=76543,LEN(AW363)&gt;0),"3 Feb 2020",IF(AND(AW363&gt;=66544,AW363&lt;=99999,LEN(AW363)&gt;0),"12 Sep 2020",""))</f>
        <v/>
      </c>
      <c r="BG363" s="125" t="str">
        <f>IF((AND(BF363="3 Feb 2020",LEN(BF363)&gt;0)),"Completed",IF((AND(BF363="12 Sep 2020",LEN(BF363)&gt;0)),"Pending",""))</f>
        <v/>
      </c>
      <c r="BH363" s="90" t="str">
        <f>IF((AND(BF363="3 Feb 2020",LEN(BF363)&gt;0)),"3 Feb 2020","")</f>
        <v/>
      </c>
      <c r="BI363" s="90">
        <v>205633</v>
      </c>
      <c r="BJ363" s="90" t="str">
        <f>L363</f>
        <v>2D14DT89912-52</v>
      </c>
      <c r="BK363" s="127">
        <v>43508</v>
      </c>
      <c r="BL363" s="127">
        <v>44239</v>
      </c>
      <c r="BM363" s="128">
        <f>P363*1.1</f>
        <v>3103232.0000000005</v>
      </c>
      <c r="BN363" s="129">
        <f>P363*0.9</f>
        <v>2539008</v>
      </c>
      <c r="BO363" s="130">
        <f>P363*0.8</f>
        <v>2256896</v>
      </c>
      <c r="BP363" s="90">
        <f>IF(Z363="Y",BM363*0.4,BM363*1.05)</f>
        <v>3258393.6000000006</v>
      </c>
      <c r="BQ363" s="90">
        <f>BP363*0.8</f>
        <v>2606714.8800000008</v>
      </c>
      <c r="BR363" s="90" t="str">
        <f>IF(ISNUMBER(SEARCH("subrecipient",AI359)),P363*0.6,"")</f>
        <v/>
      </c>
      <c r="BS363" s="90">
        <v>205633</v>
      </c>
      <c r="BT363" s="90" t="str">
        <f>BJ363</f>
        <v>2D14DT89912-52</v>
      </c>
      <c r="BU363" s="127">
        <f>BK363</f>
        <v>43508</v>
      </c>
      <c r="BV363" s="127">
        <f>BL363</f>
        <v>44239</v>
      </c>
      <c r="BW363" s="90" t="str">
        <f>H363</f>
        <v>ACF</v>
      </c>
      <c r="BX363" s="90" t="str">
        <f>IF(H363="NATIONAL HEMOPHILIA FOUNDATION","Non Federal","Federal")</f>
        <v>Federal</v>
      </c>
      <c r="BY363" s="128">
        <f>BM363</f>
        <v>3103232.0000000005</v>
      </c>
      <c r="BZ363" s="90" t="str">
        <f>IF(LEN(BR363)&gt;0,1,"")</f>
        <v/>
      </c>
      <c r="CA363" s="90" t="str">
        <f>IF(LEN(BR363)&gt;0,"VIRAL HEPATITIS PROJECT","")</f>
        <v/>
      </c>
      <c r="CB363" s="129" t="str">
        <f>IF(LEN(BR363)&gt;0,BM363*0.7,"")</f>
        <v/>
      </c>
      <c r="CC363" s="90">
        <f>BP363</f>
        <v>3258393.6000000006</v>
      </c>
      <c r="CD363" s="90" t="str">
        <f>IF(LEN(BR363)&gt;0,"70%","")</f>
        <v/>
      </c>
      <c r="CE363" s="90">
        <f>BS363</f>
        <v>205633</v>
      </c>
      <c r="CF363" s="90" t="str">
        <f>CA363</f>
        <v/>
      </c>
      <c r="CG363" s="90"/>
      <c r="CH363" s="90"/>
      <c r="CI363" s="90"/>
      <c r="CJ363" s="90"/>
      <c r="CK363" s="90"/>
      <c r="CL363" s="90"/>
      <c r="CM363" s="90"/>
      <c r="CN363" s="90"/>
      <c r="CO363" s="90"/>
      <c r="CP363" s="90"/>
      <c r="CQ363" s="90"/>
      <c r="CR363" s="90"/>
      <c r="CS363" s="90"/>
      <c r="CT363" s="137"/>
    </row>
    <row r="364" spans="1:98" ht="180">
      <c r="A364" s="89">
        <v>205633</v>
      </c>
      <c r="B364" s="90">
        <v>2020</v>
      </c>
      <c r="C364" s="90" t="s">
        <v>81</v>
      </c>
      <c r="D364" s="90" t="s">
        <v>1138</v>
      </c>
      <c r="E364" s="125" t="s">
        <v>793</v>
      </c>
      <c r="F364" s="24" t="s">
        <v>1139</v>
      </c>
      <c r="G364" s="90" t="s">
        <v>85</v>
      </c>
      <c r="H364" s="90" t="s">
        <v>150</v>
      </c>
      <c r="I364" s="90">
        <v>93</v>
      </c>
      <c r="J364" s="90">
        <v>157</v>
      </c>
      <c r="K364" s="90" t="s">
        <v>85</v>
      </c>
      <c r="L364" s="90" t="s">
        <v>1140</v>
      </c>
      <c r="M364" s="90" t="s">
        <v>119</v>
      </c>
      <c r="N364" s="24" t="s">
        <v>1141</v>
      </c>
      <c r="O364" s="24" t="str">
        <f>IF(ISNUMBER(SEARCH("Cancer",N364)),"Cancer",IF(ISNUMBER(SEARCH("health",N364)),"Public health",IF(ISNUMBER(SEARCH("disabilities",N364)),"Disabilities","Other")))</f>
        <v>Public health</v>
      </c>
      <c r="P364" s="126">
        <v>2821120</v>
      </c>
      <c r="Q364" s="90" t="s">
        <v>85</v>
      </c>
      <c r="R364" s="90" t="str">
        <f>IF(P364&gt;20000000,"B","A")</f>
        <v>A</v>
      </c>
      <c r="S364" s="90" t="s">
        <v>90</v>
      </c>
      <c r="T364" s="90" t="s">
        <v>119</v>
      </c>
      <c r="U364" s="90" t="s">
        <v>119</v>
      </c>
      <c r="V364" s="90" t="s">
        <v>119</v>
      </c>
      <c r="W364" s="90" t="s">
        <v>119</v>
      </c>
      <c r="X364" s="90" t="s">
        <v>119</v>
      </c>
      <c r="Y364" s="90" t="s">
        <v>119</v>
      </c>
      <c r="Z364" s="90" t="s">
        <v>119</v>
      </c>
      <c r="AA364" s="90" t="s">
        <v>119</v>
      </c>
      <c r="AB364" s="90" t="s">
        <v>119</v>
      </c>
      <c r="AC364" s="90" t="s">
        <v>119</v>
      </c>
      <c r="AD364" s="90" t="s">
        <v>119</v>
      </c>
      <c r="AE364" s="24">
        <v>0</v>
      </c>
      <c r="AF364" s="90">
        <v>0</v>
      </c>
      <c r="AG364" s="24">
        <v>0</v>
      </c>
      <c r="AH364" s="90">
        <v>89913</v>
      </c>
      <c r="AI364" s="24" t="s">
        <v>102</v>
      </c>
      <c r="AJ364" s="24" t="s">
        <v>103</v>
      </c>
      <c r="AK364" s="90" t="s">
        <v>85</v>
      </c>
      <c r="AL364" s="90">
        <v>205633</v>
      </c>
      <c r="AM364" s="90" t="s">
        <v>81</v>
      </c>
      <c r="AN364" s="90" t="s">
        <v>1138</v>
      </c>
      <c r="AO364" s="125" t="s">
        <v>793</v>
      </c>
      <c r="AP364" s="24" t="s">
        <v>1141</v>
      </c>
      <c r="AQ364" s="90" t="s">
        <v>1140</v>
      </c>
      <c r="AR364" s="24" t="s">
        <v>1141</v>
      </c>
      <c r="AS364" s="90" t="s">
        <v>119</v>
      </c>
      <c r="AT364" s="24" t="s">
        <v>102</v>
      </c>
      <c r="AU364" s="90" t="s">
        <v>119</v>
      </c>
      <c r="AV364" s="90" t="str">
        <f>IF(ISNUMBER(SEARCH("disagree",AE364)),"N","Y")</f>
        <v>Y</v>
      </c>
      <c r="AW364" s="90" t="s">
        <v>119</v>
      </c>
      <c r="AX364" s="24" t="s">
        <v>119</v>
      </c>
      <c r="AY364" s="90" t="str">
        <f>CONCATENATE(AZ364,BA364,BB364,BC364)</f>
        <v/>
      </c>
      <c r="AZ364" s="90" t="str">
        <f>IF(ISNUMBER(SEARCH("Y",AC364)),"R","")</f>
        <v/>
      </c>
      <c r="BA364" s="90" t="str">
        <f>IF(ISNUMBER(SEARCH("Y",Y364)),"M","")</f>
        <v/>
      </c>
      <c r="BB364" s="90" t="str">
        <f>IF(ISNUMBER(SEARCH("Y",AB364)),"QC","")</f>
        <v/>
      </c>
      <c r="BC364" s="90" t="str">
        <f>IF(ISNUMBER(SEARCH("Y",Z364)),"S","")</f>
        <v/>
      </c>
      <c r="BD364" s="90"/>
      <c r="BE364" s="24" t="s">
        <v>119</v>
      </c>
      <c r="BF364" s="125" t="str">
        <f>IF(AND(AW364&gt;=56543,AW364&lt;=76543,LEN(AW364)&gt;0),"3 Feb 2020",IF(AND(AW364&gt;=66544,AW364&lt;=99999,LEN(AW364)&gt;0),"12 Sep 2020",""))</f>
        <v/>
      </c>
      <c r="BG364" s="125" t="str">
        <f>IF((AND(BF364="3 Feb 2020",LEN(BF364)&gt;0)),"Completed",IF((AND(BF364="12 Sep 2020",LEN(BF364)&gt;0)),"Pending",""))</f>
        <v/>
      </c>
      <c r="BH364" s="90" t="str">
        <f>IF((AND(BF364="3 Feb 2020",LEN(BF364)&gt;0)),"3 Feb 2020","")</f>
        <v/>
      </c>
      <c r="BI364" s="90">
        <v>205633</v>
      </c>
      <c r="BJ364" s="90" t="str">
        <f>L364</f>
        <v>2D14DT89912-52</v>
      </c>
      <c r="BK364" s="127">
        <v>43508</v>
      </c>
      <c r="BL364" s="127">
        <v>44239</v>
      </c>
      <c r="BM364" s="128">
        <f>P364*1.1</f>
        <v>3103232.0000000005</v>
      </c>
      <c r="BN364" s="129">
        <f>P364*0.9</f>
        <v>2539008</v>
      </c>
      <c r="BO364" s="130">
        <f>P364*0.8</f>
        <v>2256896</v>
      </c>
      <c r="BP364" s="90">
        <f>IF(Z364="Y",BM364*0.4,BM364*1.05)</f>
        <v>3258393.6000000006</v>
      </c>
      <c r="BQ364" s="90">
        <f>BP364*0.8</f>
        <v>2606714.8800000008</v>
      </c>
      <c r="BR364" s="90" t="str">
        <f>IF(ISNUMBER(SEARCH("subrecipient",AI360)),P364*0.6,"")</f>
        <v/>
      </c>
      <c r="BS364" s="90">
        <v>205633</v>
      </c>
      <c r="BT364" s="90" t="str">
        <f>BJ364</f>
        <v>2D14DT89912-52</v>
      </c>
      <c r="BU364" s="127">
        <f>BK364</f>
        <v>43508</v>
      </c>
      <c r="BV364" s="127">
        <f>BL364</f>
        <v>44239</v>
      </c>
      <c r="BW364" s="90" t="str">
        <f>H364</f>
        <v>ACF</v>
      </c>
      <c r="BX364" s="90" t="str">
        <f>IF(H364="NATIONAL HEMOPHILIA FOUNDATION","Non Federal","Federal")</f>
        <v>Federal</v>
      </c>
      <c r="BY364" s="128">
        <f>BM364</f>
        <v>3103232.0000000005</v>
      </c>
      <c r="BZ364" s="90" t="str">
        <f>IF(LEN(BR364)&gt;0,1,"")</f>
        <v/>
      </c>
      <c r="CA364" s="90" t="str">
        <f>IF(LEN(BR364)&gt;0,"VIRAL HEPATITIS PROJECT","")</f>
        <v/>
      </c>
      <c r="CB364" s="129" t="str">
        <f>IF(LEN(BR364)&gt;0,BM364*0.7,"")</f>
        <v/>
      </c>
      <c r="CC364" s="90">
        <f>BP364</f>
        <v>3258393.6000000006</v>
      </c>
      <c r="CD364" s="90" t="str">
        <f>IF(LEN(BR364)&gt;0,"70%","")</f>
        <v/>
      </c>
      <c r="CE364" s="90">
        <f>BS364</f>
        <v>205633</v>
      </c>
      <c r="CF364" s="90" t="str">
        <f>CA364</f>
        <v/>
      </c>
      <c r="CG364" s="90"/>
      <c r="CH364" s="90"/>
      <c r="CI364" s="90"/>
      <c r="CJ364" s="90"/>
      <c r="CK364" s="90"/>
      <c r="CL364" s="90"/>
      <c r="CM364" s="90"/>
      <c r="CN364" s="90"/>
      <c r="CO364" s="90"/>
      <c r="CP364" s="90"/>
      <c r="CQ364" s="90"/>
      <c r="CR364" s="90"/>
      <c r="CS364" s="90"/>
      <c r="CT364" s="137"/>
    </row>
    <row r="365" spans="1:98" ht="180">
      <c r="A365" s="89">
        <v>205633</v>
      </c>
      <c r="B365" s="90">
        <v>2020</v>
      </c>
      <c r="C365" s="90" t="s">
        <v>81</v>
      </c>
      <c r="D365" s="90" t="s">
        <v>1138</v>
      </c>
      <c r="E365" s="125" t="s">
        <v>780</v>
      </c>
      <c r="F365" s="24" t="s">
        <v>1139</v>
      </c>
      <c r="G365" s="90" t="s">
        <v>85</v>
      </c>
      <c r="H365" s="90" t="s">
        <v>150</v>
      </c>
      <c r="I365" s="90">
        <v>93</v>
      </c>
      <c r="J365" s="90">
        <v>157</v>
      </c>
      <c r="K365" s="90" t="s">
        <v>85</v>
      </c>
      <c r="L365" s="90" t="s">
        <v>1140</v>
      </c>
      <c r="M365" s="90" t="s">
        <v>119</v>
      </c>
      <c r="N365" s="24" t="s">
        <v>1141</v>
      </c>
      <c r="O365" s="24" t="str">
        <f>IF(ISNUMBER(SEARCH("Cancer",N365)),"Cancer",IF(ISNUMBER(SEARCH("health",N365)),"Public health",IF(ISNUMBER(SEARCH("disabilities",N365)),"Disabilities","Other")))</f>
        <v>Public health</v>
      </c>
      <c r="P365" s="126">
        <v>2821120</v>
      </c>
      <c r="Q365" s="90" t="s">
        <v>85</v>
      </c>
      <c r="R365" s="90" t="str">
        <f>IF(P365&gt;20000000,"B","A")</f>
        <v>A</v>
      </c>
      <c r="S365" s="90" t="s">
        <v>90</v>
      </c>
      <c r="T365" s="90" t="s">
        <v>119</v>
      </c>
      <c r="U365" s="90" t="s">
        <v>119</v>
      </c>
      <c r="V365" s="90" t="s">
        <v>119</v>
      </c>
      <c r="W365" s="90" t="s">
        <v>119</v>
      </c>
      <c r="X365" s="90" t="s">
        <v>119</v>
      </c>
      <c r="Y365" s="90" t="s">
        <v>119</v>
      </c>
      <c r="Z365" s="90" t="s">
        <v>119</v>
      </c>
      <c r="AA365" s="90" t="s">
        <v>119</v>
      </c>
      <c r="AB365" s="90" t="s">
        <v>119</v>
      </c>
      <c r="AC365" s="90" t="s">
        <v>119</v>
      </c>
      <c r="AD365" s="90" t="s">
        <v>119</v>
      </c>
      <c r="AE365" s="24">
        <v>0</v>
      </c>
      <c r="AF365" s="90">
        <v>0</v>
      </c>
      <c r="AG365" s="24">
        <v>0</v>
      </c>
      <c r="AH365" s="90">
        <v>89914</v>
      </c>
      <c r="AI365" s="24" t="s">
        <v>110</v>
      </c>
      <c r="AJ365" s="24" t="s">
        <v>1143</v>
      </c>
      <c r="AK365" s="90" t="s">
        <v>85</v>
      </c>
      <c r="AL365" s="90">
        <v>205633</v>
      </c>
      <c r="AM365" s="90" t="s">
        <v>81</v>
      </c>
      <c r="AN365" s="90" t="s">
        <v>1138</v>
      </c>
      <c r="AO365" s="125" t="s">
        <v>780</v>
      </c>
      <c r="AP365" s="24" t="s">
        <v>1141</v>
      </c>
      <c r="AQ365" s="90" t="s">
        <v>1140</v>
      </c>
      <c r="AR365" s="24" t="s">
        <v>1141</v>
      </c>
      <c r="AS365" s="90" t="s">
        <v>119</v>
      </c>
      <c r="AT365" s="24" t="s">
        <v>110</v>
      </c>
      <c r="AU365" s="90" t="s">
        <v>119</v>
      </c>
      <c r="AV365" s="90" t="str">
        <f>IF(ISNUMBER(SEARCH("disagree",AE365)),"N","Y")</f>
        <v>Y</v>
      </c>
      <c r="AW365" s="90" t="s">
        <v>119</v>
      </c>
      <c r="AX365" s="24" t="s">
        <v>119</v>
      </c>
      <c r="AY365" s="90" t="str">
        <f>CONCATENATE(AZ365,BA365,BB365,BC365)</f>
        <v/>
      </c>
      <c r="AZ365" s="90" t="str">
        <f>IF(ISNUMBER(SEARCH("Y",AC365)),"R","")</f>
        <v/>
      </c>
      <c r="BA365" s="90" t="str">
        <f>IF(ISNUMBER(SEARCH("Y",Y365)),"M","")</f>
        <v/>
      </c>
      <c r="BB365" s="90" t="str">
        <f>IF(ISNUMBER(SEARCH("Y",AB365)),"QC","")</f>
        <v/>
      </c>
      <c r="BC365" s="90" t="str">
        <f>IF(ISNUMBER(SEARCH("Y",Z365)),"S","")</f>
        <v/>
      </c>
      <c r="BD365" s="90"/>
      <c r="BE365" s="24" t="s">
        <v>119</v>
      </c>
      <c r="BF365" s="125" t="str">
        <f>IF(AND(AW365&gt;=56543,AW365&lt;=76543,LEN(AW365)&gt;0),"3 Feb 2020",IF(AND(AW365&gt;=66544,AW365&lt;=99999,LEN(AW365)&gt;0),"12 Sep 2020",""))</f>
        <v/>
      </c>
      <c r="BG365" s="125" t="str">
        <f>IF((AND(BF365="3 Feb 2020",LEN(BF365)&gt;0)),"Completed",IF((AND(BF365="12 Sep 2020",LEN(BF365)&gt;0)),"Pending",""))</f>
        <v/>
      </c>
      <c r="BH365" s="90" t="str">
        <f>IF((AND(BF365="3 Feb 2020",LEN(BF365)&gt;0)),"3 Feb 2020","")</f>
        <v/>
      </c>
      <c r="BI365" s="90">
        <v>205633</v>
      </c>
      <c r="BJ365" s="90" t="str">
        <f>L365</f>
        <v>2D14DT89912-52</v>
      </c>
      <c r="BK365" s="127">
        <v>43508</v>
      </c>
      <c r="BL365" s="127">
        <v>44239</v>
      </c>
      <c r="BM365" s="128">
        <f>P365*1.1</f>
        <v>3103232.0000000005</v>
      </c>
      <c r="BN365" s="129">
        <f>P365*0.9</f>
        <v>2539008</v>
      </c>
      <c r="BO365" s="130">
        <f>P365*0.8</f>
        <v>2256896</v>
      </c>
      <c r="BP365" s="90">
        <f>IF(Z365="Y",BM365*0.4,BM365*1.05)</f>
        <v>3258393.6000000006</v>
      </c>
      <c r="BQ365" s="90">
        <f>BP365*0.8</f>
        <v>2606714.8800000008</v>
      </c>
      <c r="BR365" s="90" t="str">
        <f>IF(ISNUMBER(SEARCH("subrecipient",AI361)),P365*0.6,"")</f>
        <v/>
      </c>
      <c r="BS365" s="90">
        <v>205633</v>
      </c>
      <c r="BT365" s="90" t="str">
        <f>BJ365</f>
        <v>2D14DT89912-52</v>
      </c>
      <c r="BU365" s="127">
        <f>BK365</f>
        <v>43508</v>
      </c>
      <c r="BV365" s="127">
        <f>BL365</f>
        <v>44239</v>
      </c>
      <c r="BW365" s="90" t="str">
        <f>H365</f>
        <v>ACF</v>
      </c>
      <c r="BX365" s="90" t="str">
        <f>IF(H365="NATIONAL HEMOPHILIA FOUNDATION","Non Federal","Federal")</f>
        <v>Federal</v>
      </c>
      <c r="BY365" s="128">
        <f>BM365</f>
        <v>3103232.0000000005</v>
      </c>
      <c r="BZ365" s="90" t="str">
        <f>IF(LEN(BR365)&gt;0,1,"")</f>
        <v/>
      </c>
      <c r="CA365" s="90" t="str">
        <f>IF(LEN(BR365)&gt;0,"VIRAL HEPATITIS PROJECT","")</f>
        <v/>
      </c>
      <c r="CB365" s="129" t="str">
        <f>IF(LEN(BR365)&gt;0,BM365*0.7,"")</f>
        <v/>
      </c>
      <c r="CC365" s="90">
        <f>BP365</f>
        <v>3258393.6000000006</v>
      </c>
      <c r="CD365" s="90" t="str">
        <f>IF(LEN(BR365)&gt;0,"70%","")</f>
        <v/>
      </c>
      <c r="CE365" s="90">
        <f>BS365</f>
        <v>205633</v>
      </c>
      <c r="CF365" s="90" t="str">
        <f>CA365</f>
        <v/>
      </c>
      <c r="CG365" s="90"/>
      <c r="CH365" s="90"/>
      <c r="CI365" s="90"/>
      <c r="CJ365" s="90"/>
      <c r="CK365" s="90"/>
      <c r="CL365" s="90"/>
      <c r="CM365" s="90"/>
      <c r="CN365" s="90"/>
      <c r="CO365" s="90"/>
      <c r="CP365" s="90"/>
      <c r="CQ365" s="90"/>
      <c r="CR365" s="90"/>
      <c r="CS365" s="90"/>
      <c r="CT365" s="137"/>
    </row>
    <row r="366" spans="1:98" ht="135">
      <c r="A366" s="89">
        <v>208713</v>
      </c>
      <c r="B366" s="90">
        <v>2020</v>
      </c>
      <c r="C366" s="90" t="s">
        <v>81</v>
      </c>
      <c r="D366" s="90" t="s">
        <v>1144</v>
      </c>
      <c r="E366" s="125" t="s">
        <v>781</v>
      </c>
      <c r="F366" s="24" t="s">
        <v>1145</v>
      </c>
      <c r="G366" s="90" t="s">
        <v>85</v>
      </c>
      <c r="H366" s="90" t="s">
        <v>86</v>
      </c>
      <c r="I366" s="90">
        <v>93</v>
      </c>
      <c r="J366" s="90">
        <v>157</v>
      </c>
      <c r="K366" s="90" t="s">
        <v>85</v>
      </c>
      <c r="L366" s="90" t="s">
        <v>1146</v>
      </c>
      <c r="M366" s="90" t="s">
        <v>119</v>
      </c>
      <c r="N366" s="24" t="s">
        <v>243</v>
      </c>
      <c r="O366" s="24" t="str">
        <f>IF(ISNUMBER(SEARCH("Cancer",N366)),"Cancer",IF(ISNUMBER(SEARCH("health",N366)),"Public health",IF(ISNUMBER(SEARCH("disabilities",N366)),"Disabilities","Other")))</f>
        <v>Other</v>
      </c>
      <c r="P366" s="126">
        <v>2194667</v>
      </c>
      <c r="Q366" s="90" t="s">
        <v>85</v>
      </c>
      <c r="R366" s="90" t="str">
        <f>IF(P366&gt;20000000,"B","A")</f>
        <v>A</v>
      </c>
      <c r="S366" s="90" t="s">
        <v>90</v>
      </c>
      <c r="T366" s="90" t="s">
        <v>119</v>
      </c>
      <c r="U366" s="90" t="s">
        <v>119</v>
      </c>
      <c r="V366" s="90" t="s">
        <v>119</v>
      </c>
      <c r="W366" s="90" t="s">
        <v>119</v>
      </c>
      <c r="X366" s="90" t="s">
        <v>119</v>
      </c>
      <c r="Y366" s="90" t="s">
        <v>119</v>
      </c>
      <c r="Z366" s="90" t="s">
        <v>119</v>
      </c>
      <c r="AA366" s="90" t="s">
        <v>119</v>
      </c>
      <c r="AB366" s="90" t="s">
        <v>119</v>
      </c>
      <c r="AC366" s="90" t="s">
        <v>119</v>
      </c>
      <c r="AD366" s="90" t="s">
        <v>119</v>
      </c>
      <c r="AE366" s="24">
        <v>0</v>
      </c>
      <c r="AF366" s="90">
        <v>0</v>
      </c>
      <c r="AG366" s="24">
        <v>0</v>
      </c>
      <c r="AH366" s="90">
        <v>90677</v>
      </c>
      <c r="AI366" s="24" t="s">
        <v>94</v>
      </c>
      <c r="AJ366" s="24" t="s">
        <v>1147</v>
      </c>
      <c r="AK366" s="90" t="s">
        <v>85</v>
      </c>
      <c r="AL366" s="90">
        <v>208713</v>
      </c>
      <c r="AM366" s="90" t="s">
        <v>81</v>
      </c>
      <c r="AN366" s="90" t="s">
        <v>1144</v>
      </c>
      <c r="AO366" s="125" t="s">
        <v>781</v>
      </c>
      <c r="AP366" s="24" t="s">
        <v>243</v>
      </c>
      <c r="AQ366" s="90" t="s">
        <v>1146</v>
      </c>
      <c r="AR366" s="24" t="s">
        <v>243</v>
      </c>
      <c r="AS366" s="90" t="s">
        <v>119</v>
      </c>
      <c r="AT366" s="24" t="s">
        <v>94</v>
      </c>
      <c r="AU366" s="90" t="s">
        <v>119</v>
      </c>
      <c r="AV366" s="90" t="str">
        <f>IF(ISNUMBER(SEARCH("disagree",AE366)),"N","Y")</f>
        <v>Y</v>
      </c>
      <c r="AW366" s="90" t="s">
        <v>119</v>
      </c>
      <c r="AX366" s="24" t="s">
        <v>119</v>
      </c>
      <c r="AY366" s="90" t="str">
        <f>CONCATENATE(AZ366,BA366,BB366,BC366)</f>
        <v/>
      </c>
      <c r="AZ366" s="90" t="str">
        <f>IF(ISNUMBER(SEARCH("Y",AC366)),"R","")</f>
        <v/>
      </c>
      <c r="BA366" s="90" t="str">
        <f>IF(ISNUMBER(SEARCH("Y",Y366)),"M","")</f>
        <v/>
      </c>
      <c r="BB366" s="90" t="str">
        <f>IF(ISNUMBER(SEARCH("Y",AB366)),"QC","")</f>
        <v/>
      </c>
      <c r="BC366" s="90" t="str">
        <f>IF(ISNUMBER(SEARCH("Y",Z366)),"S","")</f>
        <v/>
      </c>
      <c r="BD366" s="90"/>
      <c r="BE366" s="24" t="s">
        <v>119</v>
      </c>
      <c r="BF366" s="125" t="str">
        <f>IF(AND(AW366&gt;=56543,AW366&lt;=76543,LEN(AW366)&gt;0),"3 Feb 2020",IF(AND(AW366&gt;=66544,AW366&lt;=99999,LEN(AW366)&gt;0),"12 Sep 2020",""))</f>
        <v/>
      </c>
      <c r="BG366" s="125" t="str">
        <f>IF((AND(BF366="3 Feb 2020",LEN(BF366)&gt;0)),"Completed",IF((AND(BF366="12 Sep 2020",LEN(BF366)&gt;0)),"Pending",""))</f>
        <v/>
      </c>
      <c r="BH366" s="90" t="str">
        <f>IF((AND(BF366="3 Feb 2020",LEN(BF366)&gt;0)),"3 Feb 2020","")</f>
        <v/>
      </c>
      <c r="BI366" s="90">
        <v>208713</v>
      </c>
      <c r="BJ366" s="90" t="str">
        <f>L366</f>
        <v>7C29GS89914-42</v>
      </c>
      <c r="BK366" s="127">
        <v>43508</v>
      </c>
      <c r="BL366" s="127">
        <v>44239</v>
      </c>
      <c r="BM366" s="128">
        <f>P366*1.1</f>
        <v>2414133.7000000002</v>
      </c>
      <c r="BN366" s="129">
        <f>P366*0.9</f>
        <v>1975200.3</v>
      </c>
      <c r="BO366" s="130">
        <f>P366*0.8</f>
        <v>1755733.6</v>
      </c>
      <c r="BP366" s="90">
        <f>IF(Z366="Y",BM366*0.4,BM366*1.05)</f>
        <v>2534840.3850000002</v>
      </c>
      <c r="BQ366" s="90">
        <f>BP366*0.8</f>
        <v>2027872.3080000002</v>
      </c>
      <c r="BR366" s="90" t="str">
        <f>IF(ISNUMBER(SEARCH("subrecipient",AI362)),P366*0.6,"")</f>
        <v/>
      </c>
      <c r="BS366" s="90">
        <v>208713</v>
      </c>
      <c r="BT366" s="90" t="str">
        <f>BJ366</f>
        <v>7C29GS89914-42</v>
      </c>
      <c r="BU366" s="127">
        <f>BK366</f>
        <v>43508</v>
      </c>
      <c r="BV366" s="127">
        <f>BL366</f>
        <v>44239</v>
      </c>
      <c r="BW366" s="90" t="str">
        <f>H366</f>
        <v>CDC</v>
      </c>
      <c r="BX366" s="90" t="str">
        <f>IF(H366="NATIONAL HEMOPHILIA FOUNDATION","Non Federal","Federal")</f>
        <v>Federal</v>
      </c>
      <c r="BY366" s="128">
        <f>BM366</f>
        <v>2414133.7000000002</v>
      </c>
      <c r="BZ366" s="90" t="str">
        <f>IF(LEN(BR366)&gt;0,1,"")</f>
        <v/>
      </c>
      <c r="CA366" s="90" t="str">
        <f>IF(LEN(BR366)&gt;0,"VIRAL HEPATITIS PROJECT","")</f>
        <v/>
      </c>
      <c r="CB366" s="129" t="str">
        <f>IF(LEN(BR366)&gt;0,BM366*0.7,"")</f>
        <v/>
      </c>
      <c r="CC366" s="90">
        <f>BP366</f>
        <v>2534840.3850000002</v>
      </c>
      <c r="CD366" s="90" t="str">
        <f>IF(LEN(BR366)&gt;0,"70%","")</f>
        <v/>
      </c>
      <c r="CE366" s="90">
        <f>BS366</f>
        <v>208713</v>
      </c>
      <c r="CF366" s="90" t="str">
        <f>CA366</f>
        <v/>
      </c>
      <c r="CG366" s="90"/>
      <c r="CH366" s="90"/>
      <c r="CI366" s="90"/>
      <c r="CJ366" s="90"/>
      <c r="CK366" s="90"/>
      <c r="CL366" s="90"/>
      <c r="CM366" s="90"/>
      <c r="CN366" s="90"/>
      <c r="CO366" s="90"/>
      <c r="CP366" s="90"/>
      <c r="CQ366" s="90"/>
      <c r="CR366" s="90"/>
      <c r="CS366" s="90"/>
      <c r="CT366" s="137"/>
    </row>
    <row r="367" spans="1:98" ht="90">
      <c r="A367" s="89">
        <v>208713</v>
      </c>
      <c r="B367" s="90">
        <v>2020</v>
      </c>
      <c r="C367" s="90" t="s">
        <v>81</v>
      </c>
      <c r="D367" s="90" t="s">
        <v>1144</v>
      </c>
      <c r="E367" s="125" t="s">
        <v>784</v>
      </c>
      <c r="F367" s="24" t="s">
        <v>1145</v>
      </c>
      <c r="G367" s="90" t="s">
        <v>85</v>
      </c>
      <c r="H367" s="90" t="s">
        <v>86</v>
      </c>
      <c r="I367" s="90">
        <v>93</v>
      </c>
      <c r="J367" s="90">
        <v>157</v>
      </c>
      <c r="K367" s="90" t="s">
        <v>85</v>
      </c>
      <c r="L367" s="90" t="s">
        <v>1146</v>
      </c>
      <c r="M367" s="90" t="s">
        <v>119</v>
      </c>
      <c r="N367" s="24" t="s">
        <v>243</v>
      </c>
      <c r="O367" s="24" t="str">
        <f>IF(ISNUMBER(SEARCH("Cancer",N367)),"Cancer",IF(ISNUMBER(SEARCH("health",N367)),"Public health",IF(ISNUMBER(SEARCH("disabilities",N367)),"Disabilities","Other")))</f>
        <v>Other</v>
      </c>
      <c r="P367" s="126">
        <v>2194667</v>
      </c>
      <c r="Q367" s="90" t="s">
        <v>85</v>
      </c>
      <c r="R367" s="90" t="str">
        <f>IF(P367&gt;20000000,"B","A")</f>
        <v>A</v>
      </c>
      <c r="S367" s="90" t="s">
        <v>90</v>
      </c>
      <c r="T367" s="90" t="s">
        <v>119</v>
      </c>
      <c r="U367" s="90" t="s">
        <v>119</v>
      </c>
      <c r="V367" s="90" t="s">
        <v>119</v>
      </c>
      <c r="W367" s="90" t="s">
        <v>119</v>
      </c>
      <c r="X367" s="90" t="s">
        <v>119</v>
      </c>
      <c r="Y367" s="90" t="s">
        <v>119</v>
      </c>
      <c r="Z367" s="90" t="s">
        <v>119</v>
      </c>
      <c r="AA367" s="90" t="s">
        <v>119</v>
      </c>
      <c r="AB367" s="90" t="s">
        <v>119</v>
      </c>
      <c r="AC367" s="90" t="s">
        <v>119</v>
      </c>
      <c r="AD367" s="90" t="s">
        <v>119</v>
      </c>
      <c r="AE367" s="24">
        <v>0</v>
      </c>
      <c r="AF367" s="90">
        <v>0</v>
      </c>
      <c r="AG367" s="24">
        <v>0</v>
      </c>
      <c r="AH367" s="90">
        <v>90678</v>
      </c>
      <c r="AI367" s="24" t="s">
        <v>102</v>
      </c>
      <c r="AJ367" s="24" t="s">
        <v>103</v>
      </c>
      <c r="AK367" s="90" t="s">
        <v>85</v>
      </c>
      <c r="AL367" s="90">
        <v>208713</v>
      </c>
      <c r="AM367" s="90" t="s">
        <v>81</v>
      </c>
      <c r="AN367" s="90" t="s">
        <v>1144</v>
      </c>
      <c r="AO367" s="125" t="s">
        <v>784</v>
      </c>
      <c r="AP367" s="24" t="s">
        <v>243</v>
      </c>
      <c r="AQ367" s="90" t="s">
        <v>1146</v>
      </c>
      <c r="AR367" s="24" t="s">
        <v>243</v>
      </c>
      <c r="AS367" s="90" t="s">
        <v>119</v>
      </c>
      <c r="AT367" s="24" t="s">
        <v>102</v>
      </c>
      <c r="AU367" s="90" t="s">
        <v>119</v>
      </c>
      <c r="AV367" s="90" t="str">
        <f>IF(ISNUMBER(SEARCH("disagree",AE367)),"N","Y")</f>
        <v>Y</v>
      </c>
      <c r="AW367" s="90" t="s">
        <v>119</v>
      </c>
      <c r="AX367" s="24" t="s">
        <v>119</v>
      </c>
      <c r="AY367" s="90" t="str">
        <f>CONCATENATE(AZ367,BA367,BB367,BC367)</f>
        <v/>
      </c>
      <c r="AZ367" s="90" t="str">
        <f>IF(ISNUMBER(SEARCH("Y",AC367)),"R","")</f>
        <v/>
      </c>
      <c r="BA367" s="90" t="str">
        <f>IF(ISNUMBER(SEARCH("Y",Y367)),"M","")</f>
        <v/>
      </c>
      <c r="BB367" s="90" t="str">
        <f>IF(ISNUMBER(SEARCH("Y",AB367)),"QC","")</f>
        <v/>
      </c>
      <c r="BC367" s="90" t="str">
        <f>IF(ISNUMBER(SEARCH("Y",Z367)),"S","")</f>
        <v/>
      </c>
      <c r="BD367" s="90"/>
      <c r="BE367" s="24" t="s">
        <v>119</v>
      </c>
      <c r="BF367" s="125" t="str">
        <f>IF(AND(AW367&gt;=56543,AW367&lt;=76543,LEN(AW367)&gt;0),"3 Feb 2020",IF(AND(AW367&gt;=66544,AW367&lt;=99999,LEN(AW367)&gt;0),"12 Sep 2020",""))</f>
        <v/>
      </c>
      <c r="BG367" s="125" t="str">
        <f>IF((AND(BF367="3 Feb 2020",LEN(BF367)&gt;0)),"Completed",IF((AND(BF367="12 Sep 2020",LEN(BF367)&gt;0)),"Pending",""))</f>
        <v/>
      </c>
      <c r="BH367" s="90" t="str">
        <f>IF((AND(BF367="3 Feb 2020",LEN(BF367)&gt;0)),"3 Feb 2020","")</f>
        <v/>
      </c>
      <c r="BI367" s="90">
        <v>208713</v>
      </c>
      <c r="BJ367" s="90" t="str">
        <f>L367</f>
        <v>7C29GS89914-42</v>
      </c>
      <c r="BK367" s="127">
        <v>43508</v>
      </c>
      <c r="BL367" s="127">
        <v>44239</v>
      </c>
      <c r="BM367" s="128">
        <f>P367*1.1</f>
        <v>2414133.7000000002</v>
      </c>
      <c r="BN367" s="129">
        <f>P367*0.9</f>
        <v>1975200.3</v>
      </c>
      <c r="BO367" s="130">
        <f>P367*0.8</f>
        <v>1755733.6</v>
      </c>
      <c r="BP367" s="90">
        <f>IF(Z367="Y",BM367*0.4,BM367*1.05)</f>
        <v>2534840.3850000002</v>
      </c>
      <c r="BQ367" s="90">
        <f>BP367*0.8</f>
        <v>2027872.3080000002</v>
      </c>
      <c r="BR367" s="90" t="str">
        <f>IF(ISNUMBER(SEARCH("subrecipient",AI363)),P367*0.6,"")</f>
        <v/>
      </c>
      <c r="BS367" s="90">
        <v>208713</v>
      </c>
      <c r="BT367" s="90" t="str">
        <f>BJ367</f>
        <v>7C29GS89914-42</v>
      </c>
      <c r="BU367" s="127">
        <f>BK367</f>
        <v>43508</v>
      </c>
      <c r="BV367" s="127">
        <f>BL367</f>
        <v>44239</v>
      </c>
      <c r="BW367" s="90" t="str">
        <f>H367</f>
        <v>CDC</v>
      </c>
      <c r="BX367" s="90" t="str">
        <f>IF(H367="NATIONAL HEMOPHILIA FOUNDATION","Non Federal","Federal")</f>
        <v>Federal</v>
      </c>
      <c r="BY367" s="128">
        <f>BM367</f>
        <v>2414133.7000000002</v>
      </c>
      <c r="BZ367" s="90" t="str">
        <f>IF(LEN(BR367)&gt;0,1,"")</f>
        <v/>
      </c>
      <c r="CA367" s="90" t="str">
        <f>IF(LEN(BR367)&gt;0,"VIRAL HEPATITIS PROJECT","")</f>
        <v/>
      </c>
      <c r="CB367" s="129" t="str">
        <f>IF(LEN(BR367)&gt;0,BM367*0.7,"")</f>
        <v/>
      </c>
      <c r="CC367" s="90">
        <f>BP367</f>
        <v>2534840.3850000002</v>
      </c>
      <c r="CD367" s="90" t="str">
        <f>IF(LEN(BR367)&gt;0,"70%","")</f>
        <v/>
      </c>
      <c r="CE367" s="90">
        <f>BS367</f>
        <v>208713</v>
      </c>
      <c r="CF367" s="90" t="str">
        <f>CA367</f>
        <v/>
      </c>
      <c r="CG367" s="90"/>
      <c r="CH367" s="90"/>
      <c r="CI367" s="90"/>
      <c r="CJ367" s="90"/>
      <c r="CK367" s="90"/>
      <c r="CL367" s="90"/>
      <c r="CM367" s="90"/>
      <c r="CN367" s="90"/>
      <c r="CO367" s="90"/>
      <c r="CP367" s="90"/>
      <c r="CQ367" s="90"/>
      <c r="CR367" s="90"/>
      <c r="CS367" s="90"/>
      <c r="CT367" s="137"/>
    </row>
    <row r="368" spans="1:98" ht="90">
      <c r="A368" s="89">
        <v>208713</v>
      </c>
      <c r="B368" s="90">
        <v>2020</v>
      </c>
      <c r="C368" s="90" t="s">
        <v>81</v>
      </c>
      <c r="D368" s="90" t="s">
        <v>1144</v>
      </c>
      <c r="E368" s="125" t="s">
        <v>790</v>
      </c>
      <c r="F368" s="24" t="s">
        <v>1145</v>
      </c>
      <c r="G368" s="90" t="s">
        <v>85</v>
      </c>
      <c r="H368" s="90" t="s">
        <v>86</v>
      </c>
      <c r="I368" s="90">
        <v>93</v>
      </c>
      <c r="J368" s="90">
        <v>157</v>
      </c>
      <c r="K368" s="90" t="s">
        <v>85</v>
      </c>
      <c r="L368" s="90" t="s">
        <v>1146</v>
      </c>
      <c r="M368" s="90" t="s">
        <v>119</v>
      </c>
      <c r="N368" s="24" t="s">
        <v>243</v>
      </c>
      <c r="O368" s="24" t="str">
        <f>IF(ISNUMBER(SEARCH("Cancer",N368)),"Cancer",IF(ISNUMBER(SEARCH("health",N368)),"Public health",IF(ISNUMBER(SEARCH("disabilities",N368)),"Disabilities","Other")))</f>
        <v>Other</v>
      </c>
      <c r="P368" s="126">
        <v>2194667</v>
      </c>
      <c r="Q368" s="90" t="s">
        <v>85</v>
      </c>
      <c r="R368" s="90" t="str">
        <f>IF(P368&gt;20000000,"B","A")</f>
        <v>A</v>
      </c>
      <c r="S368" s="90" t="s">
        <v>90</v>
      </c>
      <c r="T368" s="90" t="s">
        <v>119</v>
      </c>
      <c r="U368" s="90" t="s">
        <v>119</v>
      </c>
      <c r="V368" s="90" t="s">
        <v>119</v>
      </c>
      <c r="W368" s="90" t="s">
        <v>119</v>
      </c>
      <c r="X368" s="90" t="s">
        <v>119</v>
      </c>
      <c r="Y368" s="90" t="s">
        <v>119</v>
      </c>
      <c r="Z368" s="90" t="s">
        <v>119</v>
      </c>
      <c r="AA368" s="90" t="s">
        <v>119</v>
      </c>
      <c r="AB368" s="90" t="s">
        <v>119</v>
      </c>
      <c r="AC368" s="90" t="s">
        <v>119</v>
      </c>
      <c r="AD368" s="90" t="s">
        <v>119</v>
      </c>
      <c r="AE368" s="24">
        <v>0</v>
      </c>
      <c r="AF368" s="90">
        <v>0</v>
      </c>
      <c r="AG368" s="24">
        <v>0</v>
      </c>
      <c r="AH368" s="90">
        <v>90679</v>
      </c>
      <c r="AI368" s="24" t="s">
        <v>110</v>
      </c>
      <c r="AJ368" s="24" t="s">
        <v>1148</v>
      </c>
      <c r="AK368" s="90" t="s">
        <v>85</v>
      </c>
      <c r="AL368" s="90">
        <v>208713</v>
      </c>
      <c r="AM368" s="90" t="s">
        <v>81</v>
      </c>
      <c r="AN368" s="90" t="s">
        <v>1144</v>
      </c>
      <c r="AO368" s="125" t="s">
        <v>790</v>
      </c>
      <c r="AP368" s="24" t="s">
        <v>243</v>
      </c>
      <c r="AQ368" s="90" t="s">
        <v>1146</v>
      </c>
      <c r="AR368" s="24" t="s">
        <v>243</v>
      </c>
      <c r="AS368" s="90" t="s">
        <v>119</v>
      </c>
      <c r="AT368" s="24" t="s">
        <v>110</v>
      </c>
      <c r="AU368" s="90" t="s">
        <v>119</v>
      </c>
      <c r="AV368" s="90" t="str">
        <f>IF(ISNUMBER(SEARCH("disagree",AE368)),"N","Y")</f>
        <v>Y</v>
      </c>
      <c r="AW368" s="90" t="s">
        <v>119</v>
      </c>
      <c r="AX368" s="24" t="s">
        <v>119</v>
      </c>
      <c r="AY368" s="90" t="str">
        <f>CONCATENATE(AZ368,BA368,BB368,BC368)</f>
        <v/>
      </c>
      <c r="AZ368" s="90" t="str">
        <f>IF(ISNUMBER(SEARCH("Y",AC368)),"R","")</f>
        <v/>
      </c>
      <c r="BA368" s="90" t="str">
        <f>IF(ISNUMBER(SEARCH("Y",Y368)),"M","")</f>
        <v/>
      </c>
      <c r="BB368" s="90" t="str">
        <f>IF(ISNUMBER(SEARCH("Y",AB368)),"QC","")</f>
        <v/>
      </c>
      <c r="BC368" s="90" t="str">
        <f>IF(ISNUMBER(SEARCH("Y",Z368)),"S","")</f>
        <v/>
      </c>
      <c r="BD368" s="90"/>
      <c r="BE368" s="24" t="s">
        <v>119</v>
      </c>
      <c r="BF368" s="125" t="str">
        <f>IF(AND(AW368&gt;=56543,AW368&lt;=76543,LEN(AW368)&gt;0),"3 Feb 2020",IF(AND(AW368&gt;=66544,AW368&lt;=99999,LEN(AW368)&gt;0),"12 Sep 2020",""))</f>
        <v/>
      </c>
      <c r="BG368" s="125" t="str">
        <f>IF((AND(BF368="3 Feb 2020",LEN(BF368)&gt;0)),"Completed",IF((AND(BF368="12 Sep 2020",LEN(BF368)&gt;0)),"Pending",""))</f>
        <v/>
      </c>
      <c r="BH368" s="90" t="str">
        <f>IF((AND(BF368="3 Feb 2020",LEN(BF368)&gt;0)),"3 Feb 2020","")</f>
        <v/>
      </c>
      <c r="BI368" s="90">
        <v>208713</v>
      </c>
      <c r="BJ368" s="90" t="str">
        <f>L368</f>
        <v>7C29GS89914-42</v>
      </c>
      <c r="BK368" s="127">
        <v>43508</v>
      </c>
      <c r="BL368" s="127">
        <v>44239</v>
      </c>
      <c r="BM368" s="128">
        <f>P368*1.1</f>
        <v>2414133.7000000002</v>
      </c>
      <c r="BN368" s="129">
        <f>P368*0.9</f>
        <v>1975200.3</v>
      </c>
      <c r="BO368" s="130">
        <f>P368*0.8</f>
        <v>1755733.6</v>
      </c>
      <c r="BP368" s="90">
        <f>IF(Z368="Y",BM368*0.4,BM368*1.05)</f>
        <v>2534840.3850000002</v>
      </c>
      <c r="BQ368" s="90">
        <f>BP368*0.8</f>
        <v>2027872.3080000002</v>
      </c>
      <c r="BR368" s="90" t="str">
        <f>IF(ISNUMBER(SEARCH("subrecipient",AI364)),P368*0.6,"")</f>
        <v/>
      </c>
      <c r="BS368" s="90">
        <v>208713</v>
      </c>
      <c r="BT368" s="90" t="str">
        <f>BJ368</f>
        <v>7C29GS89914-42</v>
      </c>
      <c r="BU368" s="127">
        <f>BK368</f>
        <v>43508</v>
      </c>
      <c r="BV368" s="127">
        <f>BL368</f>
        <v>44239</v>
      </c>
      <c r="BW368" s="90" t="str">
        <f>H368</f>
        <v>CDC</v>
      </c>
      <c r="BX368" s="90" t="str">
        <f>IF(H368="NATIONAL HEMOPHILIA FOUNDATION","Non Federal","Federal")</f>
        <v>Federal</v>
      </c>
      <c r="BY368" s="128">
        <f>BM368</f>
        <v>2414133.7000000002</v>
      </c>
      <c r="BZ368" s="90" t="str">
        <f>IF(LEN(BR368)&gt;0,1,"")</f>
        <v/>
      </c>
      <c r="CA368" s="90" t="str">
        <f>IF(LEN(BR368)&gt;0,"VIRAL HEPATITIS PROJECT","")</f>
        <v/>
      </c>
      <c r="CB368" s="129" t="str">
        <f>IF(LEN(BR368)&gt;0,BM368*0.7,"")</f>
        <v/>
      </c>
      <c r="CC368" s="90">
        <f>BP368</f>
        <v>2534840.3850000002</v>
      </c>
      <c r="CD368" s="90" t="str">
        <f>IF(LEN(BR368)&gt;0,"70%","")</f>
        <v/>
      </c>
      <c r="CE368" s="90">
        <f>BS368</f>
        <v>208713</v>
      </c>
      <c r="CF368" s="90" t="str">
        <f>CA368</f>
        <v/>
      </c>
      <c r="CG368" s="90"/>
      <c r="CH368" s="90"/>
      <c r="CI368" s="90"/>
      <c r="CJ368" s="90"/>
      <c r="CK368" s="90"/>
      <c r="CL368" s="90"/>
      <c r="CM368" s="90"/>
      <c r="CN368" s="90"/>
      <c r="CO368" s="90"/>
      <c r="CP368" s="90"/>
      <c r="CQ368" s="90"/>
      <c r="CR368" s="90"/>
      <c r="CS368" s="90"/>
      <c r="CT368" s="137"/>
    </row>
    <row r="369" spans="1:98" ht="90">
      <c r="A369" s="89">
        <v>208717</v>
      </c>
      <c r="B369" s="90">
        <v>2020</v>
      </c>
      <c r="C369" s="90" t="s">
        <v>81</v>
      </c>
      <c r="D369" s="90" t="s">
        <v>1149</v>
      </c>
      <c r="E369" s="125" t="s">
        <v>791</v>
      </c>
      <c r="F369" s="24" t="s">
        <v>1150</v>
      </c>
      <c r="G369" s="90" t="s">
        <v>85</v>
      </c>
      <c r="H369" s="90" t="s">
        <v>117</v>
      </c>
      <c r="I369" s="90">
        <v>93</v>
      </c>
      <c r="J369" s="90">
        <v>157</v>
      </c>
      <c r="K369" s="90" t="s">
        <v>85</v>
      </c>
      <c r="L369" s="90" t="s">
        <v>1151</v>
      </c>
      <c r="M369" s="90" t="s">
        <v>119</v>
      </c>
      <c r="N369" s="24" t="s">
        <v>254</v>
      </c>
      <c r="O369" s="24" t="str">
        <f>IF(ISNUMBER(SEARCH("Cancer",N369)),"Cancer",IF(ISNUMBER(SEARCH("health",N369)),"Public health",IF(ISNUMBER(SEARCH("disabilities",N369)),"Disabilities","Other")))</f>
        <v>Other</v>
      </c>
      <c r="P369" s="126">
        <v>2602305</v>
      </c>
      <c r="Q369" s="90" t="s">
        <v>85</v>
      </c>
      <c r="R369" s="90" t="str">
        <f>IF(P369&gt;20000000,"B","A")</f>
        <v>A</v>
      </c>
      <c r="S369" s="90" t="s">
        <v>90</v>
      </c>
      <c r="T369" s="90" t="s">
        <v>119</v>
      </c>
      <c r="U369" s="90" t="s">
        <v>119</v>
      </c>
      <c r="V369" s="90" t="s">
        <v>119</v>
      </c>
      <c r="W369" s="90" t="s">
        <v>119</v>
      </c>
      <c r="X369" s="90" t="s">
        <v>119</v>
      </c>
      <c r="Y369" s="90" t="s">
        <v>119</v>
      </c>
      <c r="Z369" s="90" t="s">
        <v>119</v>
      </c>
      <c r="AA369" s="90" t="s">
        <v>119</v>
      </c>
      <c r="AB369" s="90" t="s">
        <v>119</v>
      </c>
      <c r="AC369" s="90" t="s">
        <v>119</v>
      </c>
      <c r="AD369" s="90" t="s">
        <v>119</v>
      </c>
      <c r="AE369" s="24">
        <v>0</v>
      </c>
      <c r="AF369" s="90">
        <v>0</v>
      </c>
      <c r="AG369" s="24">
        <v>0</v>
      </c>
      <c r="AH369" s="90">
        <v>77801</v>
      </c>
      <c r="AI369" s="24" t="s">
        <v>94</v>
      </c>
      <c r="AJ369" s="24" t="s">
        <v>1152</v>
      </c>
      <c r="AK369" s="90" t="s">
        <v>85</v>
      </c>
      <c r="AL369" s="90">
        <v>208717</v>
      </c>
      <c r="AM369" s="90" t="s">
        <v>81</v>
      </c>
      <c r="AN369" s="90" t="s">
        <v>1149</v>
      </c>
      <c r="AO369" s="125" t="s">
        <v>791</v>
      </c>
      <c r="AP369" s="24" t="s">
        <v>254</v>
      </c>
      <c r="AQ369" s="90" t="s">
        <v>1151</v>
      </c>
      <c r="AR369" s="24" t="s">
        <v>254</v>
      </c>
      <c r="AS369" s="90" t="s">
        <v>119</v>
      </c>
      <c r="AT369" s="24" t="s">
        <v>94</v>
      </c>
      <c r="AU369" s="90" t="s">
        <v>119</v>
      </c>
      <c r="AV369" s="90" t="str">
        <f>IF(ISNUMBER(SEARCH("disagree",AE369)),"N","Y")</f>
        <v>Y</v>
      </c>
      <c r="AW369" s="90" t="s">
        <v>119</v>
      </c>
      <c r="AX369" s="24" t="s">
        <v>119</v>
      </c>
      <c r="AY369" s="90" t="str">
        <f>CONCATENATE(AZ369,BA369,BB369,BC369)</f>
        <v/>
      </c>
      <c r="AZ369" s="90" t="str">
        <f>IF(ISNUMBER(SEARCH("Y",AC369)),"R","")</f>
        <v/>
      </c>
      <c r="BA369" s="90" t="str">
        <f>IF(ISNUMBER(SEARCH("Y",Y369)),"M","")</f>
        <v/>
      </c>
      <c r="BB369" s="90" t="str">
        <f>IF(ISNUMBER(SEARCH("Y",AB369)),"QC","")</f>
        <v/>
      </c>
      <c r="BC369" s="90" t="str">
        <f>IF(ISNUMBER(SEARCH("Y",Z369)),"S","")</f>
        <v/>
      </c>
      <c r="BD369" s="90"/>
      <c r="BE369" s="24" t="s">
        <v>119</v>
      </c>
      <c r="BF369" s="125" t="str">
        <f>IF(AND(AW369&gt;=56543,AW369&lt;=76543,LEN(AW369)&gt;0),"3 Feb 2020",IF(AND(AW369&gt;=66544,AW369&lt;=99999,LEN(AW369)&gt;0),"12 Sep 2020",""))</f>
        <v/>
      </c>
      <c r="BG369" s="125" t="str">
        <f>IF((AND(BF369="3 Feb 2020",LEN(BF369)&gt;0)),"Completed",IF((AND(BF369="12 Sep 2020",LEN(BF369)&gt;0)),"Pending",""))</f>
        <v/>
      </c>
      <c r="BH369" s="90" t="str">
        <f>IF((AND(BF369="3 Feb 2020",LEN(BF369)&gt;0)),"3 Feb 2020","")</f>
        <v/>
      </c>
      <c r="BI369" s="90">
        <v>208717</v>
      </c>
      <c r="BJ369" s="90" t="str">
        <f>L369</f>
        <v>1C39IS90679-33</v>
      </c>
      <c r="BK369" s="127">
        <v>43508</v>
      </c>
      <c r="BL369" s="127">
        <v>44239</v>
      </c>
      <c r="BM369" s="128">
        <f>P369*1.1</f>
        <v>2862535.5</v>
      </c>
      <c r="BN369" s="129">
        <f>P369*0.9</f>
        <v>2342074.5</v>
      </c>
      <c r="BO369" s="130">
        <f>P369*0.8</f>
        <v>2081844</v>
      </c>
      <c r="BP369" s="90">
        <f>IF(Z369="Y",BM369*0.4,BM369*1.05)</f>
        <v>3005662.2749999999</v>
      </c>
      <c r="BQ369" s="90">
        <f>BP369*0.8</f>
        <v>2404529.8199999998</v>
      </c>
      <c r="BR369" s="90" t="str">
        <f>IF(ISNUMBER(SEARCH("subrecipient",AI365)),P369*0.6,"")</f>
        <v/>
      </c>
      <c r="BS369" s="90">
        <v>208717</v>
      </c>
      <c r="BT369" s="90" t="str">
        <f>BJ369</f>
        <v>1C39IS90679-33</v>
      </c>
      <c r="BU369" s="127">
        <f>BK369</f>
        <v>43508</v>
      </c>
      <c r="BV369" s="127">
        <f>BL369</f>
        <v>44239</v>
      </c>
      <c r="BW369" s="90" t="str">
        <f>H369</f>
        <v>NIH</v>
      </c>
      <c r="BX369" s="90" t="str">
        <f>IF(H369="NATIONAL HEMOPHILIA FOUNDATION","Non Federal","Federal")</f>
        <v>Federal</v>
      </c>
      <c r="BY369" s="128">
        <f>BM369</f>
        <v>2862535.5</v>
      </c>
      <c r="BZ369" s="90" t="str">
        <f>IF(LEN(BR369)&gt;0,1,"")</f>
        <v/>
      </c>
      <c r="CA369" s="90" t="str">
        <f>IF(LEN(BR369)&gt;0,"VIRAL HEPATITIS PROJECT","")</f>
        <v/>
      </c>
      <c r="CB369" s="129" t="str">
        <f>IF(LEN(BR369)&gt;0,BM369*0.7,"")</f>
        <v/>
      </c>
      <c r="CC369" s="90">
        <f>BP369</f>
        <v>3005662.2749999999</v>
      </c>
      <c r="CD369" s="90" t="str">
        <f>IF(LEN(BR369)&gt;0,"70%","")</f>
        <v/>
      </c>
      <c r="CE369" s="90">
        <f>BS369</f>
        <v>208717</v>
      </c>
      <c r="CF369" s="90" t="str">
        <f>CA369</f>
        <v/>
      </c>
      <c r="CG369" s="90"/>
      <c r="CH369" s="90"/>
      <c r="CI369" s="90"/>
      <c r="CJ369" s="90"/>
      <c r="CK369" s="90"/>
      <c r="CL369" s="90"/>
      <c r="CM369" s="90"/>
      <c r="CN369" s="90"/>
      <c r="CO369" s="90"/>
      <c r="CP369" s="90"/>
      <c r="CQ369" s="90"/>
      <c r="CR369" s="90"/>
      <c r="CS369" s="90"/>
      <c r="CT369" s="137"/>
    </row>
    <row r="370" spans="1:98" ht="30">
      <c r="A370" s="89">
        <v>208717</v>
      </c>
      <c r="B370" s="90">
        <v>2020</v>
      </c>
      <c r="C370" s="90" t="s">
        <v>81</v>
      </c>
      <c r="D370" s="90" t="s">
        <v>1149</v>
      </c>
      <c r="E370" s="125" t="s">
        <v>793</v>
      </c>
      <c r="F370" s="24" t="s">
        <v>1150</v>
      </c>
      <c r="G370" s="90" t="s">
        <v>85</v>
      </c>
      <c r="H370" s="90" t="s">
        <v>117</v>
      </c>
      <c r="I370" s="90">
        <v>93</v>
      </c>
      <c r="J370" s="90">
        <v>157</v>
      </c>
      <c r="K370" s="90" t="s">
        <v>85</v>
      </c>
      <c r="L370" s="90" t="s">
        <v>1151</v>
      </c>
      <c r="M370" s="90" t="s">
        <v>119</v>
      </c>
      <c r="N370" s="24" t="s">
        <v>254</v>
      </c>
      <c r="O370" s="24" t="str">
        <f>IF(ISNUMBER(SEARCH("Cancer",N370)),"Cancer",IF(ISNUMBER(SEARCH("health",N370)),"Public health",IF(ISNUMBER(SEARCH("disabilities",N370)),"Disabilities","Other")))</f>
        <v>Other</v>
      </c>
      <c r="P370" s="126">
        <v>2602305</v>
      </c>
      <c r="Q370" s="90" t="s">
        <v>85</v>
      </c>
      <c r="R370" s="90" t="str">
        <f>IF(P370&gt;20000000,"B","A")</f>
        <v>A</v>
      </c>
      <c r="S370" s="90" t="s">
        <v>90</v>
      </c>
      <c r="T370" s="90" t="s">
        <v>119</v>
      </c>
      <c r="U370" s="90" t="s">
        <v>119</v>
      </c>
      <c r="V370" s="90" t="s">
        <v>119</v>
      </c>
      <c r="W370" s="90" t="s">
        <v>119</v>
      </c>
      <c r="X370" s="90" t="s">
        <v>119</v>
      </c>
      <c r="Y370" s="90" t="s">
        <v>119</v>
      </c>
      <c r="Z370" s="90" t="s">
        <v>119</v>
      </c>
      <c r="AA370" s="90" t="s">
        <v>119</v>
      </c>
      <c r="AB370" s="90" t="s">
        <v>119</v>
      </c>
      <c r="AC370" s="90" t="s">
        <v>119</v>
      </c>
      <c r="AD370" s="90" t="s">
        <v>119</v>
      </c>
      <c r="AE370" s="24">
        <v>0</v>
      </c>
      <c r="AF370" s="90">
        <v>0</v>
      </c>
      <c r="AG370" s="24">
        <v>0</v>
      </c>
      <c r="AH370" s="90">
        <v>77802</v>
      </c>
      <c r="AI370" s="24" t="s">
        <v>102</v>
      </c>
      <c r="AJ370" s="24" t="s">
        <v>103</v>
      </c>
      <c r="AK370" s="90" t="s">
        <v>85</v>
      </c>
      <c r="AL370" s="90">
        <v>208717</v>
      </c>
      <c r="AM370" s="90" t="s">
        <v>81</v>
      </c>
      <c r="AN370" s="90" t="s">
        <v>1149</v>
      </c>
      <c r="AO370" s="125" t="s">
        <v>793</v>
      </c>
      <c r="AP370" s="24" t="s">
        <v>254</v>
      </c>
      <c r="AQ370" s="90" t="s">
        <v>1151</v>
      </c>
      <c r="AR370" s="24" t="s">
        <v>254</v>
      </c>
      <c r="AS370" s="90" t="s">
        <v>119</v>
      </c>
      <c r="AT370" s="24" t="s">
        <v>102</v>
      </c>
      <c r="AU370" s="90" t="s">
        <v>119</v>
      </c>
      <c r="AV370" s="90" t="str">
        <f>IF(ISNUMBER(SEARCH("disagree",AE370)),"N","Y")</f>
        <v>Y</v>
      </c>
      <c r="AW370" s="90" t="s">
        <v>119</v>
      </c>
      <c r="AX370" s="24" t="s">
        <v>119</v>
      </c>
      <c r="AY370" s="90" t="str">
        <f>CONCATENATE(AZ370,BA370,BB370,BC370)</f>
        <v/>
      </c>
      <c r="AZ370" s="90" t="str">
        <f>IF(ISNUMBER(SEARCH("Y",AC370)),"R","")</f>
        <v/>
      </c>
      <c r="BA370" s="90" t="str">
        <f>IF(ISNUMBER(SEARCH("Y",Y370)),"M","")</f>
        <v/>
      </c>
      <c r="BB370" s="90" t="str">
        <f>IF(ISNUMBER(SEARCH("Y",AB370)),"QC","")</f>
        <v/>
      </c>
      <c r="BC370" s="90" t="str">
        <f>IF(ISNUMBER(SEARCH("Y",Z370)),"S","")</f>
        <v/>
      </c>
      <c r="BD370" s="90"/>
      <c r="BE370" s="24" t="s">
        <v>119</v>
      </c>
      <c r="BF370" s="125" t="str">
        <f>IF(AND(AW370&gt;=56543,AW370&lt;=76543,LEN(AW370)&gt;0),"3 Feb 2020",IF(AND(AW370&gt;=66544,AW370&lt;=99999,LEN(AW370)&gt;0),"12 Sep 2020",""))</f>
        <v/>
      </c>
      <c r="BG370" s="125" t="str">
        <f>IF((AND(BF370="3 Feb 2020",LEN(BF370)&gt;0)),"Completed",IF((AND(BF370="12 Sep 2020",LEN(BF370)&gt;0)),"Pending",""))</f>
        <v/>
      </c>
      <c r="BH370" s="90" t="str">
        <f>IF((AND(BF370="3 Feb 2020",LEN(BF370)&gt;0)),"3 Feb 2020","")</f>
        <v/>
      </c>
      <c r="BI370" s="90">
        <v>208717</v>
      </c>
      <c r="BJ370" s="90" t="str">
        <f>L370</f>
        <v>1C39IS90679-33</v>
      </c>
      <c r="BK370" s="127">
        <v>43508</v>
      </c>
      <c r="BL370" s="127">
        <v>44239</v>
      </c>
      <c r="BM370" s="128">
        <f>P370*1.1</f>
        <v>2862535.5</v>
      </c>
      <c r="BN370" s="129">
        <f>P370*0.9</f>
        <v>2342074.5</v>
      </c>
      <c r="BO370" s="130">
        <f>P370*0.8</f>
        <v>2081844</v>
      </c>
      <c r="BP370" s="90">
        <f>IF(Z370="Y",BM370*0.4,BM370*1.05)</f>
        <v>3005662.2749999999</v>
      </c>
      <c r="BQ370" s="90">
        <f>BP370*0.8</f>
        <v>2404529.8199999998</v>
      </c>
      <c r="BR370" s="90" t="str">
        <f>IF(ISNUMBER(SEARCH("subrecipient",AI366)),P370*0.6,"")</f>
        <v/>
      </c>
      <c r="BS370" s="90">
        <v>208717</v>
      </c>
      <c r="BT370" s="90" t="str">
        <f>BJ370</f>
        <v>1C39IS90679-33</v>
      </c>
      <c r="BU370" s="127">
        <f>BK370</f>
        <v>43508</v>
      </c>
      <c r="BV370" s="127">
        <f>BL370</f>
        <v>44239</v>
      </c>
      <c r="BW370" s="90" t="str">
        <f>H370</f>
        <v>NIH</v>
      </c>
      <c r="BX370" s="90" t="str">
        <f>IF(H370="NATIONAL HEMOPHILIA FOUNDATION","Non Federal","Federal")</f>
        <v>Federal</v>
      </c>
      <c r="BY370" s="128">
        <f>BM370</f>
        <v>2862535.5</v>
      </c>
      <c r="BZ370" s="90" t="str">
        <f>IF(LEN(BR370)&gt;0,1,"")</f>
        <v/>
      </c>
      <c r="CA370" s="90" t="str">
        <f>IF(LEN(BR370)&gt;0,"VIRAL HEPATITIS PROJECT","")</f>
        <v/>
      </c>
      <c r="CB370" s="129" t="str">
        <f>IF(LEN(BR370)&gt;0,BM370*0.7,"")</f>
        <v/>
      </c>
      <c r="CC370" s="90">
        <f>BP370</f>
        <v>3005662.2749999999</v>
      </c>
      <c r="CD370" s="90" t="str">
        <f>IF(LEN(BR370)&gt;0,"70%","")</f>
        <v/>
      </c>
      <c r="CE370" s="90">
        <f>BS370</f>
        <v>208717</v>
      </c>
      <c r="CF370" s="90" t="str">
        <f>CA370</f>
        <v/>
      </c>
      <c r="CG370" s="90"/>
      <c r="CH370" s="90"/>
      <c r="CI370" s="90"/>
      <c r="CJ370" s="90"/>
      <c r="CK370" s="90"/>
      <c r="CL370" s="90"/>
      <c r="CM370" s="90"/>
      <c r="CN370" s="90"/>
      <c r="CO370" s="90"/>
      <c r="CP370" s="90"/>
      <c r="CQ370" s="90"/>
      <c r="CR370" s="90"/>
      <c r="CS370" s="90"/>
      <c r="CT370" s="137"/>
    </row>
    <row r="371" spans="1:98" ht="120">
      <c r="A371" s="89">
        <v>208738</v>
      </c>
      <c r="B371" s="90">
        <v>2020</v>
      </c>
      <c r="C371" s="90" t="s">
        <v>81</v>
      </c>
      <c r="D371" s="90" t="s">
        <v>1153</v>
      </c>
      <c r="E371" s="125" t="s">
        <v>780</v>
      </c>
      <c r="F371" s="24" t="s">
        <v>1154</v>
      </c>
      <c r="G371" s="90" t="s">
        <v>85</v>
      </c>
      <c r="H371" s="90" t="s">
        <v>132</v>
      </c>
      <c r="I371" s="90">
        <v>93</v>
      </c>
      <c r="J371" s="90">
        <v>157</v>
      </c>
      <c r="K371" s="90" t="s">
        <v>85</v>
      </c>
      <c r="L371" s="90" t="s">
        <v>1155</v>
      </c>
      <c r="M371" s="90" t="s">
        <v>119</v>
      </c>
      <c r="N371" s="24" t="s">
        <v>1156</v>
      </c>
      <c r="O371" s="24" t="str">
        <f>IF(ISNUMBER(SEARCH("Cancer",N371)),"Cancer",IF(ISNUMBER(SEARCH("health",N371)),"Public health",IF(ISNUMBER(SEARCH("disabilities",N371)),"Disabilities","Other")))</f>
        <v>Public health</v>
      </c>
      <c r="P371" s="126">
        <v>2655862</v>
      </c>
      <c r="Q371" s="90" t="s">
        <v>85</v>
      </c>
      <c r="R371" s="90" t="str">
        <f>IF(P371&gt;20000000,"B","A")</f>
        <v>A</v>
      </c>
      <c r="S371" s="90" t="s">
        <v>90</v>
      </c>
      <c r="T371" s="90" t="s">
        <v>119</v>
      </c>
      <c r="U371" s="90" t="s">
        <v>119</v>
      </c>
      <c r="V371" s="90" t="s">
        <v>119</v>
      </c>
      <c r="W371" s="90" t="s">
        <v>119</v>
      </c>
      <c r="X371" s="90" t="s">
        <v>119</v>
      </c>
      <c r="Y371" s="90" t="s">
        <v>119</v>
      </c>
      <c r="Z371" s="90" t="s">
        <v>119</v>
      </c>
      <c r="AA371" s="90" t="s">
        <v>119</v>
      </c>
      <c r="AB371" s="90" t="s">
        <v>119</v>
      </c>
      <c r="AC371" s="90" t="s">
        <v>119</v>
      </c>
      <c r="AD371" s="90" t="s">
        <v>119</v>
      </c>
      <c r="AE371" s="24">
        <v>0</v>
      </c>
      <c r="AF371" s="90">
        <v>0</v>
      </c>
      <c r="AG371" s="24">
        <v>0</v>
      </c>
      <c r="AH371" s="90">
        <v>88903</v>
      </c>
      <c r="AI371" s="24" t="s">
        <v>94</v>
      </c>
      <c r="AJ371" s="24" t="s">
        <v>1157</v>
      </c>
      <c r="AK371" s="90" t="s">
        <v>85</v>
      </c>
      <c r="AL371" s="90">
        <v>208738</v>
      </c>
      <c r="AM371" s="90" t="s">
        <v>81</v>
      </c>
      <c r="AN371" s="90" t="s">
        <v>1153</v>
      </c>
      <c r="AO371" s="125" t="s">
        <v>780</v>
      </c>
      <c r="AP371" s="24" t="s">
        <v>1156</v>
      </c>
      <c r="AQ371" s="90" t="s">
        <v>1155</v>
      </c>
      <c r="AR371" s="24" t="s">
        <v>1156</v>
      </c>
      <c r="AS371" s="90" t="s">
        <v>119</v>
      </c>
      <c r="AT371" s="24" t="s">
        <v>94</v>
      </c>
      <c r="AU371" s="90" t="s">
        <v>119</v>
      </c>
      <c r="AV371" s="90" t="str">
        <f>IF(ISNUMBER(SEARCH("disagree",AE371)),"N","Y")</f>
        <v>Y</v>
      </c>
      <c r="AW371" s="90" t="s">
        <v>119</v>
      </c>
      <c r="AX371" s="24" t="s">
        <v>119</v>
      </c>
      <c r="AY371" s="90" t="str">
        <f>CONCATENATE(AZ371,BA371,BB371,BC371)</f>
        <v/>
      </c>
      <c r="AZ371" s="90" t="str">
        <f>IF(ISNUMBER(SEARCH("Y",AC371)),"R","")</f>
        <v/>
      </c>
      <c r="BA371" s="90" t="str">
        <f>IF(ISNUMBER(SEARCH("Y",Y371)),"M","")</f>
        <v/>
      </c>
      <c r="BB371" s="90" t="str">
        <f>IF(ISNUMBER(SEARCH("Y",AB371)),"QC","")</f>
        <v/>
      </c>
      <c r="BC371" s="90" t="str">
        <f>IF(ISNUMBER(SEARCH("Y",Z371)),"S","")</f>
        <v/>
      </c>
      <c r="BD371" s="90"/>
      <c r="BE371" s="24" t="s">
        <v>119</v>
      </c>
      <c r="BF371" s="125" t="str">
        <f>IF(AND(AW371&gt;=56543,AW371&lt;=76543,LEN(AW371)&gt;0),"3 Feb 2020",IF(AND(AW371&gt;=66544,AW371&lt;=99999,LEN(AW371)&gt;0),"12 Sep 2020",""))</f>
        <v/>
      </c>
      <c r="BG371" s="125" t="str">
        <f>IF((AND(BF371="3 Feb 2020",LEN(BF371)&gt;0)),"Completed",IF((AND(BF371="12 Sep 2020",LEN(BF371)&gt;0)),"Pending",""))</f>
        <v/>
      </c>
      <c r="BH371" s="90" t="str">
        <f>IF((AND(BF371="3 Feb 2020",LEN(BF371)&gt;0)),"3 Feb 2020","")</f>
        <v/>
      </c>
      <c r="BI371" s="90">
        <v>208738</v>
      </c>
      <c r="BJ371" s="90" t="str">
        <f>L371</f>
        <v>1C80CS88903-28</v>
      </c>
      <c r="BK371" s="127">
        <v>43508</v>
      </c>
      <c r="BL371" s="127">
        <v>44239</v>
      </c>
      <c r="BM371" s="128">
        <f>P371*1.1</f>
        <v>2921448.2</v>
      </c>
      <c r="BN371" s="129">
        <f>P371*0.9</f>
        <v>2390275.8000000003</v>
      </c>
      <c r="BO371" s="130">
        <f>P371*0.8</f>
        <v>2124689.6</v>
      </c>
      <c r="BP371" s="90">
        <f>IF(Z371="Y",BM371*0.4,BM371*1.05)</f>
        <v>3067520.6100000003</v>
      </c>
      <c r="BQ371" s="90">
        <f>BP371*0.8</f>
        <v>2454016.4880000004</v>
      </c>
      <c r="BR371" s="90" t="str">
        <f>IF(ISNUMBER(SEARCH("subrecipient",AI367)),P371*0.6,"")</f>
        <v/>
      </c>
      <c r="BS371" s="90">
        <v>208738</v>
      </c>
      <c r="BT371" s="90" t="str">
        <f>BJ371</f>
        <v>1C80CS88903-28</v>
      </c>
      <c r="BU371" s="127">
        <f>BK371</f>
        <v>43508</v>
      </c>
      <c r="BV371" s="127">
        <f>BL371</f>
        <v>44239</v>
      </c>
      <c r="BW371" s="90" t="str">
        <f>H371</f>
        <v>FDA</v>
      </c>
      <c r="BX371" s="90" t="str">
        <f>IF(H371="NATIONAL HEMOPHILIA FOUNDATION","Non Federal","Federal")</f>
        <v>Federal</v>
      </c>
      <c r="BY371" s="128">
        <f>BM371</f>
        <v>2921448.2</v>
      </c>
      <c r="BZ371" s="90" t="str">
        <f>IF(LEN(BR371)&gt;0,1,"")</f>
        <v/>
      </c>
      <c r="CA371" s="90" t="str">
        <f>IF(LEN(BR371)&gt;0,"VIRAL HEPATITIS PROJECT","")</f>
        <v/>
      </c>
      <c r="CB371" s="129" t="str">
        <f>IF(LEN(BR371)&gt;0,BM371*0.7,"")</f>
        <v/>
      </c>
      <c r="CC371" s="90">
        <f>BP371</f>
        <v>3067520.6100000003</v>
      </c>
      <c r="CD371" s="90" t="str">
        <f>IF(LEN(BR371)&gt;0,"70%","")</f>
        <v/>
      </c>
      <c r="CE371" s="90">
        <f>BS371</f>
        <v>208738</v>
      </c>
      <c r="CF371" s="90" t="str">
        <f>CA371</f>
        <v/>
      </c>
      <c r="CG371" s="90"/>
      <c r="CH371" s="90"/>
      <c r="CI371" s="90"/>
      <c r="CJ371" s="90"/>
      <c r="CK371" s="90"/>
      <c r="CL371" s="90"/>
      <c r="CM371" s="90"/>
      <c r="CN371" s="90"/>
      <c r="CO371" s="90"/>
      <c r="CP371" s="90"/>
      <c r="CQ371" s="90"/>
      <c r="CR371" s="90"/>
      <c r="CS371" s="90"/>
      <c r="CT371" s="137"/>
    </row>
    <row r="372" spans="1:98" ht="90">
      <c r="A372" s="89">
        <v>208738</v>
      </c>
      <c r="B372" s="90">
        <v>2020</v>
      </c>
      <c r="C372" s="90" t="s">
        <v>81</v>
      </c>
      <c r="D372" s="90" t="s">
        <v>1153</v>
      </c>
      <c r="E372" s="125" t="s">
        <v>781</v>
      </c>
      <c r="F372" s="24" t="s">
        <v>1154</v>
      </c>
      <c r="G372" s="90" t="s">
        <v>85</v>
      </c>
      <c r="H372" s="90" t="s">
        <v>132</v>
      </c>
      <c r="I372" s="90">
        <v>93</v>
      </c>
      <c r="J372" s="90">
        <v>157</v>
      </c>
      <c r="K372" s="90" t="s">
        <v>85</v>
      </c>
      <c r="L372" s="90" t="s">
        <v>1155</v>
      </c>
      <c r="M372" s="90" t="s">
        <v>119</v>
      </c>
      <c r="N372" s="24" t="s">
        <v>1156</v>
      </c>
      <c r="O372" s="24" t="str">
        <f>IF(ISNUMBER(SEARCH("Cancer",N372)),"Cancer",IF(ISNUMBER(SEARCH("health",N372)),"Public health",IF(ISNUMBER(SEARCH("disabilities",N372)),"Disabilities","Other")))</f>
        <v>Public health</v>
      </c>
      <c r="P372" s="126">
        <v>2655862</v>
      </c>
      <c r="Q372" s="90" t="s">
        <v>85</v>
      </c>
      <c r="R372" s="90" t="str">
        <f>IF(P372&gt;20000000,"B","A")</f>
        <v>A</v>
      </c>
      <c r="S372" s="90" t="s">
        <v>90</v>
      </c>
      <c r="T372" s="90" t="s">
        <v>119</v>
      </c>
      <c r="U372" s="90" t="s">
        <v>119</v>
      </c>
      <c r="V372" s="90" t="s">
        <v>119</v>
      </c>
      <c r="W372" s="90" t="s">
        <v>119</v>
      </c>
      <c r="X372" s="90" t="s">
        <v>119</v>
      </c>
      <c r="Y372" s="90" t="s">
        <v>119</v>
      </c>
      <c r="Z372" s="90" t="s">
        <v>119</v>
      </c>
      <c r="AA372" s="90" t="s">
        <v>119</v>
      </c>
      <c r="AB372" s="90" t="s">
        <v>119</v>
      </c>
      <c r="AC372" s="90" t="s">
        <v>119</v>
      </c>
      <c r="AD372" s="90" t="s">
        <v>119</v>
      </c>
      <c r="AE372" s="24">
        <v>0</v>
      </c>
      <c r="AF372" s="90">
        <v>0</v>
      </c>
      <c r="AG372" s="24">
        <v>0</v>
      </c>
      <c r="AH372" s="90">
        <v>88901</v>
      </c>
      <c r="AI372" s="24" t="s">
        <v>102</v>
      </c>
      <c r="AJ372" s="24" t="s">
        <v>103</v>
      </c>
      <c r="AK372" s="90" t="s">
        <v>85</v>
      </c>
      <c r="AL372" s="90">
        <v>208738</v>
      </c>
      <c r="AM372" s="90" t="s">
        <v>81</v>
      </c>
      <c r="AN372" s="90" t="s">
        <v>1153</v>
      </c>
      <c r="AO372" s="125" t="s">
        <v>781</v>
      </c>
      <c r="AP372" s="24" t="s">
        <v>1156</v>
      </c>
      <c r="AQ372" s="90" t="s">
        <v>1155</v>
      </c>
      <c r="AR372" s="24" t="s">
        <v>1156</v>
      </c>
      <c r="AS372" s="90" t="s">
        <v>119</v>
      </c>
      <c r="AT372" s="24" t="s">
        <v>102</v>
      </c>
      <c r="AU372" s="90" t="s">
        <v>119</v>
      </c>
      <c r="AV372" s="90" t="str">
        <f>IF(ISNUMBER(SEARCH("disagree",AE372)),"N","Y")</f>
        <v>Y</v>
      </c>
      <c r="AW372" s="90" t="s">
        <v>119</v>
      </c>
      <c r="AX372" s="24" t="s">
        <v>119</v>
      </c>
      <c r="AY372" s="90" t="str">
        <f>CONCATENATE(AZ372,BA372,BB372,BC372)</f>
        <v/>
      </c>
      <c r="AZ372" s="90" t="str">
        <f>IF(ISNUMBER(SEARCH("Y",AC372)),"R","")</f>
        <v/>
      </c>
      <c r="BA372" s="90" t="str">
        <f>IF(ISNUMBER(SEARCH("Y",Y372)),"M","")</f>
        <v/>
      </c>
      <c r="BB372" s="90" t="str">
        <f>IF(ISNUMBER(SEARCH("Y",AB372)),"QC","")</f>
        <v/>
      </c>
      <c r="BC372" s="90" t="str">
        <f>IF(ISNUMBER(SEARCH("Y",Z372)),"S","")</f>
        <v/>
      </c>
      <c r="BD372" s="90"/>
      <c r="BE372" s="24" t="s">
        <v>119</v>
      </c>
      <c r="BF372" s="125" t="str">
        <f>IF(AND(AW372&gt;=56543,AW372&lt;=76543,LEN(AW372)&gt;0),"3 Feb 2020",IF(AND(AW372&gt;=66544,AW372&lt;=99999,LEN(AW372)&gt;0),"12 Sep 2020",""))</f>
        <v/>
      </c>
      <c r="BG372" s="125" t="str">
        <f>IF((AND(BF372="3 Feb 2020",LEN(BF372)&gt;0)),"Completed",IF((AND(BF372="12 Sep 2020",LEN(BF372)&gt;0)),"Pending",""))</f>
        <v/>
      </c>
      <c r="BH372" s="90" t="str">
        <f>IF((AND(BF372="3 Feb 2020",LEN(BF372)&gt;0)),"3 Feb 2020","")</f>
        <v/>
      </c>
      <c r="BI372" s="90">
        <v>208738</v>
      </c>
      <c r="BJ372" s="90" t="str">
        <f>L372</f>
        <v>1C80CS88903-28</v>
      </c>
      <c r="BK372" s="127">
        <v>43508</v>
      </c>
      <c r="BL372" s="127">
        <v>44239</v>
      </c>
      <c r="BM372" s="128">
        <f>P372*1.1</f>
        <v>2921448.2</v>
      </c>
      <c r="BN372" s="129">
        <f>P372*0.9</f>
        <v>2390275.8000000003</v>
      </c>
      <c r="BO372" s="130">
        <f>P372*0.8</f>
        <v>2124689.6</v>
      </c>
      <c r="BP372" s="90">
        <f>IF(Z372="Y",BM372*0.4,BM372*1.05)</f>
        <v>3067520.6100000003</v>
      </c>
      <c r="BQ372" s="90">
        <f>BP372*0.8</f>
        <v>2454016.4880000004</v>
      </c>
      <c r="BR372" s="90" t="str">
        <f>IF(ISNUMBER(SEARCH("subrecipient",AI368)),P372*0.6,"")</f>
        <v/>
      </c>
      <c r="BS372" s="90">
        <v>208738</v>
      </c>
      <c r="BT372" s="90" t="str">
        <f>BJ372</f>
        <v>1C80CS88903-28</v>
      </c>
      <c r="BU372" s="127">
        <f>BK372</f>
        <v>43508</v>
      </c>
      <c r="BV372" s="127">
        <f>BL372</f>
        <v>44239</v>
      </c>
      <c r="BW372" s="90" t="str">
        <f>H372</f>
        <v>FDA</v>
      </c>
      <c r="BX372" s="90" t="str">
        <f>IF(H372="NATIONAL HEMOPHILIA FOUNDATION","Non Federal","Federal")</f>
        <v>Federal</v>
      </c>
      <c r="BY372" s="128">
        <f>BM372</f>
        <v>2921448.2</v>
      </c>
      <c r="BZ372" s="90" t="str">
        <f>IF(LEN(BR372)&gt;0,1,"")</f>
        <v/>
      </c>
      <c r="CA372" s="90" t="str">
        <f>IF(LEN(BR372)&gt;0,"VIRAL HEPATITIS PROJECT","")</f>
        <v/>
      </c>
      <c r="CB372" s="129" t="str">
        <f>IF(LEN(BR372)&gt;0,BM372*0.7,"")</f>
        <v/>
      </c>
      <c r="CC372" s="90">
        <f>BP372</f>
        <v>3067520.6100000003</v>
      </c>
      <c r="CD372" s="90" t="str">
        <f>IF(LEN(BR372)&gt;0,"70%","")</f>
        <v/>
      </c>
      <c r="CE372" s="90">
        <f>BS372</f>
        <v>208738</v>
      </c>
      <c r="CF372" s="90" t="str">
        <f>CA372</f>
        <v/>
      </c>
      <c r="CG372" s="90"/>
      <c r="CH372" s="90"/>
      <c r="CI372" s="90"/>
      <c r="CJ372" s="90"/>
      <c r="CK372" s="90"/>
      <c r="CL372" s="90"/>
      <c r="CM372" s="90"/>
      <c r="CN372" s="90"/>
      <c r="CO372" s="90"/>
      <c r="CP372" s="90"/>
      <c r="CQ372" s="90"/>
      <c r="CR372" s="90"/>
      <c r="CS372" s="90"/>
      <c r="CT372" s="137"/>
    </row>
    <row r="373" spans="1:98" ht="90">
      <c r="A373" s="89">
        <v>208738</v>
      </c>
      <c r="B373" s="90">
        <v>2020</v>
      </c>
      <c r="C373" s="90" t="s">
        <v>81</v>
      </c>
      <c r="D373" s="90" t="s">
        <v>1153</v>
      </c>
      <c r="E373" s="125" t="s">
        <v>784</v>
      </c>
      <c r="F373" s="24" t="s">
        <v>1154</v>
      </c>
      <c r="G373" s="90" t="s">
        <v>85</v>
      </c>
      <c r="H373" s="90" t="s">
        <v>132</v>
      </c>
      <c r="I373" s="90">
        <v>93</v>
      </c>
      <c r="J373" s="90">
        <v>157</v>
      </c>
      <c r="K373" s="90" t="s">
        <v>85</v>
      </c>
      <c r="L373" s="90" t="s">
        <v>1155</v>
      </c>
      <c r="M373" s="90" t="s">
        <v>119</v>
      </c>
      <c r="N373" s="24" t="s">
        <v>1156</v>
      </c>
      <c r="O373" s="24" t="str">
        <f>IF(ISNUMBER(SEARCH("Cancer",N373)),"Cancer",IF(ISNUMBER(SEARCH("health",N373)),"Public health",IF(ISNUMBER(SEARCH("disabilities",N373)),"Disabilities","Other")))</f>
        <v>Public health</v>
      </c>
      <c r="P373" s="126">
        <v>2655862</v>
      </c>
      <c r="Q373" s="90" t="s">
        <v>85</v>
      </c>
      <c r="R373" s="90" t="str">
        <f>IF(P373&gt;20000000,"B","A")</f>
        <v>A</v>
      </c>
      <c r="S373" s="90" t="s">
        <v>90</v>
      </c>
      <c r="T373" s="90" t="s">
        <v>119</v>
      </c>
      <c r="U373" s="90" t="s">
        <v>119</v>
      </c>
      <c r="V373" s="90" t="s">
        <v>119</v>
      </c>
      <c r="W373" s="90" t="s">
        <v>119</v>
      </c>
      <c r="X373" s="90" t="s">
        <v>119</v>
      </c>
      <c r="Y373" s="90" t="s">
        <v>119</v>
      </c>
      <c r="Z373" s="90" t="s">
        <v>119</v>
      </c>
      <c r="AA373" s="90" t="s">
        <v>119</v>
      </c>
      <c r="AB373" s="90" t="s">
        <v>119</v>
      </c>
      <c r="AC373" s="90" t="s">
        <v>119</v>
      </c>
      <c r="AD373" s="90" t="s">
        <v>119</v>
      </c>
      <c r="AE373" s="24">
        <v>0</v>
      </c>
      <c r="AF373" s="90">
        <v>0</v>
      </c>
      <c r="AG373" s="24">
        <v>0</v>
      </c>
      <c r="AH373" s="90">
        <v>88904</v>
      </c>
      <c r="AI373" s="24" t="s">
        <v>1158</v>
      </c>
      <c r="AJ373" s="24" t="s">
        <v>1159</v>
      </c>
      <c r="AK373" s="90" t="s">
        <v>85</v>
      </c>
      <c r="AL373" s="90">
        <v>208738</v>
      </c>
      <c r="AM373" s="90" t="s">
        <v>81</v>
      </c>
      <c r="AN373" s="90" t="s">
        <v>1153</v>
      </c>
      <c r="AO373" s="125" t="s">
        <v>784</v>
      </c>
      <c r="AP373" s="24" t="s">
        <v>1156</v>
      </c>
      <c r="AQ373" s="90" t="s">
        <v>1155</v>
      </c>
      <c r="AR373" s="24" t="s">
        <v>1156</v>
      </c>
      <c r="AS373" s="90" t="s">
        <v>119</v>
      </c>
      <c r="AT373" s="24" t="s">
        <v>1158</v>
      </c>
      <c r="AU373" s="90" t="s">
        <v>119</v>
      </c>
      <c r="AV373" s="90" t="str">
        <f>IF(ISNUMBER(SEARCH("disagree",AE373)),"N","Y")</f>
        <v>Y</v>
      </c>
      <c r="AW373" s="90" t="s">
        <v>119</v>
      </c>
      <c r="AX373" s="24" t="s">
        <v>119</v>
      </c>
      <c r="AY373" s="90" t="str">
        <f>CONCATENATE(AZ373,BA373,BB373,BC373)</f>
        <v/>
      </c>
      <c r="AZ373" s="90" t="str">
        <f>IF(ISNUMBER(SEARCH("Y",AC373)),"R","")</f>
        <v/>
      </c>
      <c r="BA373" s="90" t="str">
        <f>IF(ISNUMBER(SEARCH("Y",Y373)),"M","")</f>
        <v/>
      </c>
      <c r="BB373" s="90" t="str">
        <f>IF(ISNUMBER(SEARCH("Y",AB373)),"QC","")</f>
        <v/>
      </c>
      <c r="BC373" s="90" t="str">
        <f>IF(ISNUMBER(SEARCH("Y",Z373)),"S","")</f>
        <v/>
      </c>
      <c r="BD373" s="90"/>
      <c r="BE373" s="24" t="s">
        <v>119</v>
      </c>
      <c r="BF373" s="125" t="str">
        <f>IF(AND(AW373&gt;=56543,AW373&lt;=76543,LEN(AW373)&gt;0),"3 Feb 2020",IF(AND(AW373&gt;=66544,AW373&lt;=99999,LEN(AW373)&gt;0),"12 Sep 2020",""))</f>
        <v/>
      </c>
      <c r="BG373" s="125" t="str">
        <f>IF((AND(BF373="3 Feb 2020",LEN(BF373)&gt;0)),"Completed",IF((AND(BF373="12 Sep 2020",LEN(BF373)&gt;0)),"Pending",""))</f>
        <v/>
      </c>
      <c r="BH373" s="90" t="str">
        <f>IF((AND(BF373="3 Feb 2020",LEN(BF373)&gt;0)),"3 Feb 2020","")</f>
        <v/>
      </c>
      <c r="BI373" s="90">
        <v>208738</v>
      </c>
      <c r="BJ373" s="90" t="str">
        <f>L373</f>
        <v>1C80CS88903-28</v>
      </c>
      <c r="BK373" s="127">
        <v>43508</v>
      </c>
      <c r="BL373" s="127">
        <v>44239</v>
      </c>
      <c r="BM373" s="128">
        <f>P373*1.1</f>
        <v>2921448.2</v>
      </c>
      <c r="BN373" s="129">
        <f>P373*0.9</f>
        <v>2390275.8000000003</v>
      </c>
      <c r="BO373" s="130">
        <f>P373*0.8</f>
        <v>2124689.6</v>
      </c>
      <c r="BP373" s="90">
        <f>IF(Z373="Y",BM373*0.4,BM373*1.05)</f>
        <v>3067520.6100000003</v>
      </c>
      <c r="BQ373" s="90">
        <f>BP373*0.8</f>
        <v>2454016.4880000004</v>
      </c>
      <c r="BR373" s="90" t="str">
        <f>IF(ISNUMBER(SEARCH("subrecipient",AI369)),P373*0.6,"")</f>
        <v/>
      </c>
      <c r="BS373" s="90">
        <v>208738</v>
      </c>
      <c r="BT373" s="90" t="str">
        <f>BJ373</f>
        <v>1C80CS88903-28</v>
      </c>
      <c r="BU373" s="127">
        <f>BK373</f>
        <v>43508</v>
      </c>
      <c r="BV373" s="127">
        <f>BL373</f>
        <v>44239</v>
      </c>
      <c r="BW373" s="90" t="str">
        <f>H373</f>
        <v>FDA</v>
      </c>
      <c r="BX373" s="90" t="str">
        <f>IF(H373="NATIONAL HEMOPHILIA FOUNDATION","Non Federal","Federal")</f>
        <v>Federal</v>
      </c>
      <c r="BY373" s="128">
        <f>BM373</f>
        <v>2921448.2</v>
      </c>
      <c r="BZ373" s="90" t="str">
        <f>IF(LEN(BR373)&gt;0,1,"")</f>
        <v/>
      </c>
      <c r="CA373" s="90" t="str">
        <f>IF(LEN(BR373)&gt;0,"VIRAL HEPATITIS PROJECT","")</f>
        <v/>
      </c>
      <c r="CB373" s="129" t="str">
        <f>IF(LEN(BR373)&gt;0,BM373*0.7,"")</f>
        <v/>
      </c>
      <c r="CC373" s="90">
        <f>BP373</f>
        <v>3067520.6100000003</v>
      </c>
      <c r="CD373" s="90" t="str">
        <f>IF(LEN(BR373)&gt;0,"70%","")</f>
        <v/>
      </c>
      <c r="CE373" s="90">
        <f>BS373</f>
        <v>208738</v>
      </c>
      <c r="CF373" s="90" t="str">
        <f>CA373</f>
        <v/>
      </c>
      <c r="CG373" s="90"/>
      <c r="CH373" s="90"/>
      <c r="CI373" s="90"/>
      <c r="CJ373" s="90"/>
      <c r="CK373" s="90"/>
      <c r="CL373" s="90"/>
      <c r="CM373" s="90"/>
      <c r="CN373" s="90"/>
      <c r="CO373" s="90"/>
      <c r="CP373" s="90"/>
      <c r="CQ373" s="90"/>
      <c r="CR373" s="90"/>
      <c r="CS373" s="90"/>
      <c r="CT373" s="137"/>
    </row>
    <row r="374" spans="1:98" ht="90">
      <c r="A374" s="89">
        <v>208738</v>
      </c>
      <c r="B374" s="90">
        <v>2020</v>
      </c>
      <c r="C374" s="90" t="s">
        <v>81</v>
      </c>
      <c r="D374" s="90" t="s">
        <v>1153</v>
      </c>
      <c r="E374" s="125" t="s">
        <v>790</v>
      </c>
      <c r="F374" s="24" t="s">
        <v>1154</v>
      </c>
      <c r="G374" s="90" t="s">
        <v>85</v>
      </c>
      <c r="H374" s="90" t="s">
        <v>132</v>
      </c>
      <c r="I374" s="90">
        <v>93</v>
      </c>
      <c r="J374" s="90">
        <v>157</v>
      </c>
      <c r="K374" s="90" t="s">
        <v>85</v>
      </c>
      <c r="L374" s="90" t="s">
        <v>1155</v>
      </c>
      <c r="M374" s="90" t="s">
        <v>119</v>
      </c>
      <c r="N374" s="24" t="s">
        <v>1156</v>
      </c>
      <c r="O374" s="24" t="str">
        <f>IF(ISNUMBER(SEARCH("Cancer",N374)),"Cancer",IF(ISNUMBER(SEARCH("health",N374)),"Public health",IF(ISNUMBER(SEARCH("disabilities",N374)),"Disabilities","Other")))</f>
        <v>Public health</v>
      </c>
      <c r="P374" s="126">
        <v>2655862</v>
      </c>
      <c r="Q374" s="90" t="s">
        <v>85</v>
      </c>
      <c r="R374" s="90" t="str">
        <f>IF(P374&gt;20000000,"B","A")</f>
        <v>A</v>
      </c>
      <c r="S374" s="90" t="s">
        <v>90</v>
      </c>
      <c r="T374" s="90" t="s">
        <v>119</v>
      </c>
      <c r="U374" s="90" t="s">
        <v>119</v>
      </c>
      <c r="V374" s="90" t="s">
        <v>119</v>
      </c>
      <c r="W374" s="90" t="s">
        <v>119</v>
      </c>
      <c r="X374" s="90" t="s">
        <v>119</v>
      </c>
      <c r="Y374" s="90" t="s">
        <v>119</v>
      </c>
      <c r="Z374" s="90" t="s">
        <v>119</v>
      </c>
      <c r="AA374" s="90" t="s">
        <v>119</v>
      </c>
      <c r="AB374" s="90" t="s">
        <v>119</v>
      </c>
      <c r="AC374" s="90" t="s">
        <v>119</v>
      </c>
      <c r="AD374" s="90" t="s">
        <v>119</v>
      </c>
      <c r="AE374" s="24">
        <v>0</v>
      </c>
      <c r="AF374" s="90">
        <v>0</v>
      </c>
      <c r="AG374" s="24">
        <v>0</v>
      </c>
      <c r="AH374" s="90">
        <v>88902</v>
      </c>
      <c r="AI374" s="24" t="s">
        <v>1160</v>
      </c>
      <c r="AJ374" s="24" t="s">
        <v>1161</v>
      </c>
      <c r="AK374" s="90" t="s">
        <v>85</v>
      </c>
      <c r="AL374" s="90">
        <v>208738</v>
      </c>
      <c r="AM374" s="90" t="s">
        <v>81</v>
      </c>
      <c r="AN374" s="90" t="s">
        <v>1153</v>
      </c>
      <c r="AO374" s="125" t="s">
        <v>790</v>
      </c>
      <c r="AP374" s="24" t="s">
        <v>1156</v>
      </c>
      <c r="AQ374" s="90" t="s">
        <v>1155</v>
      </c>
      <c r="AR374" s="24" t="s">
        <v>1156</v>
      </c>
      <c r="AS374" s="90" t="s">
        <v>119</v>
      </c>
      <c r="AT374" s="24" t="s">
        <v>1160</v>
      </c>
      <c r="AU374" s="90" t="s">
        <v>119</v>
      </c>
      <c r="AV374" s="90" t="str">
        <f>IF(ISNUMBER(SEARCH("disagree",AE374)),"N","Y")</f>
        <v>Y</v>
      </c>
      <c r="AW374" s="90" t="s">
        <v>119</v>
      </c>
      <c r="AX374" s="24" t="s">
        <v>119</v>
      </c>
      <c r="AY374" s="90" t="str">
        <f>CONCATENATE(AZ374,BA374,BB374,BC374)</f>
        <v/>
      </c>
      <c r="AZ374" s="90" t="str">
        <f>IF(ISNUMBER(SEARCH("Y",AC374)),"R","")</f>
        <v/>
      </c>
      <c r="BA374" s="90" t="str">
        <f>IF(ISNUMBER(SEARCH("Y",Y374)),"M","")</f>
        <v/>
      </c>
      <c r="BB374" s="90" t="str">
        <f>IF(ISNUMBER(SEARCH("Y",AB374)),"QC","")</f>
        <v/>
      </c>
      <c r="BC374" s="90" t="str">
        <f>IF(ISNUMBER(SEARCH("Y",Z374)),"S","")</f>
        <v/>
      </c>
      <c r="BD374" s="90"/>
      <c r="BE374" s="24" t="s">
        <v>119</v>
      </c>
      <c r="BF374" s="125" t="str">
        <f>IF(AND(AW374&gt;=56543,AW374&lt;=76543,LEN(AW374)&gt;0),"3 Feb 2020",IF(AND(AW374&gt;=66544,AW374&lt;=99999,LEN(AW374)&gt;0),"12 Sep 2020",""))</f>
        <v/>
      </c>
      <c r="BG374" s="125" t="str">
        <f>IF((AND(BF374="3 Feb 2020",LEN(BF374)&gt;0)),"Completed",IF((AND(BF374="12 Sep 2020",LEN(BF374)&gt;0)),"Pending",""))</f>
        <v/>
      </c>
      <c r="BH374" s="90" t="str">
        <f>IF((AND(BF374="3 Feb 2020",LEN(BF374)&gt;0)),"3 Feb 2020","")</f>
        <v/>
      </c>
      <c r="BI374" s="90">
        <v>208738</v>
      </c>
      <c r="BJ374" s="90" t="str">
        <f>L374</f>
        <v>1C80CS88903-28</v>
      </c>
      <c r="BK374" s="127">
        <v>43508</v>
      </c>
      <c r="BL374" s="127">
        <v>44239</v>
      </c>
      <c r="BM374" s="128">
        <f>P374*1.1</f>
        <v>2921448.2</v>
      </c>
      <c r="BN374" s="129">
        <f>P374*0.9</f>
        <v>2390275.8000000003</v>
      </c>
      <c r="BO374" s="130">
        <f>P374*0.8</f>
        <v>2124689.6</v>
      </c>
      <c r="BP374" s="90">
        <f>IF(Z374="Y",BM374*0.4,BM374*1.05)</f>
        <v>3067520.6100000003</v>
      </c>
      <c r="BQ374" s="90">
        <f>BP374*0.8</f>
        <v>2454016.4880000004</v>
      </c>
      <c r="BR374" s="90" t="str">
        <f>IF(ISNUMBER(SEARCH("subrecipient",AI370)),P374*0.6,"")</f>
        <v/>
      </c>
      <c r="BS374" s="90">
        <v>208738</v>
      </c>
      <c r="BT374" s="90" t="str">
        <f>BJ374</f>
        <v>1C80CS88903-28</v>
      </c>
      <c r="BU374" s="127">
        <f>BK374</f>
        <v>43508</v>
      </c>
      <c r="BV374" s="127">
        <f>BL374</f>
        <v>44239</v>
      </c>
      <c r="BW374" s="90" t="str">
        <f>H374</f>
        <v>FDA</v>
      </c>
      <c r="BX374" s="90" t="str">
        <f>IF(H374="NATIONAL HEMOPHILIA FOUNDATION","Non Federal","Federal")</f>
        <v>Federal</v>
      </c>
      <c r="BY374" s="128">
        <f>BM374</f>
        <v>2921448.2</v>
      </c>
      <c r="BZ374" s="90" t="str">
        <f>IF(LEN(BR374)&gt;0,1,"")</f>
        <v/>
      </c>
      <c r="CA374" s="90" t="str">
        <f>IF(LEN(BR374)&gt;0,"VIRAL HEPATITIS PROJECT","")</f>
        <v/>
      </c>
      <c r="CB374" s="129" t="str">
        <f>IF(LEN(BR374)&gt;0,BM374*0.7,"")</f>
        <v/>
      </c>
      <c r="CC374" s="90">
        <f>BP374</f>
        <v>3067520.6100000003</v>
      </c>
      <c r="CD374" s="90" t="str">
        <f>IF(LEN(BR374)&gt;0,"70%","")</f>
        <v/>
      </c>
      <c r="CE374" s="90">
        <f>BS374</f>
        <v>208738</v>
      </c>
      <c r="CF374" s="90" t="str">
        <f>CA374</f>
        <v/>
      </c>
      <c r="CG374" s="90"/>
      <c r="CH374" s="90"/>
      <c r="CI374" s="90"/>
      <c r="CJ374" s="90"/>
      <c r="CK374" s="90"/>
      <c r="CL374" s="90"/>
      <c r="CM374" s="90"/>
      <c r="CN374" s="90"/>
      <c r="CO374" s="90"/>
      <c r="CP374" s="90"/>
      <c r="CQ374" s="90"/>
      <c r="CR374" s="90"/>
      <c r="CS374" s="90"/>
      <c r="CT374" s="137"/>
    </row>
    <row r="375" spans="1:98" ht="135">
      <c r="A375" s="89">
        <v>210120</v>
      </c>
      <c r="B375" s="90">
        <v>2020</v>
      </c>
      <c r="C375" s="90" t="s">
        <v>81</v>
      </c>
      <c r="D375" s="90" t="s">
        <v>1162</v>
      </c>
      <c r="E375" s="125" t="s">
        <v>791</v>
      </c>
      <c r="F375" s="24" t="s">
        <v>1163</v>
      </c>
      <c r="G375" s="90" t="s">
        <v>85</v>
      </c>
      <c r="H375" s="90" t="s">
        <v>150</v>
      </c>
      <c r="I375" s="90">
        <v>93</v>
      </c>
      <c r="J375" s="90">
        <v>157</v>
      </c>
      <c r="K375" s="90" t="s">
        <v>85</v>
      </c>
      <c r="L375" s="90" t="s">
        <v>1164</v>
      </c>
      <c r="M375" s="90" t="s">
        <v>119</v>
      </c>
      <c r="N375" s="24" t="s">
        <v>254</v>
      </c>
      <c r="O375" s="24" t="str">
        <f>IF(ISNUMBER(SEARCH("Cancer",N375)),"Cancer",IF(ISNUMBER(SEARCH("health",N375)),"Public health",IF(ISNUMBER(SEARCH("disabilities",N375)),"Disabilities","Other")))</f>
        <v>Other</v>
      </c>
      <c r="P375" s="126">
        <v>2313057</v>
      </c>
      <c r="Q375" s="90" t="s">
        <v>85</v>
      </c>
      <c r="R375" s="90" t="str">
        <f>IF(P375&gt;20000000,"B","A")</f>
        <v>A</v>
      </c>
      <c r="S375" s="90" t="s">
        <v>90</v>
      </c>
      <c r="T375" s="90" t="s">
        <v>119</v>
      </c>
      <c r="U375" s="90" t="s">
        <v>119</v>
      </c>
      <c r="V375" s="90" t="s">
        <v>119</v>
      </c>
      <c r="W375" s="90" t="s">
        <v>119</v>
      </c>
      <c r="X375" s="90" t="s">
        <v>119</v>
      </c>
      <c r="Y375" s="90" t="s">
        <v>119</v>
      </c>
      <c r="Z375" s="90" t="s">
        <v>119</v>
      </c>
      <c r="AA375" s="90" t="s">
        <v>119</v>
      </c>
      <c r="AB375" s="90" t="s">
        <v>119</v>
      </c>
      <c r="AC375" s="90" t="s">
        <v>119</v>
      </c>
      <c r="AD375" s="90" t="s">
        <v>119</v>
      </c>
      <c r="AE375" s="24">
        <v>0</v>
      </c>
      <c r="AF375" s="90">
        <v>0</v>
      </c>
      <c r="AG375" s="24">
        <v>0</v>
      </c>
      <c r="AH375" s="90">
        <v>90187</v>
      </c>
      <c r="AI375" s="24" t="s">
        <v>94</v>
      </c>
      <c r="AJ375" s="24" t="s">
        <v>1165</v>
      </c>
      <c r="AK375" s="90" t="s">
        <v>85</v>
      </c>
      <c r="AL375" s="90">
        <v>210120</v>
      </c>
      <c r="AM375" s="90" t="s">
        <v>81</v>
      </c>
      <c r="AN375" s="90" t="s">
        <v>1162</v>
      </c>
      <c r="AO375" s="125" t="s">
        <v>791</v>
      </c>
      <c r="AP375" s="24" t="s">
        <v>254</v>
      </c>
      <c r="AQ375" s="90" t="s">
        <v>1164</v>
      </c>
      <c r="AR375" s="24" t="s">
        <v>254</v>
      </c>
      <c r="AS375" s="90" t="s">
        <v>119</v>
      </c>
      <c r="AT375" s="24" t="s">
        <v>94</v>
      </c>
      <c r="AU375" s="90" t="s">
        <v>119</v>
      </c>
      <c r="AV375" s="90" t="str">
        <f>IF(ISNUMBER(SEARCH("disagree",AE375)),"N","Y")</f>
        <v>Y</v>
      </c>
      <c r="AW375" s="90" t="s">
        <v>119</v>
      </c>
      <c r="AX375" s="24" t="s">
        <v>119</v>
      </c>
      <c r="AY375" s="90" t="str">
        <f>CONCATENATE(AZ375,BA375,BB375,BC375)</f>
        <v/>
      </c>
      <c r="AZ375" s="90" t="str">
        <f>IF(ISNUMBER(SEARCH("Y",AC375)),"R","")</f>
        <v/>
      </c>
      <c r="BA375" s="90" t="str">
        <f>IF(ISNUMBER(SEARCH("Y",Y375)),"M","")</f>
        <v/>
      </c>
      <c r="BB375" s="90" t="str">
        <f>IF(ISNUMBER(SEARCH("Y",AB375)),"QC","")</f>
        <v/>
      </c>
      <c r="BC375" s="90" t="str">
        <f>IF(ISNUMBER(SEARCH("Y",Z375)),"S","")</f>
        <v/>
      </c>
      <c r="BD375" s="90"/>
      <c r="BE375" s="24" t="s">
        <v>119</v>
      </c>
      <c r="BF375" s="125" t="str">
        <f>IF(AND(AW375&gt;=56543,AW375&lt;=76543,LEN(AW375)&gt;0),"3 Feb 2020",IF(AND(AW375&gt;=66544,AW375&lt;=99999,LEN(AW375)&gt;0),"12 Sep 2020",""))</f>
        <v/>
      </c>
      <c r="BG375" s="125" t="str">
        <f>IF((AND(BF375="3 Feb 2020",LEN(BF375)&gt;0)),"Completed",IF((AND(BF375="12 Sep 2020",LEN(BF375)&gt;0)),"Pending",""))</f>
        <v/>
      </c>
      <c r="BH375" s="90" t="str">
        <f>IF((AND(BF375="3 Feb 2020",LEN(BF375)&gt;0)),"3 Feb 2020","")</f>
        <v/>
      </c>
      <c r="BI375" s="90">
        <v>210120</v>
      </c>
      <c r="BJ375" s="90" t="str">
        <f>L375</f>
        <v>5C70ES88902-78</v>
      </c>
      <c r="BK375" s="127">
        <v>43508</v>
      </c>
      <c r="BL375" s="127">
        <v>44239</v>
      </c>
      <c r="BM375" s="128">
        <f>P375*1.1</f>
        <v>2544362.7000000002</v>
      </c>
      <c r="BN375" s="129">
        <f>P375*0.9</f>
        <v>2081751.3</v>
      </c>
      <c r="BO375" s="130">
        <f>P375*0.8</f>
        <v>1850445.6</v>
      </c>
      <c r="BP375" s="90">
        <f>IF(Z375="Y",BM375*0.4,BM375*1.05)</f>
        <v>2671580.8350000004</v>
      </c>
      <c r="BQ375" s="90">
        <f>BP375*0.8</f>
        <v>2137264.6680000005</v>
      </c>
      <c r="BR375" s="90" t="str">
        <f>IF(ISNUMBER(SEARCH("subrecipient",AI371)),P375*0.6,"")</f>
        <v/>
      </c>
      <c r="BS375" s="90">
        <v>210120</v>
      </c>
      <c r="BT375" s="90" t="str">
        <f>BJ375</f>
        <v>5C70ES88902-78</v>
      </c>
      <c r="BU375" s="127">
        <f>BK375</f>
        <v>43508</v>
      </c>
      <c r="BV375" s="127">
        <f>BL375</f>
        <v>44239</v>
      </c>
      <c r="BW375" s="90" t="str">
        <f>H375</f>
        <v>ACF</v>
      </c>
      <c r="BX375" s="90" t="str">
        <f>IF(H375="NATIONAL HEMOPHILIA FOUNDATION","Non Federal","Federal")</f>
        <v>Federal</v>
      </c>
      <c r="BY375" s="128">
        <f>BM375</f>
        <v>2544362.7000000002</v>
      </c>
      <c r="BZ375" s="90" t="str">
        <f>IF(LEN(BR375)&gt;0,1,"")</f>
        <v/>
      </c>
      <c r="CA375" s="90" t="str">
        <f>IF(LEN(BR375)&gt;0,"VIRAL HEPATITIS PROJECT","")</f>
        <v/>
      </c>
      <c r="CB375" s="129" t="str">
        <f>IF(LEN(BR375)&gt;0,BM375*0.7,"")</f>
        <v/>
      </c>
      <c r="CC375" s="90">
        <f>BP375</f>
        <v>2671580.8350000004</v>
      </c>
      <c r="CD375" s="90" t="str">
        <f>IF(LEN(BR375)&gt;0,"70%","")</f>
        <v/>
      </c>
      <c r="CE375" s="90">
        <f>BS375</f>
        <v>210120</v>
      </c>
      <c r="CF375" s="90" t="str">
        <f>CA375</f>
        <v/>
      </c>
      <c r="CG375" s="90"/>
      <c r="CH375" s="90"/>
      <c r="CI375" s="90"/>
      <c r="CJ375" s="90"/>
      <c r="CK375" s="90"/>
      <c r="CL375" s="90"/>
      <c r="CM375" s="90"/>
      <c r="CN375" s="90"/>
      <c r="CO375" s="90"/>
      <c r="CP375" s="90"/>
      <c r="CQ375" s="90"/>
      <c r="CR375" s="90"/>
      <c r="CS375" s="90"/>
      <c r="CT375" s="137"/>
    </row>
    <row r="376" spans="1:98" ht="30">
      <c r="A376" s="89">
        <v>210120</v>
      </c>
      <c r="B376" s="90">
        <v>2020</v>
      </c>
      <c r="C376" s="90" t="s">
        <v>81</v>
      </c>
      <c r="D376" s="90" t="s">
        <v>1162</v>
      </c>
      <c r="E376" s="125" t="s">
        <v>793</v>
      </c>
      <c r="F376" s="24" t="s">
        <v>1163</v>
      </c>
      <c r="G376" s="90" t="s">
        <v>85</v>
      </c>
      <c r="H376" s="90" t="s">
        <v>150</v>
      </c>
      <c r="I376" s="90">
        <v>93</v>
      </c>
      <c r="J376" s="90">
        <v>157</v>
      </c>
      <c r="K376" s="90" t="s">
        <v>85</v>
      </c>
      <c r="L376" s="90" t="s">
        <v>1164</v>
      </c>
      <c r="M376" s="90" t="s">
        <v>119</v>
      </c>
      <c r="N376" s="24" t="s">
        <v>254</v>
      </c>
      <c r="O376" s="24" t="str">
        <f>IF(ISNUMBER(SEARCH("Cancer",N376)),"Cancer",IF(ISNUMBER(SEARCH("health",N376)),"Public health",IF(ISNUMBER(SEARCH("disabilities",N376)),"Disabilities","Other")))</f>
        <v>Other</v>
      </c>
      <c r="P376" s="126">
        <v>2313057</v>
      </c>
      <c r="Q376" s="90" t="s">
        <v>85</v>
      </c>
      <c r="R376" s="90" t="str">
        <f>IF(P376&gt;20000000,"B","A")</f>
        <v>A</v>
      </c>
      <c r="S376" s="90" t="s">
        <v>90</v>
      </c>
      <c r="T376" s="90" t="s">
        <v>119</v>
      </c>
      <c r="U376" s="90" t="s">
        <v>119</v>
      </c>
      <c r="V376" s="90" t="s">
        <v>119</v>
      </c>
      <c r="W376" s="90" t="s">
        <v>119</v>
      </c>
      <c r="X376" s="90" t="s">
        <v>119</v>
      </c>
      <c r="Y376" s="90" t="s">
        <v>119</v>
      </c>
      <c r="Z376" s="90" t="s">
        <v>119</v>
      </c>
      <c r="AA376" s="90" t="s">
        <v>119</v>
      </c>
      <c r="AB376" s="90" t="s">
        <v>119</v>
      </c>
      <c r="AC376" s="90" t="s">
        <v>119</v>
      </c>
      <c r="AD376" s="90" t="s">
        <v>119</v>
      </c>
      <c r="AE376" s="24">
        <v>0</v>
      </c>
      <c r="AF376" s="90">
        <v>0</v>
      </c>
      <c r="AG376" s="24">
        <v>0</v>
      </c>
      <c r="AH376" s="90">
        <v>90188</v>
      </c>
      <c r="AI376" s="24" t="s">
        <v>102</v>
      </c>
      <c r="AJ376" s="24" t="s">
        <v>103</v>
      </c>
      <c r="AK376" s="90" t="s">
        <v>85</v>
      </c>
      <c r="AL376" s="90">
        <v>210120</v>
      </c>
      <c r="AM376" s="90" t="s">
        <v>81</v>
      </c>
      <c r="AN376" s="90" t="s">
        <v>1162</v>
      </c>
      <c r="AO376" s="125" t="s">
        <v>793</v>
      </c>
      <c r="AP376" s="24" t="s">
        <v>254</v>
      </c>
      <c r="AQ376" s="90" t="s">
        <v>1164</v>
      </c>
      <c r="AR376" s="24" t="s">
        <v>254</v>
      </c>
      <c r="AS376" s="90" t="s">
        <v>119</v>
      </c>
      <c r="AT376" s="24" t="s">
        <v>102</v>
      </c>
      <c r="AU376" s="90" t="s">
        <v>119</v>
      </c>
      <c r="AV376" s="90" t="str">
        <f>IF(ISNUMBER(SEARCH("disagree",AE376)),"N","Y")</f>
        <v>Y</v>
      </c>
      <c r="AW376" s="90" t="s">
        <v>119</v>
      </c>
      <c r="AX376" s="24" t="s">
        <v>119</v>
      </c>
      <c r="AY376" s="90" t="str">
        <f>CONCATENATE(AZ376,BA376,BB376,BC376)</f>
        <v/>
      </c>
      <c r="AZ376" s="90" t="str">
        <f>IF(ISNUMBER(SEARCH("Y",AC376)),"R","")</f>
        <v/>
      </c>
      <c r="BA376" s="90" t="str">
        <f>IF(ISNUMBER(SEARCH("Y",Y376)),"M","")</f>
        <v/>
      </c>
      <c r="BB376" s="90" t="str">
        <f>IF(ISNUMBER(SEARCH("Y",AB376)),"QC","")</f>
        <v/>
      </c>
      <c r="BC376" s="90" t="str">
        <f>IF(ISNUMBER(SEARCH("Y",Z376)),"S","")</f>
        <v/>
      </c>
      <c r="BD376" s="90"/>
      <c r="BE376" s="24" t="s">
        <v>119</v>
      </c>
      <c r="BF376" s="125" t="str">
        <f>IF(AND(AW376&gt;=56543,AW376&lt;=76543,LEN(AW376)&gt;0),"3 Feb 2020",IF(AND(AW376&gt;=66544,AW376&lt;=99999,LEN(AW376)&gt;0),"12 Sep 2020",""))</f>
        <v/>
      </c>
      <c r="BG376" s="125" t="str">
        <f>IF((AND(BF376="3 Feb 2020",LEN(BF376)&gt;0)),"Completed",IF((AND(BF376="12 Sep 2020",LEN(BF376)&gt;0)),"Pending",""))</f>
        <v/>
      </c>
      <c r="BH376" s="90" t="str">
        <f>IF((AND(BF376="3 Feb 2020",LEN(BF376)&gt;0)),"3 Feb 2020","")</f>
        <v/>
      </c>
      <c r="BI376" s="90">
        <v>210120</v>
      </c>
      <c r="BJ376" s="90" t="str">
        <f>L376</f>
        <v>5C70ES88902-78</v>
      </c>
      <c r="BK376" s="127">
        <v>43508</v>
      </c>
      <c r="BL376" s="127">
        <v>44239</v>
      </c>
      <c r="BM376" s="128">
        <f>P376*1.1</f>
        <v>2544362.7000000002</v>
      </c>
      <c r="BN376" s="129">
        <f>P376*0.9</f>
        <v>2081751.3</v>
      </c>
      <c r="BO376" s="130">
        <f>P376*0.8</f>
        <v>1850445.6</v>
      </c>
      <c r="BP376" s="90">
        <f>IF(Z376="Y",BM376*0.4,BM376*1.05)</f>
        <v>2671580.8350000004</v>
      </c>
      <c r="BQ376" s="90">
        <f>BP376*0.8</f>
        <v>2137264.6680000005</v>
      </c>
      <c r="BR376" s="90" t="str">
        <f>IF(ISNUMBER(SEARCH("subrecipient",AI372)),P376*0.6,"")</f>
        <v/>
      </c>
      <c r="BS376" s="90">
        <v>210120</v>
      </c>
      <c r="BT376" s="90" t="str">
        <f>BJ376</f>
        <v>5C70ES88902-78</v>
      </c>
      <c r="BU376" s="127">
        <f>BK376</f>
        <v>43508</v>
      </c>
      <c r="BV376" s="127">
        <f>BL376</f>
        <v>44239</v>
      </c>
      <c r="BW376" s="90" t="str">
        <f>H376</f>
        <v>ACF</v>
      </c>
      <c r="BX376" s="90" t="str">
        <f>IF(H376="NATIONAL HEMOPHILIA FOUNDATION","Non Federal","Federal")</f>
        <v>Federal</v>
      </c>
      <c r="BY376" s="128">
        <f>BM376</f>
        <v>2544362.7000000002</v>
      </c>
      <c r="BZ376" s="90" t="str">
        <f>IF(LEN(BR376)&gt;0,1,"")</f>
        <v/>
      </c>
      <c r="CA376" s="90" t="str">
        <f>IF(LEN(BR376)&gt;0,"VIRAL HEPATITIS PROJECT","")</f>
        <v/>
      </c>
      <c r="CB376" s="129" t="str">
        <f>IF(LEN(BR376)&gt;0,BM376*0.7,"")</f>
        <v/>
      </c>
      <c r="CC376" s="90">
        <f>BP376</f>
        <v>2671580.8350000004</v>
      </c>
      <c r="CD376" s="90" t="str">
        <f>IF(LEN(BR376)&gt;0,"70%","")</f>
        <v/>
      </c>
      <c r="CE376" s="90">
        <f>BS376</f>
        <v>210120</v>
      </c>
      <c r="CF376" s="90" t="str">
        <f>CA376</f>
        <v/>
      </c>
      <c r="CG376" s="90"/>
      <c r="CH376" s="90"/>
      <c r="CI376" s="90"/>
      <c r="CJ376" s="90"/>
      <c r="CK376" s="90"/>
      <c r="CL376" s="90"/>
      <c r="CM376" s="90"/>
      <c r="CN376" s="90"/>
      <c r="CO376" s="90"/>
      <c r="CP376" s="90"/>
      <c r="CQ376" s="90"/>
      <c r="CR376" s="90"/>
      <c r="CS376" s="90"/>
      <c r="CT376" s="137"/>
    </row>
    <row r="377" spans="1:98" ht="60">
      <c r="A377" s="89">
        <v>210998</v>
      </c>
      <c r="B377" s="90">
        <v>2020</v>
      </c>
      <c r="C377" s="90" t="s">
        <v>81</v>
      </c>
      <c r="D377" s="90" t="s">
        <v>1166</v>
      </c>
      <c r="E377" s="125" t="s">
        <v>780</v>
      </c>
      <c r="F377" s="24" t="s">
        <v>1167</v>
      </c>
      <c r="G377" s="90" t="s">
        <v>85</v>
      </c>
      <c r="H377" s="90" t="s">
        <v>86</v>
      </c>
      <c r="I377" s="90">
        <v>93</v>
      </c>
      <c r="J377" s="90">
        <v>157</v>
      </c>
      <c r="K377" s="90" t="s">
        <v>85</v>
      </c>
      <c r="L377" s="90" t="s">
        <v>1168</v>
      </c>
      <c r="M377" s="90" t="s">
        <v>119</v>
      </c>
      <c r="N377" s="24" t="s">
        <v>603</v>
      </c>
      <c r="O377" s="24" t="str">
        <f>IF(ISNUMBER(SEARCH("Cancer",N377)),"Cancer",IF(ISNUMBER(SEARCH("health",N377)),"Public health",IF(ISNUMBER(SEARCH("disabilities",N377)),"Disabilities","Other")))</f>
        <v>Public health</v>
      </c>
      <c r="P377" s="126">
        <v>2449964</v>
      </c>
      <c r="Q377" s="90" t="s">
        <v>85</v>
      </c>
      <c r="R377" s="90" t="str">
        <f>IF(P377&gt;20000000,"B","A")</f>
        <v>A</v>
      </c>
      <c r="S377" s="90" t="s">
        <v>90</v>
      </c>
      <c r="T377" s="90" t="s">
        <v>119</v>
      </c>
      <c r="U377" s="90" t="s">
        <v>119</v>
      </c>
      <c r="V377" s="90" t="s">
        <v>119</v>
      </c>
      <c r="W377" s="90" t="s">
        <v>119</v>
      </c>
      <c r="X377" s="90" t="s">
        <v>119</v>
      </c>
      <c r="Y377" s="90" t="s">
        <v>119</v>
      </c>
      <c r="Z377" s="90" t="s">
        <v>119</v>
      </c>
      <c r="AA377" s="90" t="s">
        <v>119</v>
      </c>
      <c r="AB377" s="90" t="s">
        <v>119</v>
      </c>
      <c r="AC377" s="90" t="s">
        <v>119</v>
      </c>
      <c r="AD377" s="90" t="s">
        <v>119</v>
      </c>
      <c r="AE377" s="24">
        <v>0</v>
      </c>
      <c r="AF377" s="90">
        <v>0</v>
      </c>
      <c r="AG377" s="24">
        <v>0</v>
      </c>
      <c r="AH377" s="90">
        <v>86068</v>
      </c>
      <c r="AI377" s="24" t="s">
        <v>94</v>
      </c>
      <c r="AJ377" s="24" t="s">
        <v>1169</v>
      </c>
      <c r="AK377" s="90" t="s">
        <v>85</v>
      </c>
      <c r="AL377" s="90">
        <v>210998</v>
      </c>
      <c r="AM377" s="90" t="s">
        <v>81</v>
      </c>
      <c r="AN377" s="90" t="s">
        <v>1166</v>
      </c>
      <c r="AO377" s="125" t="s">
        <v>780</v>
      </c>
      <c r="AP377" s="24" t="s">
        <v>603</v>
      </c>
      <c r="AQ377" s="90" t="s">
        <v>1168</v>
      </c>
      <c r="AR377" s="24" t="s">
        <v>603</v>
      </c>
      <c r="AS377" s="90" t="s">
        <v>119</v>
      </c>
      <c r="AT377" s="24" t="s">
        <v>94</v>
      </c>
      <c r="AU377" s="90" t="s">
        <v>119</v>
      </c>
      <c r="AV377" s="90" t="str">
        <f>IF(ISNUMBER(SEARCH("disagree",AE377)),"N","Y")</f>
        <v>Y</v>
      </c>
      <c r="AW377" s="90" t="s">
        <v>119</v>
      </c>
      <c r="AX377" s="24" t="s">
        <v>119</v>
      </c>
      <c r="AY377" s="90" t="str">
        <f>CONCATENATE(AZ377,BA377,BB377,BC377)</f>
        <v/>
      </c>
      <c r="AZ377" s="90" t="str">
        <f>IF(ISNUMBER(SEARCH("Y",AC377)),"R","")</f>
        <v/>
      </c>
      <c r="BA377" s="90" t="str">
        <f>IF(ISNUMBER(SEARCH("Y",Y377)),"M","")</f>
        <v/>
      </c>
      <c r="BB377" s="90" t="str">
        <f>IF(ISNUMBER(SEARCH("Y",AB377)),"QC","")</f>
        <v/>
      </c>
      <c r="BC377" s="90" t="str">
        <f>IF(ISNUMBER(SEARCH("Y",Z377)),"S","")</f>
        <v/>
      </c>
      <c r="BD377" s="90"/>
      <c r="BE377" s="24" t="s">
        <v>119</v>
      </c>
      <c r="BF377" s="125" t="str">
        <f>IF(AND(AW377&gt;=56543,AW377&lt;=76543,LEN(AW377)&gt;0),"3 Feb 2020",IF(AND(AW377&gt;=66544,AW377&lt;=99999,LEN(AW377)&gt;0),"12 Sep 2020",""))</f>
        <v/>
      </c>
      <c r="BG377" s="125" t="str">
        <f>IF((AND(BF377="3 Feb 2020",LEN(BF377)&gt;0)),"Completed",IF((AND(BF377="12 Sep 2020",LEN(BF377)&gt;0)),"Pending",""))</f>
        <v/>
      </c>
      <c r="BH377" s="90" t="str">
        <f>IF((AND(BF377="3 Feb 2020",LEN(BF377)&gt;0)),"3 Feb 2020","")</f>
        <v/>
      </c>
      <c r="BI377" s="90">
        <v>210998</v>
      </c>
      <c r="BJ377" s="90" t="str">
        <f>L377</f>
        <v>6C66CS86068-27</v>
      </c>
      <c r="BK377" s="127">
        <v>43508</v>
      </c>
      <c r="BL377" s="127">
        <v>44239</v>
      </c>
      <c r="BM377" s="128">
        <f>P377*1.1</f>
        <v>2694960.4000000004</v>
      </c>
      <c r="BN377" s="129">
        <f>P377*0.9</f>
        <v>2204967.6</v>
      </c>
      <c r="BO377" s="130">
        <f>P377*0.8</f>
        <v>1959971.2000000002</v>
      </c>
      <c r="BP377" s="90">
        <f>IF(Z377="Y",BM377*0.4,BM377*1.05)</f>
        <v>2829708.4200000004</v>
      </c>
      <c r="BQ377" s="90">
        <f>BP377*0.8</f>
        <v>2263766.7360000005</v>
      </c>
      <c r="BR377" s="90" t="str">
        <f>IF(ISNUMBER(SEARCH("subrecipient",AI373)),P377*0.6,"")</f>
        <v/>
      </c>
      <c r="BS377" s="90">
        <v>210998</v>
      </c>
      <c r="BT377" s="90" t="str">
        <f>BJ377</f>
        <v>6C66CS86068-27</v>
      </c>
      <c r="BU377" s="127">
        <f>BK377</f>
        <v>43508</v>
      </c>
      <c r="BV377" s="127">
        <f>BL377</f>
        <v>44239</v>
      </c>
      <c r="BW377" s="90" t="str">
        <f>H377</f>
        <v>CDC</v>
      </c>
      <c r="BX377" s="90" t="str">
        <f>IF(H377="NATIONAL HEMOPHILIA FOUNDATION","Non Federal","Federal")</f>
        <v>Federal</v>
      </c>
      <c r="BY377" s="128">
        <f>BM377</f>
        <v>2694960.4000000004</v>
      </c>
      <c r="BZ377" s="90" t="str">
        <f>IF(LEN(BR377)&gt;0,1,"")</f>
        <v/>
      </c>
      <c r="CA377" s="90" t="str">
        <f>IF(LEN(BR377)&gt;0,"VIRAL HEPATITIS PROJECT","")</f>
        <v/>
      </c>
      <c r="CB377" s="129" t="str">
        <f>IF(LEN(BR377)&gt;0,BM377*0.7,"")</f>
        <v/>
      </c>
      <c r="CC377" s="90">
        <f>BP377</f>
        <v>2829708.4200000004</v>
      </c>
      <c r="CD377" s="90" t="str">
        <f>IF(LEN(BR377)&gt;0,"70%","")</f>
        <v/>
      </c>
      <c r="CE377" s="90">
        <f>BS377</f>
        <v>210998</v>
      </c>
      <c r="CF377" s="90" t="str">
        <f>CA377</f>
        <v/>
      </c>
      <c r="CG377" s="90"/>
      <c r="CH377" s="90"/>
      <c r="CI377" s="90"/>
      <c r="CJ377" s="90"/>
      <c r="CK377" s="90"/>
      <c r="CL377" s="90"/>
      <c r="CM377" s="90"/>
      <c r="CN377" s="90"/>
      <c r="CO377" s="90"/>
      <c r="CP377" s="90"/>
      <c r="CQ377" s="90"/>
      <c r="CR377" s="90"/>
      <c r="CS377" s="90"/>
      <c r="CT377" s="137"/>
    </row>
    <row r="378" spans="1:98" ht="60">
      <c r="A378" s="89">
        <v>210998</v>
      </c>
      <c r="B378" s="90">
        <v>2020</v>
      </c>
      <c r="C378" s="90" t="s">
        <v>81</v>
      </c>
      <c r="D378" s="90" t="s">
        <v>1166</v>
      </c>
      <c r="E378" s="125" t="s">
        <v>781</v>
      </c>
      <c r="F378" s="24" t="s">
        <v>1167</v>
      </c>
      <c r="G378" s="90" t="s">
        <v>85</v>
      </c>
      <c r="H378" s="90" t="s">
        <v>86</v>
      </c>
      <c r="I378" s="90">
        <v>93</v>
      </c>
      <c r="J378" s="90">
        <v>157</v>
      </c>
      <c r="K378" s="90" t="s">
        <v>85</v>
      </c>
      <c r="L378" s="90" t="s">
        <v>1168</v>
      </c>
      <c r="M378" s="90" t="s">
        <v>119</v>
      </c>
      <c r="N378" s="24" t="s">
        <v>603</v>
      </c>
      <c r="O378" s="24" t="str">
        <f>IF(ISNUMBER(SEARCH("Cancer",N378)),"Cancer",IF(ISNUMBER(SEARCH("health",N378)),"Public health",IF(ISNUMBER(SEARCH("disabilities",N378)),"Disabilities","Other")))</f>
        <v>Public health</v>
      </c>
      <c r="P378" s="126">
        <v>2449964</v>
      </c>
      <c r="Q378" s="90" t="s">
        <v>85</v>
      </c>
      <c r="R378" s="90" t="str">
        <f>IF(P378&gt;20000000,"B","A")</f>
        <v>A</v>
      </c>
      <c r="S378" s="90" t="s">
        <v>90</v>
      </c>
      <c r="T378" s="90" t="s">
        <v>119</v>
      </c>
      <c r="U378" s="90" t="s">
        <v>119</v>
      </c>
      <c r="V378" s="90" t="s">
        <v>119</v>
      </c>
      <c r="W378" s="90" t="s">
        <v>119</v>
      </c>
      <c r="X378" s="90" t="s">
        <v>119</v>
      </c>
      <c r="Y378" s="90" t="s">
        <v>119</v>
      </c>
      <c r="Z378" s="90" t="s">
        <v>119</v>
      </c>
      <c r="AA378" s="90" t="s">
        <v>119</v>
      </c>
      <c r="AB378" s="90" t="s">
        <v>119</v>
      </c>
      <c r="AC378" s="90" t="s">
        <v>119</v>
      </c>
      <c r="AD378" s="90" t="s">
        <v>119</v>
      </c>
      <c r="AE378" s="24">
        <v>0</v>
      </c>
      <c r="AF378" s="90">
        <v>0</v>
      </c>
      <c r="AG378" s="24">
        <v>0</v>
      </c>
      <c r="AH378" s="90">
        <v>86067</v>
      </c>
      <c r="AI378" s="24" t="s">
        <v>102</v>
      </c>
      <c r="AJ378" s="24" t="s">
        <v>103</v>
      </c>
      <c r="AK378" s="90" t="s">
        <v>85</v>
      </c>
      <c r="AL378" s="90">
        <v>210998</v>
      </c>
      <c r="AM378" s="90" t="s">
        <v>81</v>
      </c>
      <c r="AN378" s="90" t="s">
        <v>1166</v>
      </c>
      <c r="AO378" s="125" t="s">
        <v>781</v>
      </c>
      <c r="AP378" s="24" t="s">
        <v>603</v>
      </c>
      <c r="AQ378" s="90" t="s">
        <v>1168</v>
      </c>
      <c r="AR378" s="24" t="s">
        <v>603</v>
      </c>
      <c r="AS378" s="90" t="s">
        <v>119</v>
      </c>
      <c r="AT378" s="24" t="s">
        <v>102</v>
      </c>
      <c r="AU378" s="90" t="s">
        <v>119</v>
      </c>
      <c r="AV378" s="90" t="str">
        <f>IF(ISNUMBER(SEARCH("disagree",AE378)),"N","Y")</f>
        <v>Y</v>
      </c>
      <c r="AW378" s="90" t="s">
        <v>119</v>
      </c>
      <c r="AX378" s="24" t="s">
        <v>119</v>
      </c>
      <c r="AY378" s="90" t="str">
        <f>CONCATENATE(AZ378,BA378,BB378,BC378)</f>
        <v/>
      </c>
      <c r="AZ378" s="90" t="str">
        <f>IF(ISNUMBER(SEARCH("Y",AC378)),"R","")</f>
        <v/>
      </c>
      <c r="BA378" s="90" t="str">
        <f>IF(ISNUMBER(SEARCH("Y",Y378)),"M","")</f>
        <v/>
      </c>
      <c r="BB378" s="90" t="str">
        <f>IF(ISNUMBER(SEARCH("Y",AB378)),"QC","")</f>
        <v/>
      </c>
      <c r="BC378" s="90" t="str">
        <f>IF(ISNUMBER(SEARCH("Y",Z378)),"S","")</f>
        <v/>
      </c>
      <c r="BD378" s="90"/>
      <c r="BE378" s="24" t="s">
        <v>119</v>
      </c>
      <c r="BF378" s="125" t="str">
        <f>IF(AND(AW378&gt;=56543,AW378&lt;=76543,LEN(AW378)&gt;0),"3 Feb 2020",IF(AND(AW378&gt;=66544,AW378&lt;=99999,LEN(AW378)&gt;0),"12 Sep 2020",""))</f>
        <v/>
      </c>
      <c r="BG378" s="125" t="str">
        <f>IF((AND(BF378="3 Feb 2020",LEN(BF378)&gt;0)),"Completed",IF((AND(BF378="12 Sep 2020",LEN(BF378)&gt;0)),"Pending",""))</f>
        <v/>
      </c>
      <c r="BH378" s="90" t="str">
        <f>IF((AND(BF378="3 Feb 2020",LEN(BF378)&gt;0)),"3 Feb 2020","")</f>
        <v/>
      </c>
      <c r="BI378" s="90">
        <v>210998</v>
      </c>
      <c r="BJ378" s="90" t="str">
        <f>L378</f>
        <v>6C66CS86068-27</v>
      </c>
      <c r="BK378" s="127">
        <v>43508</v>
      </c>
      <c r="BL378" s="127">
        <v>44239</v>
      </c>
      <c r="BM378" s="128">
        <f>P378*1.1</f>
        <v>2694960.4000000004</v>
      </c>
      <c r="BN378" s="129">
        <f>P378*0.9</f>
        <v>2204967.6</v>
      </c>
      <c r="BO378" s="130">
        <f>P378*0.8</f>
        <v>1959971.2000000002</v>
      </c>
      <c r="BP378" s="90">
        <f>IF(Z378="Y",BM378*0.4,BM378*1.05)</f>
        <v>2829708.4200000004</v>
      </c>
      <c r="BQ378" s="90">
        <f>BP378*0.8</f>
        <v>2263766.7360000005</v>
      </c>
      <c r="BR378" s="90" t="str">
        <f>IF(ISNUMBER(SEARCH("subrecipient",AI374)),P378*0.6,"")</f>
        <v/>
      </c>
      <c r="BS378" s="90">
        <v>210998</v>
      </c>
      <c r="BT378" s="90" t="str">
        <f>BJ378</f>
        <v>6C66CS86068-27</v>
      </c>
      <c r="BU378" s="127">
        <f>BK378</f>
        <v>43508</v>
      </c>
      <c r="BV378" s="127">
        <f>BL378</f>
        <v>44239</v>
      </c>
      <c r="BW378" s="90" t="str">
        <f>H378</f>
        <v>CDC</v>
      </c>
      <c r="BX378" s="90" t="str">
        <f>IF(H378="NATIONAL HEMOPHILIA FOUNDATION","Non Federal","Federal")</f>
        <v>Federal</v>
      </c>
      <c r="BY378" s="128">
        <f>BM378</f>
        <v>2694960.4000000004</v>
      </c>
      <c r="BZ378" s="90" t="str">
        <f>IF(LEN(BR378)&gt;0,1,"")</f>
        <v/>
      </c>
      <c r="CA378" s="90" t="str">
        <f>IF(LEN(BR378)&gt;0,"VIRAL HEPATITIS PROJECT","")</f>
        <v/>
      </c>
      <c r="CB378" s="129" t="str">
        <f>IF(LEN(BR378)&gt;0,BM378*0.7,"")</f>
        <v/>
      </c>
      <c r="CC378" s="90">
        <f>BP378</f>
        <v>2829708.4200000004</v>
      </c>
      <c r="CD378" s="90" t="str">
        <f>IF(LEN(BR378)&gt;0,"70%","")</f>
        <v/>
      </c>
      <c r="CE378" s="90">
        <f>BS378</f>
        <v>210998</v>
      </c>
      <c r="CF378" s="90" t="str">
        <f>CA378</f>
        <v/>
      </c>
      <c r="CG378" s="90"/>
      <c r="CH378" s="90"/>
      <c r="CI378" s="90"/>
      <c r="CJ378" s="90"/>
      <c r="CK378" s="90"/>
      <c r="CL378" s="90"/>
      <c r="CM378" s="90"/>
      <c r="CN378" s="90"/>
      <c r="CO378" s="90"/>
      <c r="CP378" s="90"/>
      <c r="CQ378" s="90"/>
      <c r="CR378" s="90"/>
      <c r="CS378" s="90"/>
      <c r="CT378" s="137"/>
    </row>
    <row r="379" spans="1:98" ht="60">
      <c r="A379" s="89">
        <v>210998</v>
      </c>
      <c r="B379" s="90">
        <v>2020</v>
      </c>
      <c r="C379" s="90" t="s">
        <v>81</v>
      </c>
      <c r="D379" s="90" t="s">
        <v>1166</v>
      </c>
      <c r="E379" s="125" t="s">
        <v>784</v>
      </c>
      <c r="F379" s="24" t="s">
        <v>1167</v>
      </c>
      <c r="G379" s="90" t="s">
        <v>85</v>
      </c>
      <c r="H379" s="90" t="s">
        <v>86</v>
      </c>
      <c r="I379" s="90">
        <v>93</v>
      </c>
      <c r="J379" s="90">
        <v>157</v>
      </c>
      <c r="K379" s="90" t="s">
        <v>85</v>
      </c>
      <c r="L379" s="90" t="s">
        <v>1168</v>
      </c>
      <c r="M379" s="90" t="s">
        <v>119</v>
      </c>
      <c r="N379" s="24" t="s">
        <v>603</v>
      </c>
      <c r="O379" s="24" t="str">
        <f>IF(ISNUMBER(SEARCH("Cancer",N379)),"Cancer",IF(ISNUMBER(SEARCH("health",N379)),"Public health",IF(ISNUMBER(SEARCH("disabilities",N379)),"Disabilities","Other")))</f>
        <v>Public health</v>
      </c>
      <c r="P379" s="126">
        <v>2449964</v>
      </c>
      <c r="Q379" s="90" t="s">
        <v>85</v>
      </c>
      <c r="R379" s="90" t="str">
        <f>IF(P379&gt;20000000,"B","A")</f>
        <v>A</v>
      </c>
      <c r="S379" s="90" t="s">
        <v>90</v>
      </c>
      <c r="T379" s="90" t="s">
        <v>119</v>
      </c>
      <c r="U379" s="90" t="s">
        <v>119</v>
      </c>
      <c r="V379" s="90" t="s">
        <v>119</v>
      </c>
      <c r="W379" s="90" t="s">
        <v>119</v>
      </c>
      <c r="X379" s="90" t="s">
        <v>119</v>
      </c>
      <c r="Y379" s="90" t="s">
        <v>119</v>
      </c>
      <c r="Z379" s="90" t="s">
        <v>119</v>
      </c>
      <c r="AA379" s="90" t="s">
        <v>119</v>
      </c>
      <c r="AB379" s="90" t="s">
        <v>119</v>
      </c>
      <c r="AC379" s="90" t="s">
        <v>119</v>
      </c>
      <c r="AD379" s="90" t="s">
        <v>119</v>
      </c>
      <c r="AE379" s="24">
        <v>0</v>
      </c>
      <c r="AF379" s="90">
        <v>0</v>
      </c>
      <c r="AG379" s="24">
        <v>0</v>
      </c>
      <c r="AH379" s="90">
        <v>86069</v>
      </c>
      <c r="AI379" s="24" t="s">
        <v>110</v>
      </c>
      <c r="AJ379" s="24" t="s">
        <v>1170</v>
      </c>
      <c r="AK379" s="90" t="s">
        <v>85</v>
      </c>
      <c r="AL379" s="90">
        <v>210998</v>
      </c>
      <c r="AM379" s="90" t="s">
        <v>81</v>
      </c>
      <c r="AN379" s="90" t="s">
        <v>1166</v>
      </c>
      <c r="AO379" s="125" t="s">
        <v>784</v>
      </c>
      <c r="AP379" s="24" t="s">
        <v>603</v>
      </c>
      <c r="AQ379" s="90" t="s">
        <v>1168</v>
      </c>
      <c r="AR379" s="24" t="s">
        <v>603</v>
      </c>
      <c r="AS379" s="90" t="s">
        <v>119</v>
      </c>
      <c r="AT379" s="24" t="s">
        <v>110</v>
      </c>
      <c r="AU379" s="90" t="s">
        <v>119</v>
      </c>
      <c r="AV379" s="90" t="str">
        <f>IF(ISNUMBER(SEARCH("disagree",AE379)),"N","Y")</f>
        <v>Y</v>
      </c>
      <c r="AW379" s="90" t="s">
        <v>119</v>
      </c>
      <c r="AX379" s="24" t="s">
        <v>119</v>
      </c>
      <c r="AY379" s="90" t="str">
        <f>CONCATENATE(AZ379,BA379,BB379,BC379)</f>
        <v/>
      </c>
      <c r="AZ379" s="90" t="str">
        <f>IF(ISNUMBER(SEARCH("Y",AC379)),"R","")</f>
        <v/>
      </c>
      <c r="BA379" s="90" t="str">
        <f>IF(ISNUMBER(SEARCH("Y",Y379)),"M","")</f>
        <v/>
      </c>
      <c r="BB379" s="90" t="str">
        <f>IF(ISNUMBER(SEARCH("Y",AB379)),"QC","")</f>
        <v/>
      </c>
      <c r="BC379" s="90" t="str">
        <f>IF(ISNUMBER(SEARCH("Y",Z379)),"S","")</f>
        <v/>
      </c>
      <c r="BD379" s="90"/>
      <c r="BE379" s="24" t="s">
        <v>119</v>
      </c>
      <c r="BF379" s="125" t="str">
        <f>IF(AND(AW379&gt;=56543,AW379&lt;=76543,LEN(AW379)&gt;0),"3 Feb 2020",IF(AND(AW379&gt;=66544,AW379&lt;=99999,LEN(AW379)&gt;0),"12 Sep 2020",""))</f>
        <v/>
      </c>
      <c r="BG379" s="125" t="str">
        <f>IF((AND(BF379="3 Feb 2020",LEN(BF379)&gt;0)),"Completed",IF((AND(BF379="12 Sep 2020",LEN(BF379)&gt;0)),"Pending",""))</f>
        <v/>
      </c>
      <c r="BH379" s="90" t="str">
        <f>IF((AND(BF379="3 Feb 2020",LEN(BF379)&gt;0)),"3 Feb 2020","")</f>
        <v/>
      </c>
      <c r="BI379" s="90">
        <v>210998</v>
      </c>
      <c r="BJ379" s="90" t="str">
        <f>L379</f>
        <v>6C66CS86068-27</v>
      </c>
      <c r="BK379" s="127">
        <v>43508</v>
      </c>
      <c r="BL379" s="127">
        <v>44239</v>
      </c>
      <c r="BM379" s="128">
        <f>P379*1.1</f>
        <v>2694960.4000000004</v>
      </c>
      <c r="BN379" s="129">
        <f>P379*0.9</f>
        <v>2204967.6</v>
      </c>
      <c r="BO379" s="130">
        <f>P379*0.8</f>
        <v>1959971.2000000002</v>
      </c>
      <c r="BP379" s="90">
        <f>IF(Z379="Y",BM379*0.4,BM379*1.05)</f>
        <v>2829708.4200000004</v>
      </c>
      <c r="BQ379" s="90">
        <f>BP379*0.8</f>
        <v>2263766.7360000005</v>
      </c>
      <c r="BR379" s="90" t="str">
        <f>IF(ISNUMBER(SEARCH("subrecipient",AI375)),P379*0.6,"")</f>
        <v/>
      </c>
      <c r="BS379" s="90">
        <v>210998</v>
      </c>
      <c r="BT379" s="90" t="str">
        <f>BJ379</f>
        <v>6C66CS86068-27</v>
      </c>
      <c r="BU379" s="127">
        <f>BK379</f>
        <v>43508</v>
      </c>
      <c r="BV379" s="127">
        <f>BL379</f>
        <v>44239</v>
      </c>
      <c r="BW379" s="90" t="str">
        <f>H379</f>
        <v>CDC</v>
      </c>
      <c r="BX379" s="90" t="str">
        <f>IF(H379="NATIONAL HEMOPHILIA FOUNDATION","Non Federal","Federal")</f>
        <v>Federal</v>
      </c>
      <c r="BY379" s="128">
        <f>BM379</f>
        <v>2694960.4000000004</v>
      </c>
      <c r="BZ379" s="90" t="str">
        <f>IF(LEN(BR379)&gt;0,1,"")</f>
        <v/>
      </c>
      <c r="CA379" s="90" t="str">
        <f>IF(LEN(BR379)&gt;0,"VIRAL HEPATITIS PROJECT","")</f>
        <v/>
      </c>
      <c r="CB379" s="129" t="str">
        <f>IF(LEN(BR379)&gt;0,BM379*0.7,"")</f>
        <v/>
      </c>
      <c r="CC379" s="90">
        <f>BP379</f>
        <v>2829708.4200000004</v>
      </c>
      <c r="CD379" s="90" t="str">
        <f>IF(LEN(BR379)&gt;0,"70%","")</f>
        <v/>
      </c>
      <c r="CE379" s="90">
        <f>BS379</f>
        <v>210998</v>
      </c>
      <c r="CF379" s="90" t="str">
        <f>CA379</f>
        <v/>
      </c>
      <c r="CG379" s="90"/>
      <c r="CH379" s="90"/>
      <c r="CI379" s="90"/>
      <c r="CJ379" s="90"/>
      <c r="CK379" s="90"/>
      <c r="CL379" s="90"/>
      <c r="CM379" s="90"/>
      <c r="CN379" s="90"/>
      <c r="CO379" s="90"/>
      <c r="CP379" s="90"/>
      <c r="CQ379" s="90"/>
      <c r="CR379" s="90"/>
      <c r="CS379" s="90"/>
      <c r="CT379" s="137"/>
    </row>
    <row r="380" spans="1:98" ht="105">
      <c r="A380" s="89">
        <v>211960</v>
      </c>
      <c r="B380" s="90">
        <v>2020</v>
      </c>
      <c r="C380" s="90" t="s">
        <v>81</v>
      </c>
      <c r="D380" s="90" t="s">
        <v>1171</v>
      </c>
      <c r="E380" s="125" t="s">
        <v>790</v>
      </c>
      <c r="F380" s="24" t="s">
        <v>1172</v>
      </c>
      <c r="G380" s="90" t="s">
        <v>85</v>
      </c>
      <c r="H380" s="90" t="s">
        <v>117</v>
      </c>
      <c r="I380" s="90">
        <v>93</v>
      </c>
      <c r="J380" s="90">
        <v>157</v>
      </c>
      <c r="K380" s="90" t="s">
        <v>85</v>
      </c>
      <c r="L380" s="90" t="s">
        <v>1173</v>
      </c>
      <c r="M380" s="90" t="s">
        <v>119</v>
      </c>
      <c r="N380" s="24" t="s">
        <v>333</v>
      </c>
      <c r="O380" s="24" t="str">
        <f>IF(ISNUMBER(SEARCH("Cancer",N380)),"Cancer",IF(ISNUMBER(SEARCH("health",N380)),"Public health",IF(ISNUMBER(SEARCH("disabilities",N380)),"Disabilities","Other")))</f>
        <v>Public health</v>
      </c>
      <c r="P380" s="126">
        <v>2728250</v>
      </c>
      <c r="Q380" s="90" t="s">
        <v>85</v>
      </c>
      <c r="R380" s="90" t="str">
        <f>IF(P380&gt;20000000,"B","A")</f>
        <v>A</v>
      </c>
      <c r="S380" s="90" t="s">
        <v>90</v>
      </c>
      <c r="T380" s="90" t="s">
        <v>119</v>
      </c>
      <c r="U380" s="90" t="s">
        <v>119</v>
      </c>
      <c r="V380" s="90" t="s">
        <v>119</v>
      </c>
      <c r="W380" s="90" t="s">
        <v>119</v>
      </c>
      <c r="X380" s="90" t="s">
        <v>119</v>
      </c>
      <c r="Y380" s="90" t="s">
        <v>119</v>
      </c>
      <c r="Z380" s="90" t="s">
        <v>119</v>
      </c>
      <c r="AA380" s="90" t="s">
        <v>119</v>
      </c>
      <c r="AB380" s="90" t="s">
        <v>119</v>
      </c>
      <c r="AC380" s="90" t="s">
        <v>119</v>
      </c>
      <c r="AD380" s="90" t="s">
        <v>119</v>
      </c>
      <c r="AE380" s="24">
        <v>0</v>
      </c>
      <c r="AF380" s="90">
        <v>0</v>
      </c>
      <c r="AG380" s="24">
        <v>0</v>
      </c>
      <c r="AH380" s="90">
        <v>90889</v>
      </c>
      <c r="AI380" s="24" t="s">
        <v>94</v>
      </c>
      <c r="AJ380" s="24" t="s">
        <v>1174</v>
      </c>
      <c r="AK380" s="90" t="s">
        <v>85</v>
      </c>
      <c r="AL380" s="90">
        <v>211960</v>
      </c>
      <c r="AM380" s="90" t="s">
        <v>81</v>
      </c>
      <c r="AN380" s="90" t="s">
        <v>1171</v>
      </c>
      <c r="AO380" s="125" t="s">
        <v>790</v>
      </c>
      <c r="AP380" s="24" t="s">
        <v>333</v>
      </c>
      <c r="AQ380" s="90" t="s">
        <v>1173</v>
      </c>
      <c r="AR380" s="24" t="s">
        <v>333</v>
      </c>
      <c r="AS380" s="90" t="s">
        <v>119</v>
      </c>
      <c r="AT380" s="24" t="s">
        <v>94</v>
      </c>
      <c r="AU380" s="90" t="s">
        <v>119</v>
      </c>
      <c r="AV380" s="90" t="str">
        <f>IF(ISNUMBER(SEARCH("disagree",AE380)),"N","Y")</f>
        <v>Y</v>
      </c>
      <c r="AW380" s="90" t="s">
        <v>119</v>
      </c>
      <c r="AX380" s="24" t="s">
        <v>119</v>
      </c>
      <c r="AY380" s="90" t="str">
        <f>CONCATENATE(AZ380,BA380,BB380,BC380)</f>
        <v/>
      </c>
      <c r="AZ380" s="90" t="str">
        <f>IF(ISNUMBER(SEARCH("Y",AC380)),"R","")</f>
        <v/>
      </c>
      <c r="BA380" s="90" t="str">
        <f>IF(ISNUMBER(SEARCH("Y",Y380)),"M","")</f>
        <v/>
      </c>
      <c r="BB380" s="90" t="str">
        <f>IF(ISNUMBER(SEARCH("Y",AB380)),"QC","")</f>
        <v/>
      </c>
      <c r="BC380" s="90" t="str">
        <f>IF(ISNUMBER(SEARCH("Y",Z380)),"S","")</f>
        <v/>
      </c>
      <c r="BD380" s="90"/>
      <c r="BE380" s="24" t="s">
        <v>119</v>
      </c>
      <c r="BF380" s="125" t="str">
        <f>IF(AND(AW380&gt;=56543,AW380&lt;=76543,LEN(AW380)&gt;0),"3 Feb 2020",IF(AND(AW380&gt;=66544,AW380&lt;=99999,LEN(AW380)&gt;0),"12 Sep 2020",""))</f>
        <v/>
      </c>
      <c r="BG380" s="125" t="str">
        <f>IF((AND(BF380="3 Feb 2020",LEN(BF380)&gt;0)),"Completed",IF((AND(BF380="12 Sep 2020",LEN(BF380)&gt;0)),"Pending",""))</f>
        <v/>
      </c>
      <c r="BH380" s="90" t="str">
        <f>IF((AND(BF380="3 Feb 2020",LEN(BF380)&gt;0)),"3 Feb 2020","")</f>
        <v/>
      </c>
      <c r="BI380" s="90">
        <v>211960</v>
      </c>
      <c r="BJ380" s="90" t="str">
        <f>L380</f>
        <v>3D95IT90888-38</v>
      </c>
      <c r="BK380" s="127">
        <v>43508</v>
      </c>
      <c r="BL380" s="127">
        <v>44239</v>
      </c>
      <c r="BM380" s="128">
        <f>P380*1.1</f>
        <v>3001075.0000000005</v>
      </c>
      <c r="BN380" s="129">
        <f>P380*0.9</f>
        <v>2455425</v>
      </c>
      <c r="BO380" s="130">
        <f>P380*0.8</f>
        <v>2182600</v>
      </c>
      <c r="BP380" s="90">
        <f>IF(Z380="Y",BM380*0.4,BM380*1.05)</f>
        <v>3151128.7500000005</v>
      </c>
      <c r="BQ380" s="90">
        <f>BP380*0.8</f>
        <v>2520903.0000000005</v>
      </c>
      <c r="BR380" s="90" t="str">
        <f>IF(ISNUMBER(SEARCH("subrecipient",AI376)),P380*0.6,"")</f>
        <v/>
      </c>
      <c r="BS380" s="90">
        <v>211960</v>
      </c>
      <c r="BT380" s="90" t="str">
        <f>BJ380</f>
        <v>3D95IT90888-38</v>
      </c>
      <c r="BU380" s="127">
        <f>BK380</f>
        <v>43508</v>
      </c>
      <c r="BV380" s="127">
        <f>BL380</f>
        <v>44239</v>
      </c>
      <c r="BW380" s="90" t="str">
        <f>H380</f>
        <v>NIH</v>
      </c>
      <c r="BX380" s="90" t="str">
        <f>IF(H380="NATIONAL HEMOPHILIA FOUNDATION","Non Federal","Federal")</f>
        <v>Federal</v>
      </c>
      <c r="BY380" s="128">
        <f>BM380</f>
        <v>3001075.0000000005</v>
      </c>
      <c r="BZ380" s="90" t="str">
        <f>IF(LEN(BR380)&gt;0,1,"")</f>
        <v/>
      </c>
      <c r="CA380" s="90" t="str">
        <f>IF(LEN(BR380)&gt;0,"VIRAL HEPATITIS PROJECT","")</f>
        <v/>
      </c>
      <c r="CB380" s="129" t="str">
        <f>IF(LEN(BR380)&gt;0,BM380*0.7,"")</f>
        <v/>
      </c>
      <c r="CC380" s="90">
        <f>BP380</f>
        <v>3151128.7500000005</v>
      </c>
      <c r="CD380" s="90" t="str">
        <f>IF(LEN(BR380)&gt;0,"70%","")</f>
        <v/>
      </c>
      <c r="CE380" s="90">
        <f>BS380</f>
        <v>211960</v>
      </c>
      <c r="CF380" s="90" t="str">
        <f>CA380</f>
        <v/>
      </c>
      <c r="CG380" s="90"/>
      <c r="CH380" s="90"/>
      <c r="CI380" s="90"/>
      <c r="CJ380" s="90"/>
      <c r="CK380" s="90"/>
      <c r="CL380" s="90"/>
      <c r="CM380" s="90"/>
      <c r="CN380" s="90"/>
      <c r="CO380" s="90"/>
      <c r="CP380" s="90"/>
      <c r="CQ380" s="90"/>
      <c r="CR380" s="90"/>
      <c r="CS380" s="90"/>
      <c r="CT380" s="137"/>
    </row>
    <row r="381" spans="1:98" ht="60">
      <c r="A381" s="89">
        <v>211960</v>
      </c>
      <c r="B381" s="90">
        <v>2020</v>
      </c>
      <c r="C381" s="90" t="s">
        <v>81</v>
      </c>
      <c r="D381" s="90" t="s">
        <v>1171</v>
      </c>
      <c r="E381" s="125" t="s">
        <v>791</v>
      </c>
      <c r="F381" s="24" t="s">
        <v>1172</v>
      </c>
      <c r="G381" s="90" t="s">
        <v>85</v>
      </c>
      <c r="H381" s="90" t="s">
        <v>117</v>
      </c>
      <c r="I381" s="90">
        <v>93</v>
      </c>
      <c r="J381" s="90">
        <v>157</v>
      </c>
      <c r="K381" s="90" t="s">
        <v>85</v>
      </c>
      <c r="L381" s="90" t="s">
        <v>1173</v>
      </c>
      <c r="M381" s="90" t="s">
        <v>119</v>
      </c>
      <c r="N381" s="24" t="s">
        <v>333</v>
      </c>
      <c r="O381" s="24" t="str">
        <f>IF(ISNUMBER(SEARCH("Cancer",N381)),"Cancer",IF(ISNUMBER(SEARCH("health",N381)),"Public health",IF(ISNUMBER(SEARCH("disabilities",N381)),"Disabilities","Other")))</f>
        <v>Public health</v>
      </c>
      <c r="P381" s="126">
        <v>2728250</v>
      </c>
      <c r="Q381" s="90" t="s">
        <v>85</v>
      </c>
      <c r="R381" s="90" t="str">
        <f>IF(P381&gt;20000000,"B","A")</f>
        <v>A</v>
      </c>
      <c r="S381" s="90" t="s">
        <v>90</v>
      </c>
      <c r="T381" s="90" t="s">
        <v>119</v>
      </c>
      <c r="U381" s="90" t="s">
        <v>119</v>
      </c>
      <c r="V381" s="90" t="s">
        <v>119</v>
      </c>
      <c r="W381" s="90" t="s">
        <v>119</v>
      </c>
      <c r="X381" s="90" t="s">
        <v>119</v>
      </c>
      <c r="Y381" s="90" t="s">
        <v>119</v>
      </c>
      <c r="Z381" s="90" t="s">
        <v>119</v>
      </c>
      <c r="AA381" s="90" t="s">
        <v>119</v>
      </c>
      <c r="AB381" s="90" t="s">
        <v>119</v>
      </c>
      <c r="AC381" s="90" t="s">
        <v>119</v>
      </c>
      <c r="AD381" s="90" t="s">
        <v>119</v>
      </c>
      <c r="AE381" s="24">
        <v>0</v>
      </c>
      <c r="AF381" s="90">
        <v>0</v>
      </c>
      <c r="AG381" s="24">
        <v>0</v>
      </c>
      <c r="AH381" s="90">
        <v>90888</v>
      </c>
      <c r="AI381" s="24" t="s">
        <v>102</v>
      </c>
      <c r="AJ381" s="24" t="s">
        <v>1175</v>
      </c>
      <c r="AK381" s="90" t="s">
        <v>85</v>
      </c>
      <c r="AL381" s="90">
        <v>211960</v>
      </c>
      <c r="AM381" s="90" t="s">
        <v>81</v>
      </c>
      <c r="AN381" s="90" t="s">
        <v>1171</v>
      </c>
      <c r="AO381" s="125" t="s">
        <v>791</v>
      </c>
      <c r="AP381" s="24" t="s">
        <v>333</v>
      </c>
      <c r="AQ381" s="90" t="s">
        <v>1173</v>
      </c>
      <c r="AR381" s="24" t="s">
        <v>333</v>
      </c>
      <c r="AS381" s="90" t="s">
        <v>119</v>
      </c>
      <c r="AT381" s="24" t="s">
        <v>102</v>
      </c>
      <c r="AU381" s="90" t="s">
        <v>119</v>
      </c>
      <c r="AV381" s="90" t="str">
        <f>IF(ISNUMBER(SEARCH("disagree",AE381)),"N","Y")</f>
        <v>Y</v>
      </c>
      <c r="AW381" s="90" t="s">
        <v>119</v>
      </c>
      <c r="AX381" s="24" t="s">
        <v>119</v>
      </c>
      <c r="AY381" s="90" t="str">
        <f>CONCATENATE(AZ381,BA381,BB381,BC381)</f>
        <v/>
      </c>
      <c r="AZ381" s="90" t="str">
        <f>IF(ISNUMBER(SEARCH("Y",AC381)),"R","")</f>
        <v/>
      </c>
      <c r="BA381" s="90" t="str">
        <f>IF(ISNUMBER(SEARCH("Y",Y381)),"M","")</f>
        <v/>
      </c>
      <c r="BB381" s="90" t="str">
        <f>IF(ISNUMBER(SEARCH("Y",AB381)),"QC","")</f>
        <v/>
      </c>
      <c r="BC381" s="90" t="str">
        <f>IF(ISNUMBER(SEARCH("Y",Z381)),"S","")</f>
        <v/>
      </c>
      <c r="BD381" s="90"/>
      <c r="BE381" s="24" t="s">
        <v>119</v>
      </c>
      <c r="BF381" s="125" t="str">
        <f>IF(AND(AW381&gt;=56543,AW381&lt;=76543,LEN(AW381)&gt;0),"3 Feb 2020",IF(AND(AW381&gt;=66544,AW381&lt;=99999,LEN(AW381)&gt;0),"12 Sep 2020",""))</f>
        <v/>
      </c>
      <c r="BG381" s="125" t="str">
        <f>IF((AND(BF381="3 Feb 2020",LEN(BF381)&gt;0)),"Completed",IF((AND(BF381="12 Sep 2020",LEN(BF381)&gt;0)),"Pending",""))</f>
        <v/>
      </c>
      <c r="BH381" s="90" t="str">
        <f>IF((AND(BF381="3 Feb 2020",LEN(BF381)&gt;0)),"3 Feb 2020","")</f>
        <v/>
      </c>
      <c r="BI381" s="90">
        <v>211960</v>
      </c>
      <c r="BJ381" s="90" t="str">
        <f>L381</f>
        <v>3D95IT90888-38</v>
      </c>
      <c r="BK381" s="127">
        <v>43508</v>
      </c>
      <c r="BL381" s="127">
        <v>44239</v>
      </c>
      <c r="BM381" s="128">
        <f>P381*1.1</f>
        <v>3001075.0000000005</v>
      </c>
      <c r="BN381" s="129">
        <f>P381*0.9</f>
        <v>2455425</v>
      </c>
      <c r="BO381" s="130">
        <f>P381*0.8</f>
        <v>2182600</v>
      </c>
      <c r="BP381" s="90">
        <f>IF(Z381="Y",BM381*0.4,BM381*1.05)</f>
        <v>3151128.7500000005</v>
      </c>
      <c r="BQ381" s="90">
        <f>BP381*0.8</f>
        <v>2520903.0000000005</v>
      </c>
      <c r="BR381" s="90" t="str">
        <f>IF(ISNUMBER(SEARCH("subrecipient",AI377)),P381*0.6,"")</f>
        <v/>
      </c>
      <c r="BS381" s="90">
        <v>211960</v>
      </c>
      <c r="BT381" s="90" t="str">
        <f>BJ381</f>
        <v>3D95IT90888-38</v>
      </c>
      <c r="BU381" s="127">
        <f>BK381</f>
        <v>43508</v>
      </c>
      <c r="BV381" s="127">
        <f>BL381</f>
        <v>44239</v>
      </c>
      <c r="BW381" s="90" t="str">
        <f>H381</f>
        <v>NIH</v>
      </c>
      <c r="BX381" s="90" t="str">
        <f>IF(H381="NATIONAL HEMOPHILIA FOUNDATION","Non Federal","Federal")</f>
        <v>Federal</v>
      </c>
      <c r="BY381" s="128">
        <f>BM381</f>
        <v>3001075.0000000005</v>
      </c>
      <c r="BZ381" s="90" t="str">
        <f>IF(LEN(BR381)&gt;0,1,"")</f>
        <v/>
      </c>
      <c r="CA381" s="90" t="str">
        <f>IF(LEN(BR381)&gt;0,"VIRAL HEPATITIS PROJECT","")</f>
        <v/>
      </c>
      <c r="CB381" s="129" t="str">
        <f>IF(LEN(BR381)&gt;0,BM381*0.7,"")</f>
        <v/>
      </c>
      <c r="CC381" s="90">
        <f>BP381</f>
        <v>3151128.7500000005</v>
      </c>
      <c r="CD381" s="90" t="str">
        <f>IF(LEN(BR381)&gt;0,"70%","")</f>
        <v/>
      </c>
      <c r="CE381" s="90">
        <f>BS381</f>
        <v>211960</v>
      </c>
      <c r="CF381" s="90" t="str">
        <f>CA381</f>
        <v/>
      </c>
      <c r="CG381" s="90"/>
      <c r="CH381" s="90"/>
      <c r="CI381" s="90"/>
      <c r="CJ381" s="90"/>
      <c r="CK381" s="90"/>
      <c r="CL381" s="90"/>
      <c r="CM381" s="90"/>
      <c r="CN381" s="90"/>
      <c r="CO381" s="90"/>
      <c r="CP381" s="90"/>
      <c r="CQ381" s="90"/>
      <c r="CR381" s="90"/>
      <c r="CS381" s="90"/>
      <c r="CT381" s="137"/>
    </row>
    <row r="382" spans="1:98" ht="75">
      <c r="A382" s="89">
        <v>211960</v>
      </c>
      <c r="B382" s="90">
        <v>2020</v>
      </c>
      <c r="C382" s="90" t="s">
        <v>81</v>
      </c>
      <c r="D382" s="90" t="s">
        <v>1171</v>
      </c>
      <c r="E382" s="125" t="s">
        <v>793</v>
      </c>
      <c r="F382" s="24" t="s">
        <v>1172</v>
      </c>
      <c r="G382" s="90" t="s">
        <v>85</v>
      </c>
      <c r="H382" s="90" t="s">
        <v>117</v>
      </c>
      <c r="I382" s="90">
        <v>93</v>
      </c>
      <c r="J382" s="90">
        <v>157</v>
      </c>
      <c r="K382" s="90" t="s">
        <v>85</v>
      </c>
      <c r="L382" s="90" t="s">
        <v>1173</v>
      </c>
      <c r="M382" s="90" t="s">
        <v>119</v>
      </c>
      <c r="N382" s="24" t="s">
        <v>333</v>
      </c>
      <c r="O382" s="24" t="str">
        <f>IF(ISNUMBER(SEARCH("Cancer",N382)),"Cancer",IF(ISNUMBER(SEARCH("health",N382)),"Public health",IF(ISNUMBER(SEARCH("disabilities",N382)),"Disabilities","Other")))</f>
        <v>Public health</v>
      </c>
      <c r="P382" s="126">
        <v>2728250</v>
      </c>
      <c r="Q382" s="90" t="s">
        <v>85</v>
      </c>
      <c r="R382" s="90" t="str">
        <f>IF(P382&gt;20000000,"B","A")</f>
        <v>A</v>
      </c>
      <c r="S382" s="90" t="s">
        <v>90</v>
      </c>
      <c r="T382" s="90" t="s">
        <v>119</v>
      </c>
      <c r="U382" s="90" t="s">
        <v>119</v>
      </c>
      <c r="V382" s="90" t="s">
        <v>119</v>
      </c>
      <c r="W382" s="90" t="s">
        <v>119</v>
      </c>
      <c r="X382" s="90" t="s">
        <v>119</v>
      </c>
      <c r="Y382" s="90" t="s">
        <v>119</v>
      </c>
      <c r="Z382" s="90" t="s">
        <v>119</v>
      </c>
      <c r="AA382" s="90" t="s">
        <v>119</v>
      </c>
      <c r="AB382" s="90" t="s">
        <v>119</v>
      </c>
      <c r="AC382" s="90" t="s">
        <v>119</v>
      </c>
      <c r="AD382" s="90" t="s">
        <v>119</v>
      </c>
      <c r="AE382" s="24">
        <v>0</v>
      </c>
      <c r="AF382" s="90">
        <v>0</v>
      </c>
      <c r="AG382" s="24">
        <v>0</v>
      </c>
      <c r="AH382" s="90">
        <v>90890</v>
      </c>
      <c r="AI382" s="24" t="s">
        <v>110</v>
      </c>
      <c r="AJ382" s="24" t="s">
        <v>1176</v>
      </c>
      <c r="AK382" s="90" t="s">
        <v>85</v>
      </c>
      <c r="AL382" s="90">
        <v>211960</v>
      </c>
      <c r="AM382" s="90" t="s">
        <v>81</v>
      </c>
      <c r="AN382" s="90" t="s">
        <v>1171</v>
      </c>
      <c r="AO382" s="125" t="s">
        <v>793</v>
      </c>
      <c r="AP382" s="24" t="s">
        <v>333</v>
      </c>
      <c r="AQ382" s="90" t="s">
        <v>1173</v>
      </c>
      <c r="AR382" s="24" t="s">
        <v>333</v>
      </c>
      <c r="AS382" s="90" t="s">
        <v>119</v>
      </c>
      <c r="AT382" s="24" t="s">
        <v>110</v>
      </c>
      <c r="AU382" s="90" t="s">
        <v>119</v>
      </c>
      <c r="AV382" s="90" t="str">
        <f>IF(ISNUMBER(SEARCH("disagree",AE382)),"N","Y")</f>
        <v>Y</v>
      </c>
      <c r="AW382" s="90" t="s">
        <v>119</v>
      </c>
      <c r="AX382" s="24" t="s">
        <v>119</v>
      </c>
      <c r="AY382" s="90" t="str">
        <f>CONCATENATE(AZ382,BA382,BB382,BC382)</f>
        <v/>
      </c>
      <c r="AZ382" s="90" t="str">
        <f>IF(ISNUMBER(SEARCH("Y",AC382)),"R","")</f>
        <v/>
      </c>
      <c r="BA382" s="90" t="str">
        <f>IF(ISNUMBER(SEARCH("Y",Y382)),"M","")</f>
        <v/>
      </c>
      <c r="BB382" s="90" t="str">
        <f>IF(ISNUMBER(SEARCH("Y",AB382)),"QC","")</f>
        <v/>
      </c>
      <c r="BC382" s="90" t="str">
        <f>IF(ISNUMBER(SEARCH("Y",Z382)),"S","")</f>
        <v/>
      </c>
      <c r="BD382" s="90"/>
      <c r="BE382" s="24" t="s">
        <v>119</v>
      </c>
      <c r="BF382" s="125" t="str">
        <f>IF(AND(AW382&gt;=56543,AW382&lt;=76543,LEN(AW382)&gt;0),"3 Feb 2020",IF(AND(AW382&gt;=66544,AW382&lt;=99999,LEN(AW382)&gt;0),"12 Sep 2020",""))</f>
        <v/>
      </c>
      <c r="BG382" s="125" t="str">
        <f>IF((AND(BF382="3 Feb 2020",LEN(BF382)&gt;0)),"Completed",IF((AND(BF382="12 Sep 2020",LEN(BF382)&gt;0)),"Pending",""))</f>
        <v/>
      </c>
      <c r="BH382" s="90" t="str">
        <f>IF((AND(BF382="3 Feb 2020",LEN(BF382)&gt;0)),"3 Feb 2020","")</f>
        <v/>
      </c>
      <c r="BI382" s="90">
        <v>211960</v>
      </c>
      <c r="BJ382" s="90" t="str">
        <f>L382</f>
        <v>3D95IT90888-38</v>
      </c>
      <c r="BK382" s="127">
        <v>43508</v>
      </c>
      <c r="BL382" s="127">
        <v>44239</v>
      </c>
      <c r="BM382" s="128">
        <f>P382*1.1</f>
        <v>3001075.0000000005</v>
      </c>
      <c r="BN382" s="129">
        <f>P382*0.9</f>
        <v>2455425</v>
      </c>
      <c r="BO382" s="130">
        <f>P382*0.8</f>
        <v>2182600</v>
      </c>
      <c r="BP382" s="90">
        <f>IF(Z382="Y",BM382*0.4,BM382*1.05)</f>
        <v>3151128.7500000005</v>
      </c>
      <c r="BQ382" s="90">
        <f>BP382*0.8</f>
        <v>2520903.0000000005</v>
      </c>
      <c r="BR382" s="90" t="str">
        <f>IF(ISNUMBER(SEARCH("subrecipient",AI378)),P382*0.6,"")</f>
        <v/>
      </c>
      <c r="BS382" s="90">
        <v>211960</v>
      </c>
      <c r="BT382" s="90" t="str">
        <f>BJ382</f>
        <v>3D95IT90888-38</v>
      </c>
      <c r="BU382" s="127">
        <f>BK382</f>
        <v>43508</v>
      </c>
      <c r="BV382" s="127">
        <f>BL382</f>
        <v>44239</v>
      </c>
      <c r="BW382" s="90" t="str">
        <f>H382</f>
        <v>NIH</v>
      </c>
      <c r="BX382" s="90" t="str">
        <f>IF(H382="NATIONAL HEMOPHILIA FOUNDATION","Non Federal","Federal")</f>
        <v>Federal</v>
      </c>
      <c r="BY382" s="128">
        <f>BM382</f>
        <v>3001075.0000000005</v>
      </c>
      <c r="BZ382" s="90" t="str">
        <f>IF(LEN(BR382)&gt;0,1,"")</f>
        <v/>
      </c>
      <c r="CA382" s="90" t="str">
        <f>IF(LEN(BR382)&gt;0,"VIRAL HEPATITIS PROJECT","")</f>
        <v/>
      </c>
      <c r="CB382" s="129" t="str">
        <f>IF(LEN(BR382)&gt;0,BM382*0.7,"")</f>
        <v/>
      </c>
      <c r="CC382" s="90">
        <f>BP382</f>
        <v>3151128.7500000005</v>
      </c>
      <c r="CD382" s="90" t="str">
        <f>IF(LEN(BR382)&gt;0,"70%","")</f>
        <v/>
      </c>
      <c r="CE382" s="90">
        <f>BS382</f>
        <v>211960</v>
      </c>
      <c r="CF382" s="90" t="str">
        <f>CA382</f>
        <v/>
      </c>
      <c r="CG382" s="90"/>
      <c r="CH382" s="90"/>
      <c r="CI382" s="90"/>
      <c r="CJ382" s="90"/>
      <c r="CK382" s="90"/>
      <c r="CL382" s="90"/>
      <c r="CM382" s="90"/>
      <c r="CN382" s="90"/>
      <c r="CO382" s="90"/>
      <c r="CP382" s="90"/>
      <c r="CQ382" s="90"/>
      <c r="CR382" s="90"/>
      <c r="CS382" s="90"/>
      <c r="CT382" s="137"/>
    </row>
    <row r="383" spans="1:98" ht="105">
      <c r="A383" s="89">
        <v>212050</v>
      </c>
      <c r="B383" s="90">
        <v>2020</v>
      </c>
      <c r="C383" s="90" t="s">
        <v>81</v>
      </c>
      <c r="D383" s="90" t="s">
        <v>1177</v>
      </c>
      <c r="E383" s="125" t="s">
        <v>780</v>
      </c>
      <c r="F383" s="24" t="s">
        <v>1178</v>
      </c>
      <c r="G383" s="90" t="s">
        <v>85</v>
      </c>
      <c r="H383" s="90" t="s">
        <v>132</v>
      </c>
      <c r="I383" s="90">
        <v>93</v>
      </c>
      <c r="J383" s="90">
        <v>157</v>
      </c>
      <c r="K383" s="90" t="s">
        <v>85</v>
      </c>
      <c r="L383" s="90" t="s">
        <v>1179</v>
      </c>
      <c r="M383" s="90" t="s">
        <v>119</v>
      </c>
      <c r="N383" s="24" t="s">
        <v>243</v>
      </c>
      <c r="O383" s="24" t="str">
        <f>IF(ISNUMBER(SEARCH("Cancer",N383)),"Cancer",IF(ISNUMBER(SEARCH("health",N383)),"Public health",IF(ISNUMBER(SEARCH("disabilities",N383)),"Disabilities","Other")))</f>
        <v>Other</v>
      </c>
      <c r="P383" s="126">
        <v>2653193</v>
      </c>
      <c r="Q383" s="90" t="s">
        <v>85</v>
      </c>
      <c r="R383" s="90" t="str">
        <f>IF(P383&gt;20000000,"B","A")</f>
        <v>A</v>
      </c>
      <c r="S383" s="90" t="s">
        <v>90</v>
      </c>
      <c r="T383" s="90" t="s">
        <v>119</v>
      </c>
      <c r="U383" s="90" t="s">
        <v>119</v>
      </c>
      <c r="V383" s="90" t="s">
        <v>119</v>
      </c>
      <c r="W383" s="90" t="s">
        <v>119</v>
      </c>
      <c r="X383" s="90" t="s">
        <v>119</v>
      </c>
      <c r="Y383" s="90" t="s">
        <v>119</v>
      </c>
      <c r="Z383" s="90" t="s">
        <v>119</v>
      </c>
      <c r="AA383" s="90" t="s">
        <v>119</v>
      </c>
      <c r="AB383" s="90" t="s">
        <v>119</v>
      </c>
      <c r="AC383" s="90" t="s">
        <v>119</v>
      </c>
      <c r="AD383" s="90" t="s">
        <v>119</v>
      </c>
      <c r="AE383" s="24">
        <v>0</v>
      </c>
      <c r="AF383" s="90">
        <v>0</v>
      </c>
      <c r="AG383" s="24">
        <v>0</v>
      </c>
      <c r="AH383" s="90">
        <v>90657</v>
      </c>
      <c r="AI383" s="24" t="s">
        <v>94</v>
      </c>
      <c r="AJ383" s="24" t="s">
        <v>1180</v>
      </c>
      <c r="AK383" s="90" t="s">
        <v>85</v>
      </c>
      <c r="AL383" s="90">
        <v>212050</v>
      </c>
      <c r="AM383" s="90" t="s">
        <v>81</v>
      </c>
      <c r="AN383" s="90" t="s">
        <v>1177</v>
      </c>
      <c r="AO383" s="125" t="s">
        <v>780</v>
      </c>
      <c r="AP383" s="24" t="s">
        <v>243</v>
      </c>
      <c r="AQ383" s="90" t="s">
        <v>1179</v>
      </c>
      <c r="AR383" s="24" t="s">
        <v>243</v>
      </c>
      <c r="AS383" s="90" t="s">
        <v>119</v>
      </c>
      <c r="AT383" s="24" t="s">
        <v>94</v>
      </c>
      <c r="AU383" s="90" t="s">
        <v>119</v>
      </c>
      <c r="AV383" s="90" t="str">
        <f>IF(ISNUMBER(SEARCH("disagree",AE383)),"N","Y")</f>
        <v>Y</v>
      </c>
      <c r="AW383" s="90" t="s">
        <v>119</v>
      </c>
      <c r="AX383" s="24" t="s">
        <v>119</v>
      </c>
      <c r="AY383" s="90" t="str">
        <f>CONCATENATE(AZ383,BA383,BB383,BC383)</f>
        <v/>
      </c>
      <c r="AZ383" s="90" t="str">
        <f>IF(ISNUMBER(SEARCH("Y",AC383)),"R","")</f>
        <v/>
      </c>
      <c r="BA383" s="90" t="str">
        <f>IF(ISNUMBER(SEARCH("Y",Y383)),"M","")</f>
        <v/>
      </c>
      <c r="BB383" s="90" t="str">
        <f>IF(ISNUMBER(SEARCH("Y",AB383)),"QC","")</f>
        <v/>
      </c>
      <c r="BC383" s="90" t="str">
        <f>IF(ISNUMBER(SEARCH("Y",Z383)),"S","")</f>
        <v/>
      </c>
      <c r="BD383" s="90"/>
      <c r="BE383" s="24" t="s">
        <v>119</v>
      </c>
      <c r="BF383" s="125" t="str">
        <f>IF(AND(AW383&gt;=56543,AW383&lt;=76543,LEN(AW383)&gt;0),"3 Feb 2020",IF(AND(AW383&gt;=66544,AW383&lt;=99999,LEN(AW383)&gt;0),"12 Sep 2020",""))</f>
        <v/>
      </c>
      <c r="BG383" s="125" t="str">
        <f>IF((AND(BF383="3 Feb 2020",LEN(BF383)&gt;0)),"Completed",IF((AND(BF383="12 Sep 2020",LEN(BF383)&gt;0)),"Pending",""))</f>
        <v/>
      </c>
      <c r="BH383" s="90" t="str">
        <f>IF((AND(BF383="3 Feb 2020",LEN(BF383)&gt;0)),"3 Feb 2020","")</f>
        <v/>
      </c>
      <c r="BI383" s="90">
        <v>212050</v>
      </c>
      <c r="BJ383" s="90" t="str">
        <f>L383</f>
        <v>5D70DT90656-62</v>
      </c>
      <c r="BK383" s="127">
        <v>43508</v>
      </c>
      <c r="BL383" s="127">
        <v>44239</v>
      </c>
      <c r="BM383" s="128">
        <f>P383*1.1</f>
        <v>2918512.3000000003</v>
      </c>
      <c r="BN383" s="129">
        <f>P383*0.9</f>
        <v>2387873.7000000002</v>
      </c>
      <c r="BO383" s="130">
        <f>P383*0.8</f>
        <v>2122554.4</v>
      </c>
      <c r="BP383" s="90">
        <f>IF(Z383="Y",BM383*0.4,BM383*1.05)</f>
        <v>3064437.9150000005</v>
      </c>
      <c r="BQ383" s="90">
        <f>BP383*0.8</f>
        <v>2451550.3320000004</v>
      </c>
      <c r="BR383" s="90" t="str">
        <f>IF(ISNUMBER(SEARCH("subrecipient",AI379)),P383*0.6,"")</f>
        <v/>
      </c>
      <c r="BS383" s="90">
        <v>212050</v>
      </c>
      <c r="BT383" s="90" t="str">
        <f>BJ383</f>
        <v>5D70DT90656-62</v>
      </c>
      <c r="BU383" s="127">
        <f>BK383</f>
        <v>43508</v>
      </c>
      <c r="BV383" s="127">
        <f>BL383</f>
        <v>44239</v>
      </c>
      <c r="BW383" s="90" t="str">
        <f>H383</f>
        <v>FDA</v>
      </c>
      <c r="BX383" s="90" t="str">
        <f>IF(H383="NATIONAL HEMOPHILIA FOUNDATION","Non Federal","Federal")</f>
        <v>Federal</v>
      </c>
      <c r="BY383" s="128">
        <f>BM383</f>
        <v>2918512.3000000003</v>
      </c>
      <c r="BZ383" s="90" t="str">
        <f>IF(LEN(BR383)&gt;0,1,"")</f>
        <v/>
      </c>
      <c r="CA383" s="90" t="str">
        <f>IF(LEN(BR383)&gt;0,"VIRAL HEPATITIS PROJECT","")</f>
        <v/>
      </c>
      <c r="CB383" s="129" t="str">
        <f>IF(LEN(BR383)&gt;0,BM383*0.7,"")</f>
        <v/>
      </c>
      <c r="CC383" s="90">
        <f>BP383</f>
        <v>3064437.9150000005</v>
      </c>
      <c r="CD383" s="90" t="str">
        <f>IF(LEN(BR383)&gt;0,"70%","")</f>
        <v/>
      </c>
      <c r="CE383" s="90">
        <f>BS383</f>
        <v>212050</v>
      </c>
      <c r="CF383" s="90" t="str">
        <f>CA383</f>
        <v/>
      </c>
      <c r="CG383" s="90"/>
      <c r="CH383" s="90"/>
      <c r="CI383" s="90"/>
      <c r="CJ383" s="90"/>
      <c r="CK383" s="90"/>
      <c r="CL383" s="90"/>
      <c r="CM383" s="90"/>
      <c r="CN383" s="90"/>
      <c r="CO383" s="90"/>
      <c r="CP383" s="90"/>
      <c r="CQ383" s="90"/>
      <c r="CR383" s="90"/>
      <c r="CS383" s="90"/>
      <c r="CT383" s="137"/>
    </row>
    <row r="384" spans="1:98" ht="90">
      <c r="A384" s="89">
        <v>212050</v>
      </c>
      <c r="B384" s="90">
        <v>2020</v>
      </c>
      <c r="C384" s="90" t="s">
        <v>81</v>
      </c>
      <c r="D384" s="90" t="s">
        <v>1177</v>
      </c>
      <c r="E384" s="125" t="s">
        <v>781</v>
      </c>
      <c r="F384" s="24" t="s">
        <v>1178</v>
      </c>
      <c r="G384" s="90" t="s">
        <v>85</v>
      </c>
      <c r="H384" s="90" t="s">
        <v>132</v>
      </c>
      <c r="I384" s="90">
        <v>93</v>
      </c>
      <c r="J384" s="90">
        <v>157</v>
      </c>
      <c r="K384" s="90" t="s">
        <v>85</v>
      </c>
      <c r="L384" s="90" t="s">
        <v>1179</v>
      </c>
      <c r="M384" s="90" t="s">
        <v>119</v>
      </c>
      <c r="N384" s="24" t="s">
        <v>243</v>
      </c>
      <c r="O384" s="24" t="str">
        <f>IF(ISNUMBER(SEARCH("Cancer",N384)),"Cancer",IF(ISNUMBER(SEARCH("health",N384)),"Public health",IF(ISNUMBER(SEARCH("disabilities",N384)),"Disabilities","Other")))</f>
        <v>Other</v>
      </c>
      <c r="P384" s="126">
        <v>2653193</v>
      </c>
      <c r="Q384" s="90" t="s">
        <v>85</v>
      </c>
      <c r="R384" s="90" t="str">
        <f>IF(P384&gt;20000000,"B","A")</f>
        <v>A</v>
      </c>
      <c r="S384" s="90" t="s">
        <v>90</v>
      </c>
      <c r="T384" s="90" t="s">
        <v>119</v>
      </c>
      <c r="U384" s="90" t="s">
        <v>119</v>
      </c>
      <c r="V384" s="90" t="s">
        <v>119</v>
      </c>
      <c r="W384" s="90" t="s">
        <v>119</v>
      </c>
      <c r="X384" s="90" t="s">
        <v>119</v>
      </c>
      <c r="Y384" s="90" t="s">
        <v>119</v>
      </c>
      <c r="Z384" s="90" t="s">
        <v>119</v>
      </c>
      <c r="AA384" s="90" t="s">
        <v>119</v>
      </c>
      <c r="AB384" s="90" t="s">
        <v>119</v>
      </c>
      <c r="AC384" s="90" t="s">
        <v>119</v>
      </c>
      <c r="AD384" s="90" t="s">
        <v>119</v>
      </c>
      <c r="AE384" s="24">
        <v>0</v>
      </c>
      <c r="AF384" s="90">
        <v>0</v>
      </c>
      <c r="AG384" s="24">
        <v>0</v>
      </c>
      <c r="AH384" s="90">
        <v>90656</v>
      </c>
      <c r="AI384" s="24" t="s">
        <v>102</v>
      </c>
      <c r="AJ384" s="24" t="s">
        <v>1181</v>
      </c>
      <c r="AK384" s="90" t="s">
        <v>85</v>
      </c>
      <c r="AL384" s="90">
        <v>212050</v>
      </c>
      <c r="AM384" s="90" t="s">
        <v>81</v>
      </c>
      <c r="AN384" s="90" t="s">
        <v>1177</v>
      </c>
      <c r="AO384" s="125" t="s">
        <v>781</v>
      </c>
      <c r="AP384" s="24" t="s">
        <v>243</v>
      </c>
      <c r="AQ384" s="90" t="s">
        <v>1179</v>
      </c>
      <c r="AR384" s="24" t="s">
        <v>243</v>
      </c>
      <c r="AS384" s="90" t="s">
        <v>119</v>
      </c>
      <c r="AT384" s="24" t="s">
        <v>102</v>
      </c>
      <c r="AU384" s="90" t="s">
        <v>119</v>
      </c>
      <c r="AV384" s="90" t="str">
        <f>IF(ISNUMBER(SEARCH("disagree",AE384)),"N","Y")</f>
        <v>Y</v>
      </c>
      <c r="AW384" s="90" t="s">
        <v>119</v>
      </c>
      <c r="AX384" s="24" t="s">
        <v>119</v>
      </c>
      <c r="AY384" s="90" t="str">
        <f>CONCATENATE(AZ384,BA384,BB384,BC384)</f>
        <v/>
      </c>
      <c r="AZ384" s="90" t="str">
        <f>IF(ISNUMBER(SEARCH("Y",AC384)),"R","")</f>
        <v/>
      </c>
      <c r="BA384" s="90" t="str">
        <f>IF(ISNUMBER(SEARCH("Y",Y384)),"M","")</f>
        <v/>
      </c>
      <c r="BB384" s="90" t="str">
        <f>IF(ISNUMBER(SEARCH("Y",AB384)),"QC","")</f>
        <v/>
      </c>
      <c r="BC384" s="90" t="str">
        <f>IF(ISNUMBER(SEARCH("Y",Z384)),"S","")</f>
        <v/>
      </c>
      <c r="BD384" s="90"/>
      <c r="BE384" s="24" t="s">
        <v>119</v>
      </c>
      <c r="BF384" s="125" t="str">
        <f>IF(AND(AW384&gt;=56543,AW384&lt;=76543,LEN(AW384)&gt;0),"3 Feb 2020",IF(AND(AW384&gt;=66544,AW384&lt;=99999,LEN(AW384)&gt;0),"12 Sep 2020",""))</f>
        <v/>
      </c>
      <c r="BG384" s="125" t="str">
        <f>IF((AND(BF384="3 Feb 2020",LEN(BF384)&gt;0)),"Completed",IF((AND(BF384="12 Sep 2020",LEN(BF384)&gt;0)),"Pending",""))</f>
        <v/>
      </c>
      <c r="BH384" s="90" t="str">
        <f>IF((AND(BF384="3 Feb 2020",LEN(BF384)&gt;0)),"3 Feb 2020","")</f>
        <v/>
      </c>
      <c r="BI384" s="90">
        <v>212050</v>
      </c>
      <c r="BJ384" s="90" t="str">
        <f>L384</f>
        <v>5D70DT90656-62</v>
      </c>
      <c r="BK384" s="127">
        <v>43508</v>
      </c>
      <c r="BL384" s="127">
        <v>44239</v>
      </c>
      <c r="BM384" s="128">
        <f>P384*1.1</f>
        <v>2918512.3000000003</v>
      </c>
      <c r="BN384" s="129">
        <f>P384*0.9</f>
        <v>2387873.7000000002</v>
      </c>
      <c r="BO384" s="130">
        <f>P384*0.8</f>
        <v>2122554.4</v>
      </c>
      <c r="BP384" s="90">
        <f>IF(Z384="Y",BM384*0.4,BM384*1.05)</f>
        <v>3064437.9150000005</v>
      </c>
      <c r="BQ384" s="90">
        <f>BP384*0.8</f>
        <v>2451550.3320000004</v>
      </c>
      <c r="BR384" s="90" t="str">
        <f>IF(ISNUMBER(SEARCH("subrecipient",AI380)),P384*0.6,"")</f>
        <v/>
      </c>
      <c r="BS384" s="90">
        <v>212050</v>
      </c>
      <c r="BT384" s="90" t="str">
        <f>BJ384</f>
        <v>5D70DT90656-62</v>
      </c>
      <c r="BU384" s="127">
        <f>BK384</f>
        <v>43508</v>
      </c>
      <c r="BV384" s="127">
        <f>BL384</f>
        <v>44239</v>
      </c>
      <c r="BW384" s="90" t="str">
        <f>H384</f>
        <v>FDA</v>
      </c>
      <c r="BX384" s="90" t="str">
        <f>IF(H384="NATIONAL HEMOPHILIA FOUNDATION","Non Federal","Federal")</f>
        <v>Federal</v>
      </c>
      <c r="BY384" s="128">
        <f>BM384</f>
        <v>2918512.3000000003</v>
      </c>
      <c r="BZ384" s="90" t="str">
        <f>IF(LEN(BR384)&gt;0,1,"")</f>
        <v/>
      </c>
      <c r="CA384" s="90" t="str">
        <f>IF(LEN(BR384)&gt;0,"VIRAL HEPATITIS PROJECT","")</f>
        <v/>
      </c>
      <c r="CB384" s="129" t="str">
        <f>IF(LEN(BR384)&gt;0,BM384*0.7,"")</f>
        <v/>
      </c>
      <c r="CC384" s="90">
        <f>BP384</f>
        <v>3064437.9150000005</v>
      </c>
      <c r="CD384" s="90" t="str">
        <f>IF(LEN(BR384)&gt;0,"70%","")</f>
        <v/>
      </c>
      <c r="CE384" s="90">
        <f>BS384</f>
        <v>212050</v>
      </c>
      <c r="CF384" s="90" t="str">
        <f>CA384</f>
        <v/>
      </c>
      <c r="CG384" s="90"/>
      <c r="CH384" s="90"/>
      <c r="CI384" s="90"/>
      <c r="CJ384" s="90"/>
      <c r="CK384" s="90"/>
      <c r="CL384" s="90"/>
      <c r="CM384" s="90"/>
      <c r="CN384" s="90"/>
      <c r="CO384" s="90"/>
      <c r="CP384" s="90"/>
      <c r="CQ384" s="90"/>
      <c r="CR384" s="90"/>
      <c r="CS384" s="90"/>
      <c r="CT384" s="137"/>
    </row>
    <row r="385" spans="1:98" ht="90">
      <c r="A385" s="89">
        <v>212050</v>
      </c>
      <c r="B385" s="90">
        <v>2020</v>
      </c>
      <c r="C385" s="90" t="s">
        <v>81</v>
      </c>
      <c r="D385" s="90" t="s">
        <v>1177</v>
      </c>
      <c r="E385" s="125" t="s">
        <v>784</v>
      </c>
      <c r="F385" s="24" t="s">
        <v>1178</v>
      </c>
      <c r="G385" s="90" t="s">
        <v>85</v>
      </c>
      <c r="H385" s="90" t="s">
        <v>132</v>
      </c>
      <c r="I385" s="90">
        <v>93</v>
      </c>
      <c r="J385" s="90">
        <v>157</v>
      </c>
      <c r="K385" s="90" t="s">
        <v>85</v>
      </c>
      <c r="L385" s="90" t="s">
        <v>1179</v>
      </c>
      <c r="M385" s="90" t="s">
        <v>119</v>
      </c>
      <c r="N385" s="24" t="s">
        <v>243</v>
      </c>
      <c r="O385" s="24" t="str">
        <f>IF(ISNUMBER(SEARCH("Cancer",N385)),"Cancer",IF(ISNUMBER(SEARCH("health",N385)),"Public health",IF(ISNUMBER(SEARCH("disabilities",N385)),"Disabilities","Other")))</f>
        <v>Other</v>
      </c>
      <c r="P385" s="126">
        <v>2653193</v>
      </c>
      <c r="Q385" s="90" t="s">
        <v>85</v>
      </c>
      <c r="R385" s="90" t="str">
        <f>IF(P385&gt;20000000,"B","A")</f>
        <v>A</v>
      </c>
      <c r="S385" s="90" t="s">
        <v>90</v>
      </c>
      <c r="T385" s="90" t="s">
        <v>119</v>
      </c>
      <c r="U385" s="90" t="s">
        <v>119</v>
      </c>
      <c r="V385" s="90" t="s">
        <v>119</v>
      </c>
      <c r="W385" s="90" t="s">
        <v>119</v>
      </c>
      <c r="X385" s="90" t="s">
        <v>119</v>
      </c>
      <c r="Y385" s="90" t="s">
        <v>119</v>
      </c>
      <c r="Z385" s="90" t="s">
        <v>119</v>
      </c>
      <c r="AA385" s="90" t="s">
        <v>119</v>
      </c>
      <c r="AB385" s="90" t="s">
        <v>119</v>
      </c>
      <c r="AC385" s="90" t="s">
        <v>119</v>
      </c>
      <c r="AD385" s="90" t="s">
        <v>119</v>
      </c>
      <c r="AE385" s="24">
        <v>0</v>
      </c>
      <c r="AF385" s="90">
        <v>0</v>
      </c>
      <c r="AG385" s="24">
        <v>0</v>
      </c>
      <c r="AH385" s="90">
        <v>90658</v>
      </c>
      <c r="AI385" s="24" t="s">
        <v>110</v>
      </c>
      <c r="AJ385" s="24" t="s">
        <v>1182</v>
      </c>
      <c r="AK385" s="90" t="s">
        <v>85</v>
      </c>
      <c r="AL385" s="90">
        <v>212050</v>
      </c>
      <c r="AM385" s="90" t="s">
        <v>81</v>
      </c>
      <c r="AN385" s="90" t="s">
        <v>1177</v>
      </c>
      <c r="AO385" s="125" t="s">
        <v>784</v>
      </c>
      <c r="AP385" s="24" t="s">
        <v>243</v>
      </c>
      <c r="AQ385" s="90" t="s">
        <v>1179</v>
      </c>
      <c r="AR385" s="24" t="s">
        <v>243</v>
      </c>
      <c r="AS385" s="90" t="s">
        <v>119</v>
      </c>
      <c r="AT385" s="24" t="s">
        <v>110</v>
      </c>
      <c r="AU385" s="90" t="s">
        <v>119</v>
      </c>
      <c r="AV385" s="90" t="str">
        <f>IF(ISNUMBER(SEARCH("disagree",AE385)),"N","Y")</f>
        <v>Y</v>
      </c>
      <c r="AW385" s="90" t="s">
        <v>119</v>
      </c>
      <c r="AX385" s="24" t="s">
        <v>119</v>
      </c>
      <c r="AY385" s="90" t="str">
        <f>CONCATENATE(AZ385,BA385,BB385,BC385)</f>
        <v/>
      </c>
      <c r="AZ385" s="90" t="str">
        <f>IF(ISNUMBER(SEARCH("Y",AC385)),"R","")</f>
        <v/>
      </c>
      <c r="BA385" s="90" t="str">
        <f>IF(ISNUMBER(SEARCH("Y",Y385)),"M","")</f>
        <v/>
      </c>
      <c r="BB385" s="90" t="str">
        <f>IF(ISNUMBER(SEARCH("Y",AB385)),"QC","")</f>
        <v/>
      </c>
      <c r="BC385" s="90" t="str">
        <f>IF(ISNUMBER(SEARCH("Y",Z385)),"S","")</f>
        <v/>
      </c>
      <c r="BD385" s="90"/>
      <c r="BE385" s="24" t="s">
        <v>119</v>
      </c>
      <c r="BF385" s="125" t="str">
        <f>IF(AND(AW385&gt;=56543,AW385&lt;=76543,LEN(AW385)&gt;0),"3 Feb 2020",IF(AND(AW385&gt;=66544,AW385&lt;=99999,LEN(AW385)&gt;0),"12 Sep 2020",""))</f>
        <v/>
      </c>
      <c r="BG385" s="125" t="str">
        <f>IF((AND(BF385="3 Feb 2020",LEN(BF385)&gt;0)),"Completed",IF((AND(BF385="12 Sep 2020",LEN(BF385)&gt;0)),"Pending",""))</f>
        <v/>
      </c>
      <c r="BH385" s="90" t="str">
        <f>IF((AND(BF385="3 Feb 2020",LEN(BF385)&gt;0)),"3 Feb 2020","")</f>
        <v/>
      </c>
      <c r="BI385" s="90">
        <v>212050</v>
      </c>
      <c r="BJ385" s="90" t="str">
        <f>L385</f>
        <v>5D70DT90656-62</v>
      </c>
      <c r="BK385" s="127">
        <v>43508</v>
      </c>
      <c r="BL385" s="127">
        <v>44239</v>
      </c>
      <c r="BM385" s="128">
        <f>P385*1.1</f>
        <v>2918512.3000000003</v>
      </c>
      <c r="BN385" s="129">
        <f>P385*0.9</f>
        <v>2387873.7000000002</v>
      </c>
      <c r="BO385" s="130">
        <f>P385*0.8</f>
        <v>2122554.4</v>
      </c>
      <c r="BP385" s="90">
        <f>IF(Z385="Y",BM385*0.4,BM385*1.05)</f>
        <v>3064437.9150000005</v>
      </c>
      <c r="BQ385" s="90">
        <f>BP385*0.8</f>
        <v>2451550.3320000004</v>
      </c>
      <c r="BR385" s="90" t="str">
        <f>IF(ISNUMBER(SEARCH("subrecipient",AI381)),P385*0.6,"")</f>
        <v/>
      </c>
      <c r="BS385" s="90">
        <v>212050</v>
      </c>
      <c r="BT385" s="90" t="str">
        <f>BJ385</f>
        <v>5D70DT90656-62</v>
      </c>
      <c r="BU385" s="127">
        <f>BK385</f>
        <v>43508</v>
      </c>
      <c r="BV385" s="127">
        <f>BL385</f>
        <v>44239</v>
      </c>
      <c r="BW385" s="90" t="str">
        <f>H385</f>
        <v>FDA</v>
      </c>
      <c r="BX385" s="90" t="str">
        <f>IF(H385="NATIONAL HEMOPHILIA FOUNDATION","Non Federal","Federal")</f>
        <v>Federal</v>
      </c>
      <c r="BY385" s="128">
        <f>BM385</f>
        <v>2918512.3000000003</v>
      </c>
      <c r="BZ385" s="90" t="str">
        <f>IF(LEN(BR385)&gt;0,1,"")</f>
        <v/>
      </c>
      <c r="CA385" s="90" t="str">
        <f>IF(LEN(BR385)&gt;0,"VIRAL HEPATITIS PROJECT","")</f>
        <v/>
      </c>
      <c r="CB385" s="129" t="str">
        <f>IF(LEN(BR385)&gt;0,BM385*0.7,"")</f>
        <v/>
      </c>
      <c r="CC385" s="90">
        <f>BP385</f>
        <v>3064437.9150000005</v>
      </c>
      <c r="CD385" s="90" t="str">
        <f>IF(LEN(BR385)&gt;0,"70%","")</f>
        <v/>
      </c>
      <c r="CE385" s="90">
        <f>BS385</f>
        <v>212050</v>
      </c>
      <c r="CF385" s="90" t="str">
        <f>CA385</f>
        <v/>
      </c>
      <c r="CG385" s="90"/>
      <c r="CH385" s="90"/>
      <c r="CI385" s="90"/>
      <c r="CJ385" s="90"/>
      <c r="CK385" s="90"/>
      <c r="CL385" s="90"/>
      <c r="CM385" s="90"/>
      <c r="CN385" s="90"/>
      <c r="CO385" s="90"/>
      <c r="CP385" s="90"/>
      <c r="CQ385" s="90"/>
      <c r="CR385" s="90"/>
      <c r="CS385" s="90"/>
      <c r="CT385" s="137"/>
    </row>
    <row r="386" spans="1:98" ht="90">
      <c r="A386" s="89">
        <v>212051</v>
      </c>
      <c r="B386" s="90">
        <v>2020</v>
      </c>
      <c r="C386" s="90" t="s">
        <v>81</v>
      </c>
      <c r="D386" s="90" t="s">
        <v>1183</v>
      </c>
      <c r="E386" s="125" t="s">
        <v>790</v>
      </c>
      <c r="F386" s="24" t="s">
        <v>1184</v>
      </c>
      <c r="G386" s="90" t="s">
        <v>85</v>
      </c>
      <c r="H386" s="90" t="s">
        <v>150</v>
      </c>
      <c r="I386" s="90">
        <v>93</v>
      </c>
      <c r="J386" s="90">
        <v>157</v>
      </c>
      <c r="K386" s="90" t="s">
        <v>85</v>
      </c>
      <c r="L386" s="90" t="s">
        <v>1185</v>
      </c>
      <c r="M386" s="90" t="s">
        <v>119</v>
      </c>
      <c r="N386" s="24" t="s">
        <v>254</v>
      </c>
      <c r="O386" s="24" t="str">
        <f>IF(ISNUMBER(SEARCH("Cancer",N386)),"Cancer",IF(ISNUMBER(SEARCH("health",N386)),"Public health",IF(ISNUMBER(SEARCH("disabilities",N386)),"Disabilities","Other")))</f>
        <v>Other</v>
      </c>
      <c r="P386" s="126">
        <v>2688998</v>
      </c>
      <c r="Q386" s="90" t="s">
        <v>85</v>
      </c>
      <c r="R386" s="90" t="str">
        <f>IF(P386&gt;20000000,"B","A")</f>
        <v>A</v>
      </c>
      <c r="S386" s="90" t="s">
        <v>90</v>
      </c>
      <c r="T386" s="90" t="s">
        <v>119</v>
      </c>
      <c r="U386" s="90" t="s">
        <v>119</v>
      </c>
      <c r="V386" s="90" t="s">
        <v>119</v>
      </c>
      <c r="W386" s="90" t="s">
        <v>119</v>
      </c>
      <c r="X386" s="90" t="s">
        <v>119</v>
      </c>
      <c r="Y386" s="90" t="s">
        <v>119</v>
      </c>
      <c r="Z386" s="90" t="s">
        <v>119</v>
      </c>
      <c r="AA386" s="90" t="s">
        <v>119</v>
      </c>
      <c r="AB386" s="90" t="s">
        <v>119</v>
      </c>
      <c r="AC386" s="90" t="s">
        <v>119</v>
      </c>
      <c r="AD386" s="90" t="s">
        <v>119</v>
      </c>
      <c r="AE386" s="24">
        <v>0</v>
      </c>
      <c r="AF386" s="90">
        <v>0</v>
      </c>
      <c r="AG386" s="24">
        <v>0</v>
      </c>
      <c r="AH386" s="90">
        <v>90691</v>
      </c>
      <c r="AI386" s="24" t="s">
        <v>94</v>
      </c>
      <c r="AJ386" s="24" t="s">
        <v>1186</v>
      </c>
      <c r="AK386" s="90" t="s">
        <v>85</v>
      </c>
      <c r="AL386" s="90">
        <v>212051</v>
      </c>
      <c r="AM386" s="90" t="s">
        <v>81</v>
      </c>
      <c r="AN386" s="90" t="s">
        <v>1183</v>
      </c>
      <c r="AO386" s="125" t="s">
        <v>790</v>
      </c>
      <c r="AP386" s="24" t="s">
        <v>254</v>
      </c>
      <c r="AQ386" s="90" t="s">
        <v>1185</v>
      </c>
      <c r="AR386" s="24" t="s">
        <v>254</v>
      </c>
      <c r="AS386" s="90" t="s">
        <v>119</v>
      </c>
      <c r="AT386" s="24" t="s">
        <v>94</v>
      </c>
      <c r="AU386" s="90" t="s">
        <v>119</v>
      </c>
      <c r="AV386" s="90" t="str">
        <f>IF(ISNUMBER(SEARCH("disagree",AE386)),"N","Y")</f>
        <v>Y</v>
      </c>
      <c r="AW386" s="90" t="s">
        <v>119</v>
      </c>
      <c r="AX386" s="24" t="s">
        <v>119</v>
      </c>
      <c r="AY386" s="90" t="str">
        <f>CONCATENATE(AZ386,BA386,BB386,BC386)</f>
        <v/>
      </c>
      <c r="AZ386" s="90" t="str">
        <f>IF(ISNUMBER(SEARCH("Y",AC386)),"R","")</f>
        <v/>
      </c>
      <c r="BA386" s="90" t="str">
        <f>IF(ISNUMBER(SEARCH("Y",Y386)),"M","")</f>
        <v/>
      </c>
      <c r="BB386" s="90" t="str">
        <f>IF(ISNUMBER(SEARCH("Y",AB386)),"QC","")</f>
        <v/>
      </c>
      <c r="BC386" s="90" t="str">
        <f>IF(ISNUMBER(SEARCH("Y",Z386)),"S","")</f>
        <v/>
      </c>
      <c r="BD386" s="90"/>
      <c r="BE386" s="24" t="s">
        <v>119</v>
      </c>
      <c r="BF386" s="125" t="str">
        <f>IF(AND(AW386&gt;=56543,AW386&lt;=76543,LEN(AW386)&gt;0),"3 Feb 2020",IF(AND(AW386&gt;=66544,AW386&lt;=99999,LEN(AW386)&gt;0),"12 Sep 2020",""))</f>
        <v/>
      </c>
      <c r="BG386" s="125" t="str">
        <f>IF((AND(BF386="3 Feb 2020",LEN(BF386)&gt;0)),"Completed",IF((AND(BF386="12 Sep 2020",LEN(BF386)&gt;0)),"Pending",""))</f>
        <v/>
      </c>
      <c r="BH386" s="90" t="str">
        <f>IF((AND(BF386="3 Feb 2020",LEN(BF386)&gt;0)),"3 Feb 2020","")</f>
        <v/>
      </c>
      <c r="BI386" s="90">
        <v>212051</v>
      </c>
      <c r="BJ386" s="90" t="str">
        <f>L386</f>
        <v>1D35HT90689-48</v>
      </c>
      <c r="BK386" s="127">
        <v>43508</v>
      </c>
      <c r="BL386" s="127">
        <v>44239</v>
      </c>
      <c r="BM386" s="128">
        <f>P386*1.1</f>
        <v>2957897.8000000003</v>
      </c>
      <c r="BN386" s="129">
        <f>P386*0.9</f>
        <v>2420098.2000000002</v>
      </c>
      <c r="BO386" s="130">
        <f>P386*0.8</f>
        <v>2151198.4</v>
      </c>
      <c r="BP386" s="90">
        <f>IF(Z386="Y",BM386*0.4,BM386*1.05)</f>
        <v>3105792.6900000004</v>
      </c>
      <c r="BQ386" s="90">
        <f>BP386*0.8</f>
        <v>2484634.1520000002</v>
      </c>
      <c r="BR386" s="90" t="str">
        <f>IF(ISNUMBER(SEARCH("subrecipient",AI382)),P386*0.6,"")</f>
        <v/>
      </c>
      <c r="BS386" s="90">
        <v>212051</v>
      </c>
      <c r="BT386" s="90" t="str">
        <f>BJ386</f>
        <v>1D35HT90689-48</v>
      </c>
      <c r="BU386" s="127">
        <f>BK386</f>
        <v>43508</v>
      </c>
      <c r="BV386" s="127">
        <f>BL386</f>
        <v>44239</v>
      </c>
      <c r="BW386" s="90" t="str">
        <f>H386</f>
        <v>ACF</v>
      </c>
      <c r="BX386" s="90" t="str">
        <f>IF(H386="NATIONAL HEMOPHILIA FOUNDATION","Non Federal","Federal")</f>
        <v>Federal</v>
      </c>
      <c r="BY386" s="128">
        <f>BM386</f>
        <v>2957897.8000000003</v>
      </c>
      <c r="BZ386" s="90" t="str">
        <f>IF(LEN(BR386)&gt;0,1,"")</f>
        <v/>
      </c>
      <c r="CA386" s="90" t="str">
        <f>IF(LEN(BR386)&gt;0,"VIRAL HEPATITIS PROJECT","")</f>
        <v/>
      </c>
      <c r="CB386" s="129" t="str">
        <f>IF(LEN(BR386)&gt;0,BM386*0.7,"")</f>
        <v/>
      </c>
      <c r="CC386" s="90">
        <f>BP386</f>
        <v>3105792.6900000004</v>
      </c>
      <c r="CD386" s="90" t="str">
        <f>IF(LEN(BR386)&gt;0,"70%","")</f>
        <v/>
      </c>
      <c r="CE386" s="90">
        <f>BS386</f>
        <v>212051</v>
      </c>
      <c r="CF386" s="90" t="str">
        <f>CA386</f>
        <v/>
      </c>
      <c r="CG386" s="90"/>
      <c r="CH386" s="90"/>
      <c r="CI386" s="90"/>
      <c r="CJ386" s="90"/>
      <c r="CK386" s="90"/>
      <c r="CL386" s="90"/>
      <c r="CM386" s="90"/>
      <c r="CN386" s="90"/>
      <c r="CO386" s="90"/>
      <c r="CP386" s="90"/>
      <c r="CQ386" s="90"/>
      <c r="CR386" s="90"/>
      <c r="CS386" s="90"/>
      <c r="CT386" s="137"/>
    </row>
    <row r="387" spans="1:98" ht="60">
      <c r="A387" s="89">
        <v>212051</v>
      </c>
      <c r="B387" s="90">
        <v>2020</v>
      </c>
      <c r="C387" s="90" t="s">
        <v>81</v>
      </c>
      <c r="D387" s="90" t="s">
        <v>1183</v>
      </c>
      <c r="E387" s="125" t="s">
        <v>791</v>
      </c>
      <c r="F387" s="24" t="s">
        <v>1184</v>
      </c>
      <c r="G387" s="90" t="s">
        <v>85</v>
      </c>
      <c r="H387" s="90" t="s">
        <v>150</v>
      </c>
      <c r="I387" s="90">
        <v>93</v>
      </c>
      <c r="J387" s="90">
        <v>157</v>
      </c>
      <c r="K387" s="90" t="s">
        <v>85</v>
      </c>
      <c r="L387" s="90" t="s">
        <v>1185</v>
      </c>
      <c r="M387" s="90" t="s">
        <v>119</v>
      </c>
      <c r="N387" s="24" t="s">
        <v>254</v>
      </c>
      <c r="O387" s="24" t="str">
        <f>IF(ISNUMBER(SEARCH("Cancer",N387)),"Cancer",IF(ISNUMBER(SEARCH("health",N387)),"Public health",IF(ISNUMBER(SEARCH("disabilities",N387)),"Disabilities","Other")))</f>
        <v>Other</v>
      </c>
      <c r="P387" s="126">
        <v>2688998</v>
      </c>
      <c r="Q387" s="90" t="s">
        <v>85</v>
      </c>
      <c r="R387" s="90" t="str">
        <f>IF(P387&gt;20000000,"B","A")</f>
        <v>A</v>
      </c>
      <c r="S387" s="90" t="s">
        <v>90</v>
      </c>
      <c r="T387" s="90" t="s">
        <v>119</v>
      </c>
      <c r="U387" s="90" t="s">
        <v>119</v>
      </c>
      <c r="V387" s="90" t="s">
        <v>119</v>
      </c>
      <c r="W387" s="90" t="s">
        <v>119</v>
      </c>
      <c r="X387" s="90" t="s">
        <v>119</v>
      </c>
      <c r="Y387" s="90" t="s">
        <v>119</v>
      </c>
      <c r="Z387" s="90" t="s">
        <v>119</v>
      </c>
      <c r="AA387" s="90" t="s">
        <v>119</v>
      </c>
      <c r="AB387" s="90" t="s">
        <v>119</v>
      </c>
      <c r="AC387" s="90" t="s">
        <v>119</v>
      </c>
      <c r="AD387" s="90" t="s">
        <v>119</v>
      </c>
      <c r="AE387" s="24">
        <v>0</v>
      </c>
      <c r="AF387" s="90">
        <v>0</v>
      </c>
      <c r="AG387" s="24">
        <v>0</v>
      </c>
      <c r="AH387" s="90">
        <v>90689</v>
      </c>
      <c r="AI387" s="24" t="s">
        <v>102</v>
      </c>
      <c r="AJ387" s="24" t="s">
        <v>1187</v>
      </c>
      <c r="AK387" s="90" t="s">
        <v>85</v>
      </c>
      <c r="AL387" s="90">
        <v>212051</v>
      </c>
      <c r="AM387" s="90" t="s">
        <v>81</v>
      </c>
      <c r="AN387" s="90" t="s">
        <v>1183</v>
      </c>
      <c r="AO387" s="125" t="s">
        <v>791</v>
      </c>
      <c r="AP387" s="24" t="s">
        <v>254</v>
      </c>
      <c r="AQ387" s="90" t="s">
        <v>1185</v>
      </c>
      <c r="AR387" s="24" t="s">
        <v>254</v>
      </c>
      <c r="AS387" s="90" t="s">
        <v>119</v>
      </c>
      <c r="AT387" s="24" t="s">
        <v>102</v>
      </c>
      <c r="AU387" s="90" t="s">
        <v>119</v>
      </c>
      <c r="AV387" s="90" t="str">
        <f>IF(ISNUMBER(SEARCH("disagree",AE387)),"N","Y")</f>
        <v>Y</v>
      </c>
      <c r="AW387" s="90" t="s">
        <v>119</v>
      </c>
      <c r="AX387" s="24" t="s">
        <v>119</v>
      </c>
      <c r="AY387" s="90" t="str">
        <f>CONCATENATE(AZ387,BA387,BB387,BC387)</f>
        <v/>
      </c>
      <c r="AZ387" s="90" t="str">
        <f>IF(ISNUMBER(SEARCH("Y",AC387)),"R","")</f>
        <v/>
      </c>
      <c r="BA387" s="90" t="str">
        <f>IF(ISNUMBER(SEARCH("Y",Y387)),"M","")</f>
        <v/>
      </c>
      <c r="BB387" s="90" t="str">
        <f>IF(ISNUMBER(SEARCH("Y",AB387)),"QC","")</f>
        <v/>
      </c>
      <c r="BC387" s="90" t="str">
        <f>IF(ISNUMBER(SEARCH("Y",Z387)),"S","")</f>
        <v/>
      </c>
      <c r="BD387" s="90"/>
      <c r="BE387" s="24" t="s">
        <v>119</v>
      </c>
      <c r="BF387" s="125" t="str">
        <f>IF(AND(AW387&gt;=56543,AW387&lt;=76543,LEN(AW387)&gt;0),"3 Feb 2020",IF(AND(AW387&gt;=66544,AW387&lt;=99999,LEN(AW387)&gt;0),"12 Sep 2020",""))</f>
        <v/>
      </c>
      <c r="BG387" s="125" t="str">
        <f>IF((AND(BF387="3 Feb 2020",LEN(BF387)&gt;0)),"Completed",IF((AND(BF387="12 Sep 2020",LEN(BF387)&gt;0)),"Pending",""))</f>
        <v/>
      </c>
      <c r="BH387" s="90" t="str">
        <f>IF((AND(BF387="3 Feb 2020",LEN(BF387)&gt;0)),"3 Feb 2020","")</f>
        <v/>
      </c>
      <c r="BI387" s="90">
        <v>212051</v>
      </c>
      <c r="BJ387" s="90" t="str">
        <f>L387</f>
        <v>1D35HT90689-48</v>
      </c>
      <c r="BK387" s="127">
        <v>43508</v>
      </c>
      <c r="BL387" s="127">
        <v>44239</v>
      </c>
      <c r="BM387" s="128">
        <f>P387*1.1</f>
        <v>2957897.8000000003</v>
      </c>
      <c r="BN387" s="129">
        <f>P387*0.9</f>
        <v>2420098.2000000002</v>
      </c>
      <c r="BO387" s="130">
        <f>P387*0.8</f>
        <v>2151198.4</v>
      </c>
      <c r="BP387" s="90">
        <f>IF(Z387="Y",BM387*0.4,BM387*1.05)</f>
        <v>3105792.6900000004</v>
      </c>
      <c r="BQ387" s="90">
        <f>BP387*0.8</f>
        <v>2484634.1520000002</v>
      </c>
      <c r="BR387" s="90" t="str">
        <f>IF(ISNUMBER(SEARCH("subrecipient",AI383)),P387*0.6,"")</f>
        <v/>
      </c>
      <c r="BS387" s="90">
        <v>212051</v>
      </c>
      <c r="BT387" s="90" t="str">
        <f>BJ387</f>
        <v>1D35HT90689-48</v>
      </c>
      <c r="BU387" s="127">
        <f>BK387</f>
        <v>43508</v>
      </c>
      <c r="BV387" s="127">
        <f>BL387</f>
        <v>44239</v>
      </c>
      <c r="BW387" s="90" t="str">
        <f>H387</f>
        <v>ACF</v>
      </c>
      <c r="BX387" s="90" t="str">
        <f>IF(H387="NATIONAL HEMOPHILIA FOUNDATION","Non Federal","Federal")</f>
        <v>Federal</v>
      </c>
      <c r="BY387" s="128">
        <f>BM387</f>
        <v>2957897.8000000003</v>
      </c>
      <c r="BZ387" s="90" t="str">
        <f>IF(LEN(BR387)&gt;0,1,"")</f>
        <v/>
      </c>
      <c r="CA387" s="90" t="str">
        <f>IF(LEN(BR387)&gt;0,"VIRAL HEPATITIS PROJECT","")</f>
        <v/>
      </c>
      <c r="CB387" s="129" t="str">
        <f>IF(LEN(BR387)&gt;0,BM387*0.7,"")</f>
        <v/>
      </c>
      <c r="CC387" s="90">
        <f>BP387</f>
        <v>3105792.6900000004</v>
      </c>
      <c r="CD387" s="90" t="str">
        <f>IF(LEN(BR387)&gt;0,"70%","")</f>
        <v/>
      </c>
      <c r="CE387" s="90">
        <f>BS387</f>
        <v>212051</v>
      </c>
      <c r="CF387" s="90" t="str">
        <f>CA387</f>
        <v/>
      </c>
      <c r="CG387" s="90"/>
      <c r="CH387" s="90"/>
      <c r="CI387" s="90"/>
      <c r="CJ387" s="90"/>
      <c r="CK387" s="90"/>
      <c r="CL387" s="90"/>
      <c r="CM387" s="90"/>
      <c r="CN387" s="90"/>
      <c r="CO387" s="90"/>
      <c r="CP387" s="90"/>
      <c r="CQ387" s="90"/>
      <c r="CR387" s="90"/>
      <c r="CS387" s="90"/>
      <c r="CT387" s="137"/>
    </row>
    <row r="388" spans="1:98" ht="75">
      <c r="A388" s="89">
        <v>212051</v>
      </c>
      <c r="B388" s="90">
        <v>2020</v>
      </c>
      <c r="C388" s="90" t="s">
        <v>81</v>
      </c>
      <c r="D388" s="90" t="s">
        <v>1183</v>
      </c>
      <c r="E388" s="125" t="s">
        <v>793</v>
      </c>
      <c r="F388" s="24" t="s">
        <v>1184</v>
      </c>
      <c r="G388" s="90" t="s">
        <v>85</v>
      </c>
      <c r="H388" s="90" t="s">
        <v>150</v>
      </c>
      <c r="I388" s="90">
        <v>93</v>
      </c>
      <c r="J388" s="90">
        <v>157</v>
      </c>
      <c r="K388" s="90" t="s">
        <v>85</v>
      </c>
      <c r="L388" s="90" t="s">
        <v>1185</v>
      </c>
      <c r="M388" s="90" t="s">
        <v>119</v>
      </c>
      <c r="N388" s="24" t="s">
        <v>254</v>
      </c>
      <c r="O388" s="24" t="str">
        <f>IF(ISNUMBER(SEARCH("Cancer",N388)),"Cancer",IF(ISNUMBER(SEARCH("health",N388)),"Public health",IF(ISNUMBER(SEARCH("disabilities",N388)),"Disabilities","Other")))</f>
        <v>Other</v>
      </c>
      <c r="P388" s="126">
        <v>2688998</v>
      </c>
      <c r="Q388" s="90" t="s">
        <v>85</v>
      </c>
      <c r="R388" s="90" t="str">
        <f>IF(P388&gt;20000000,"B","A")</f>
        <v>A</v>
      </c>
      <c r="S388" s="90" t="s">
        <v>90</v>
      </c>
      <c r="T388" s="90" t="s">
        <v>119</v>
      </c>
      <c r="U388" s="90" t="s">
        <v>119</v>
      </c>
      <c r="V388" s="90" t="s">
        <v>119</v>
      </c>
      <c r="W388" s="90" t="s">
        <v>119</v>
      </c>
      <c r="X388" s="90" t="s">
        <v>119</v>
      </c>
      <c r="Y388" s="90" t="s">
        <v>119</v>
      </c>
      <c r="Z388" s="90" t="s">
        <v>119</v>
      </c>
      <c r="AA388" s="90" t="s">
        <v>119</v>
      </c>
      <c r="AB388" s="90" t="s">
        <v>119</v>
      </c>
      <c r="AC388" s="90" t="s">
        <v>119</v>
      </c>
      <c r="AD388" s="90" t="s">
        <v>119</v>
      </c>
      <c r="AE388" s="24">
        <v>0</v>
      </c>
      <c r="AF388" s="90">
        <v>0</v>
      </c>
      <c r="AG388" s="24">
        <v>0</v>
      </c>
      <c r="AH388" s="90">
        <v>90690</v>
      </c>
      <c r="AI388" s="24" t="s">
        <v>110</v>
      </c>
      <c r="AJ388" s="24" t="s">
        <v>1188</v>
      </c>
      <c r="AK388" s="90" t="s">
        <v>85</v>
      </c>
      <c r="AL388" s="90">
        <v>212051</v>
      </c>
      <c r="AM388" s="90" t="s">
        <v>81</v>
      </c>
      <c r="AN388" s="90" t="s">
        <v>1183</v>
      </c>
      <c r="AO388" s="125" t="s">
        <v>793</v>
      </c>
      <c r="AP388" s="24" t="s">
        <v>254</v>
      </c>
      <c r="AQ388" s="90" t="s">
        <v>1185</v>
      </c>
      <c r="AR388" s="24" t="s">
        <v>254</v>
      </c>
      <c r="AS388" s="90" t="s">
        <v>119</v>
      </c>
      <c r="AT388" s="24" t="s">
        <v>110</v>
      </c>
      <c r="AU388" s="90" t="s">
        <v>119</v>
      </c>
      <c r="AV388" s="90" t="str">
        <f>IF(ISNUMBER(SEARCH("disagree",AE388)),"N","Y")</f>
        <v>Y</v>
      </c>
      <c r="AW388" s="90" t="s">
        <v>119</v>
      </c>
      <c r="AX388" s="24" t="s">
        <v>119</v>
      </c>
      <c r="AY388" s="90" t="str">
        <f>CONCATENATE(AZ388,BA388,BB388,BC388)</f>
        <v/>
      </c>
      <c r="AZ388" s="90" t="str">
        <f>IF(ISNUMBER(SEARCH("Y",AC388)),"R","")</f>
        <v/>
      </c>
      <c r="BA388" s="90" t="str">
        <f>IF(ISNUMBER(SEARCH("Y",Y388)),"M","")</f>
        <v/>
      </c>
      <c r="BB388" s="90" t="str">
        <f>IF(ISNUMBER(SEARCH("Y",AB388)),"QC","")</f>
        <v/>
      </c>
      <c r="BC388" s="90" t="str">
        <f>IF(ISNUMBER(SEARCH("Y",Z388)),"S","")</f>
        <v/>
      </c>
      <c r="BD388" s="90"/>
      <c r="BE388" s="24" t="s">
        <v>119</v>
      </c>
      <c r="BF388" s="125" t="str">
        <f>IF(AND(AW388&gt;=56543,AW388&lt;=76543,LEN(AW388)&gt;0),"3 Feb 2020",IF(AND(AW388&gt;=66544,AW388&lt;=99999,LEN(AW388)&gt;0),"12 Sep 2020",""))</f>
        <v/>
      </c>
      <c r="BG388" s="125" t="str">
        <f>IF((AND(BF388="3 Feb 2020",LEN(BF388)&gt;0)),"Completed",IF((AND(BF388="12 Sep 2020",LEN(BF388)&gt;0)),"Pending",""))</f>
        <v/>
      </c>
      <c r="BH388" s="90" t="str">
        <f>IF((AND(BF388="3 Feb 2020",LEN(BF388)&gt;0)),"3 Feb 2020","")</f>
        <v/>
      </c>
      <c r="BI388" s="90">
        <v>212051</v>
      </c>
      <c r="BJ388" s="90" t="str">
        <f>L388</f>
        <v>1D35HT90689-48</v>
      </c>
      <c r="BK388" s="127">
        <v>43508</v>
      </c>
      <c r="BL388" s="127">
        <v>44239</v>
      </c>
      <c r="BM388" s="128">
        <f>P388*1.1</f>
        <v>2957897.8000000003</v>
      </c>
      <c r="BN388" s="129">
        <f>P388*0.9</f>
        <v>2420098.2000000002</v>
      </c>
      <c r="BO388" s="130">
        <f>P388*0.8</f>
        <v>2151198.4</v>
      </c>
      <c r="BP388" s="90">
        <f>IF(Z388="Y",BM388*0.4,BM388*1.05)</f>
        <v>3105792.6900000004</v>
      </c>
      <c r="BQ388" s="90">
        <f>BP388*0.8</f>
        <v>2484634.1520000002</v>
      </c>
      <c r="BR388" s="90" t="str">
        <f>IF(ISNUMBER(SEARCH("subrecipient",AI384)),P388*0.6,"")</f>
        <v/>
      </c>
      <c r="BS388" s="90">
        <v>212051</v>
      </c>
      <c r="BT388" s="90" t="str">
        <f>BJ388</f>
        <v>1D35HT90689-48</v>
      </c>
      <c r="BU388" s="127">
        <f>BK388</f>
        <v>43508</v>
      </c>
      <c r="BV388" s="127">
        <f>BL388</f>
        <v>44239</v>
      </c>
      <c r="BW388" s="90" t="str">
        <f>H388</f>
        <v>ACF</v>
      </c>
      <c r="BX388" s="90" t="str">
        <f>IF(H388="NATIONAL HEMOPHILIA FOUNDATION","Non Federal","Federal")</f>
        <v>Federal</v>
      </c>
      <c r="BY388" s="128">
        <f>BM388</f>
        <v>2957897.8000000003</v>
      </c>
      <c r="BZ388" s="90" t="str">
        <f>IF(LEN(BR388)&gt;0,1,"")</f>
        <v/>
      </c>
      <c r="CA388" s="90" t="str">
        <f>IF(LEN(BR388)&gt;0,"VIRAL HEPATITIS PROJECT","")</f>
        <v/>
      </c>
      <c r="CB388" s="129" t="str">
        <f>IF(LEN(BR388)&gt;0,BM388*0.7,"")</f>
        <v/>
      </c>
      <c r="CC388" s="90">
        <f>BP388</f>
        <v>3105792.6900000004</v>
      </c>
      <c r="CD388" s="90" t="str">
        <f>IF(LEN(BR388)&gt;0,"70%","")</f>
        <v/>
      </c>
      <c r="CE388" s="90">
        <f>BS388</f>
        <v>212051</v>
      </c>
      <c r="CF388" s="90" t="str">
        <f>CA388</f>
        <v/>
      </c>
      <c r="CG388" s="90"/>
      <c r="CH388" s="90"/>
      <c r="CI388" s="90"/>
      <c r="CJ388" s="90"/>
      <c r="CK388" s="90"/>
      <c r="CL388" s="90"/>
      <c r="CM388" s="90"/>
      <c r="CN388" s="90"/>
      <c r="CO388" s="90"/>
      <c r="CP388" s="90"/>
      <c r="CQ388" s="90"/>
      <c r="CR388" s="90"/>
      <c r="CS388" s="90"/>
      <c r="CT388" s="137"/>
    </row>
    <row r="389" spans="1:98" ht="105">
      <c r="A389" s="89">
        <v>212053</v>
      </c>
      <c r="B389" s="90">
        <v>2020</v>
      </c>
      <c r="C389" s="90" t="s">
        <v>81</v>
      </c>
      <c r="D389" s="90" t="s">
        <v>1189</v>
      </c>
      <c r="E389" s="125" t="s">
        <v>780</v>
      </c>
      <c r="F389" s="24" t="s">
        <v>1190</v>
      </c>
      <c r="G389" s="90" t="s">
        <v>85</v>
      </c>
      <c r="H389" s="90" t="s">
        <v>86</v>
      </c>
      <c r="I389" s="90">
        <v>93</v>
      </c>
      <c r="J389" s="90">
        <v>157</v>
      </c>
      <c r="K389" s="90" t="s">
        <v>85</v>
      </c>
      <c r="L389" s="90" t="s">
        <v>1191</v>
      </c>
      <c r="M389" s="90" t="s">
        <v>119</v>
      </c>
      <c r="N389" s="24" t="s">
        <v>1192</v>
      </c>
      <c r="O389" s="24" t="str">
        <f>IF(ISNUMBER(SEARCH("Cancer",N389)),"Cancer",IF(ISNUMBER(SEARCH("health",N389)),"Public health",IF(ISNUMBER(SEARCH("disabilities",N389)),"Disabilities","Other")))</f>
        <v>Other</v>
      </c>
      <c r="P389" s="126">
        <v>2596198</v>
      </c>
      <c r="Q389" s="90" t="s">
        <v>85</v>
      </c>
      <c r="R389" s="90" t="str">
        <f>IF(P389&gt;20000000,"B","A")</f>
        <v>A</v>
      </c>
      <c r="S389" s="90" t="s">
        <v>90</v>
      </c>
      <c r="T389" s="90" t="s">
        <v>119</v>
      </c>
      <c r="U389" s="90" t="s">
        <v>119</v>
      </c>
      <c r="V389" s="90" t="s">
        <v>119</v>
      </c>
      <c r="W389" s="90" t="s">
        <v>119</v>
      </c>
      <c r="X389" s="90" t="s">
        <v>119</v>
      </c>
      <c r="Y389" s="90" t="s">
        <v>119</v>
      </c>
      <c r="Z389" s="90" t="s">
        <v>119</v>
      </c>
      <c r="AA389" s="90" t="s">
        <v>119</v>
      </c>
      <c r="AB389" s="90" t="s">
        <v>119</v>
      </c>
      <c r="AC389" s="90" t="s">
        <v>119</v>
      </c>
      <c r="AD389" s="90" t="s">
        <v>119</v>
      </c>
      <c r="AE389" s="24">
        <v>0</v>
      </c>
      <c r="AF389" s="90">
        <v>0</v>
      </c>
      <c r="AG389" s="24">
        <v>0</v>
      </c>
      <c r="AH389" s="90">
        <v>90738</v>
      </c>
      <c r="AI389" s="24" t="s">
        <v>94</v>
      </c>
      <c r="AJ389" s="24" t="s">
        <v>1193</v>
      </c>
      <c r="AK389" s="90" t="s">
        <v>85</v>
      </c>
      <c r="AL389" s="90">
        <v>212053</v>
      </c>
      <c r="AM389" s="90" t="s">
        <v>81</v>
      </c>
      <c r="AN389" s="90" t="s">
        <v>1189</v>
      </c>
      <c r="AO389" s="125" t="s">
        <v>780</v>
      </c>
      <c r="AP389" s="24" t="s">
        <v>1192</v>
      </c>
      <c r="AQ389" s="90" t="s">
        <v>1191</v>
      </c>
      <c r="AR389" s="24" t="s">
        <v>1192</v>
      </c>
      <c r="AS389" s="90" t="s">
        <v>119</v>
      </c>
      <c r="AT389" s="24" t="s">
        <v>94</v>
      </c>
      <c r="AU389" s="90" t="s">
        <v>119</v>
      </c>
      <c r="AV389" s="90" t="str">
        <f>IF(ISNUMBER(SEARCH("disagree",AE389)),"N","Y")</f>
        <v>Y</v>
      </c>
      <c r="AW389" s="90" t="s">
        <v>119</v>
      </c>
      <c r="AX389" s="24" t="s">
        <v>119</v>
      </c>
      <c r="AY389" s="90" t="str">
        <f>CONCATENATE(AZ389,BA389,BB389,BC389)</f>
        <v/>
      </c>
      <c r="AZ389" s="90" t="str">
        <f>IF(ISNUMBER(SEARCH("Y",AC389)),"R","")</f>
        <v/>
      </c>
      <c r="BA389" s="90" t="str">
        <f>IF(ISNUMBER(SEARCH("Y",Y389)),"M","")</f>
        <v/>
      </c>
      <c r="BB389" s="90" t="str">
        <f>IF(ISNUMBER(SEARCH("Y",AB389)),"QC","")</f>
        <v/>
      </c>
      <c r="BC389" s="90" t="str">
        <f>IF(ISNUMBER(SEARCH("Y",Z389)),"S","")</f>
        <v/>
      </c>
      <c r="BD389" s="90"/>
      <c r="BE389" s="24" t="s">
        <v>119</v>
      </c>
      <c r="BF389" s="125" t="str">
        <f>IF(AND(AW389&gt;=56543,AW389&lt;=76543,LEN(AW389)&gt;0),"3 Feb 2020",IF(AND(AW389&gt;=66544,AW389&lt;=99999,LEN(AW389)&gt;0),"12 Sep 2020",""))</f>
        <v/>
      </c>
      <c r="BG389" s="125" t="str">
        <f>IF((AND(BF389="3 Feb 2020",LEN(BF389)&gt;0)),"Completed",IF((AND(BF389="12 Sep 2020",LEN(BF389)&gt;0)),"Pending",""))</f>
        <v/>
      </c>
      <c r="BH389" s="90" t="str">
        <f>IF((AND(BF389="3 Feb 2020",LEN(BF389)&gt;0)),"3 Feb 2020","")</f>
        <v/>
      </c>
      <c r="BI389" s="90">
        <v>212053</v>
      </c>
      <c r="BJ389" s="90" t="str">
        <f>L389</f>
        <v>6C52FS90738-38</v>
      </c>
      <c r="BK389" s="127">
        <v>43508</v>
      </c>
      <c r="BL389" s="127">
        <v>44239</v>
      </c>
      <c r="BM389" s="128">
        <f>P389*1.1</f>
        <v>2855817.8000000003</v>
      </c>
      <c r="BN389" s="129">
        <f>P389*0.9</f>
        <v>2336578.2000000002</v>
      </c>
      <c r="BO389" s="130">
        <f>P389*0.8</f>
        <v>2076958.4000000001</v>
      </c>
      <c r="BP389" s="90">
        <f>IF(Z389="Y",BM389*0.4,BM389*1.05)</f>
        <v>2998608.6900000004</v>
      </c>
      <c r="BQ389" s="90">
        <f>BP389*0.8</f>
        <v>2398886.9520000005</v>
      </c>
      <c r="BR389" s="90" t="str">
        <f>IF(ISNUMBER(SEARCH("subrecipient",AI385)),P389*0.6,"")</f>
        <v/>
      </c>
      <c r="BS389" s="90">
        <v>212053</v>
      </c>
      <c r="BT389" s="90" t="str">
        <f>BJ389</f>
        <v>6C52FS90738-38</v>
      </c>
      <c r="BU389" s="127">
        <f>BK389</f>
        <v>43508</v>
      </c>
      <c r="BV389" s="127">
        <f>BL389</f>
        <v>44239</v>
      </c>
      <c r="BW389" s="90" t="str">
        <f>H389</f>
        <v>CDC</v>
      </c>
      <c r="BX389" s="90" t="str">
        <f>IF(H389="NATIONAL HEMOPHILIA FOUNDATION","Non Federal","Federal")</f>
        <v>Federal</v>
      </c>
      <c r="BY389" s="128">
        <f>BM389</f>
        <v>2855817.8000000003</v>
      </c>
      <c r="BZ389" s="90" t="str">
        <f>IF(LEN(BR389)&gt;0,1,"")</f>
        <v/>
      </c>
      <c r="CA389" s="90" t="str">
        <f>IF(LEN(BR389)&gt;0,"VIRAL HEPATITIS PROJECT","")</f>
        <v/>
      </c>
      <c r="CB389" s="129" t="str">
        <f>IF(LEN(BR389)&gt;0,BM389*0.7,"")</f>
        <v/>
      </c>
      <c r="CC389" s="90">
        <f>BP389</f>
        <v>2998608.6900000004</v>
      </c>
      <c r="CD389" s="90" t="str">
        <f>IF(LEN(BR389)&gt;0,"70%","")</f>
        <v/>
      </c>
      <c r="CE389" s="90">
        <f>BS389</f>
        <v>212053</v>
      </c>
      <c r="CF389" s="90" t="str">
        <f>CA389</f>
        <v/>
      </c>
      <c r="CG389" s="90"/>
      <c r="CH389" s="90"/>
      <c r="CI389" s="90"/>
      <c r="CJ389" s="90"/>
      <c r="CK389" s="90"/>
      <c r="CL389" s="90"/>
      <c r="CM389" s="90"/>
      <c r="CN389" s="90"/>
      <c r="CO389" s="90"/>
      <c r="CP389" s="90"/>
      <c r="CQ389" s="90"/>
      <c r="CR389" s="90"/>
      <c r="CS389" s="90"/>
      <c r="CT389" s="137"/>
    </row>
    <row r="390" spans="1:98" ht="60">
      <c r="A390" s="89">
        <v>212053</v>
      </c>
      <c r="B390" s="90">
        <v>2020</v>
      </c>
      <c r="C390" s="90" t="s">
        <v>81</v>
      </c>
      <c r="D390" s="90" t="s">
        <v>1189</v>
      </c>
      <c r="E390" s="125" t="s">
        <v>781</v>
      </c>
      <c r="F390" s="24" t="s">
        <v>1190</v>
      </c>
      <c r="G390" s="90" t="s">
        <v>85</v>
      </c>
      <c r="H390" s="90" t="s">
        <v>86</v>
      </c>
      <c r="I390" s="90">
        <v>93</v>
      </c>
      <c r="J390" s="90">
        <v>157</v>
      </c>
      <c r="K390" s="90" t="s">
        <v>85</v>
      </c>
      <c r="L390" s="90" t="s">
        <v>1191</v>
      </c>
      <c r="M390" s="90" t="s">
        <v>119</v>
      </c>
      <c r="N390" s="24" t="s">
        <v>1192</v>
      </c>
      <c r="O390" s="24" t="str">
        <f>IF(ISNUMBER(SEARCH("Cancer",N390)),"Cancer",IF(ISNUMBER(SEARCH("health",N390)),"Public health",IF(ISNUMBER(SEARCH("disabilities",N390)),"Disabilities","Other")))</f>
        <v>Other</v>
      </c>
      <c r="P390" s="126">
        <v>2596198</v>
      </c>
      <c r="Q390" s="90" t="s">
        <v>85</v>
      </c>
      <c r="R390" s="90" t="str">
        <f>IF(P390&gt;20000000,"B","A")</f>
        <v>A</v>
      </c>
      <c r="S390" s="90" t="s">
        <v>90</v>
      </c>
      <c r="T390" s="90" t="s">
        <v>119</v>
      </c>
      <c r="U390" s="90" t="s">
        <v>119</v>
      </c>
      <c r="V390" s="90" t="s">
        <v>119</v>
      </c>
      <c r="W390" s="90" t="s">
        <v>119</v>
      </c>
      <c r="X390" s="90" t="s">
        <v>119</v>
      </c>
      <c r="Y390" s="90" t="s">
        <v>119</v>
      </c>
      <c r="Z390" s="90" t="s">
        <v>119</v>
      </c>
      <c r="AA390" s="90" t="s">
        <v>119</v>
      </c>
      <c r="AB390" s="90" t="s">
        <v>119</v>
      </c>
      <c r="AC390" s="90" t="s">
        <v>119</v>
      </c>
      <c r="AD390" s="90" t="s">
        <v>119</v>
      </c>
      <c r="AE390" s="24">
        <v>0</v>
      </c>
      <c r="AF390" s="90">
        <v>0</v>
      </c>
      <c r="AG390" s="24">
        <v>0</v>
      </c>
      <c r="AH390" s="90">
        <v>90740</v>
      </c>
      <c r="AI390" s="24" t="s">
        <v>102</v>
      </c>
      <c r="AJ390" s="24" t="s">
        <v>1194</v>
      </c>
      <c r="AK390" s="90" t="s">
        <v>85</v>
      </c>
      <c r="AL390" s="90">
        <v>212053</v>
      </c>
      <c r="AM390" s="90" t="s">
        <v>81</v>
      </c>
      <c r="AN390" s="90" t="s">
        <v>1189</v>
      </c>
      <c r="AO390" s="125" t="s">
        <v>781</v>
      </c>
      <c r="AP390" s="24" t="s">
        <v>1192</v>
      </c>
      <c r="AQ390" s="90" t="s">
        <v>1191</v>
      </c>
      <c r="AR390" s="24" t="s">
        <v>1192</v>
      </c>
      <c r="AS390" s="90" t="s">
        <v>119</v>
      </c>
      <c r="AT390" s="24" t="s">
        <v>102</v>
      </c>
      <c r="AU390" s="90" t="s">
        <v>119</v>
      </c>
      <c r="AV390" s="90" t="str">
        <f>IF(ISNUMBER(SEARCH("disagree",AE390)),"N","Y")</f>
        <v>Y</v>
      </c>
      <c r="AW390" s="90" t="s">
        <v>119</v>
      </c>
      <c r="AX390" s="24" t="s">
        <v>119</v>
      </c>
      <c r="AY390" s="90" t="str">
        <f>CONCATENATE(AZ390,BA390,BB390,BC390)</f>
        <v/>
      </c>
      <c r="AZ390" s="90" t="str">
        <f>IF(ISNUMBER(SEARCH("Y",AC390)),"R","")</f>
        <v/>
      </c>
      <c r="BA390" s="90" t="str">
        <f>IF(ISNUMBER(SEARCH("Y",Y390)),"M","")</f>
        <v/>
      </c>
      <c r="BB390" s="90" t="str">
        <f>IF(ISNUMBER(SEARCH("Y",AB390)),"QC","")</f>
        <v/>
      </c>
      <c r="BC390" s="90" t="str">
        <f>IF(ISNUMBER(SEARCH("Y",Z390)),"S","")</f>
        <v/>
      </c>
      <c r="BD390" s="90"/>
      <c r="BE390" s="24" t="s">
        <v>119</v>
      </c>
      <c r="BF390" s="125" t="str">
        <f>IF(AND(AW390&gt;=56543,AW390&lt;=76543,LEN(AW390)&gt;0),"3 Feb 2020",IF(AND(AW390&gt;=66544,AW390&lt;=99999,LEN(AW390)&gt;0),"12 Sep 2020",""))</f>
        <v/>
      </c>
      <c r="BG390" s="125" t="str">
        <f>IF((AND(BF390="3 Feb 2020",LEN(BF390)&gt;0)),"Completed",IF((AND(BF390="12 Sep 2020",LEN(BF390)&gt;0)),"Pending",""))</f>
        <v/>
      </c>
      <c r="BH390" s="90" t="str">
        <f>IF((AND(BF390="3 Feb 2020",LEN(BF390)&gt;0)),"3 Feb 2020","")</f>
        <v/>
      </c>
      <c r="BI390" s="90">
        <v>212053</v>
      </c>
      <c r="BJ390" s="90" t="str">
        <f>L390</f>
        <v>6C52FS90738-38</v>
      </c>
      <c r="BK390" s="127">
        <v>43508</v>
      </c>
      <c r="BL390" s="127">
        <v>44239</v>
      </c>
      <c r="BM390" s="128">
        <f>P390*1.1</f>
        <v>2855817.8000000003</v>
      </c>
      <c r="BN390" s="129">
        <f>P390*0.9</f>
        <v>2336578.2000000002</v>
      </c>
      <c r="BO390" s="130">
        <f>P390*0.8</f>
        <v>2076958.4000000001</v>
      </c>
      <c r="BP390" s="90">
        <f>IF(Z390="Y",BM390*0.4,BM390*1.05)</f>
        <v>2998608.6900000004</v>
      </c>
      <c r="BQ390" s="90">
        <f>BP390*0.8</f>
        <v>2398886.9520000005</v>
      </c>
      <c r="BR390" s="90" t="str">
        <f>IF(ISNUMBER(SEARCH("subrecipient",AI386)),P390*0.6,"")</f>
        <v/>
      </c>
      <c r="BS390" s="90">
        <v>212053</v>
      </c>
      <c r="BT390" s="90" t="str">
        <f>BJ390</f>
        <v>6C52FS90738-38</v>
      </c>
      <c r="BU390" s="127">
        <f>BK390</f>
        <v>43508</v>
      </c>
      <c r="BV390" s="127">
        <f>BL390</f>
        <v>44239</v>
      </c>
      <c r="BW390" s="90" t="str">
        <f>H390</f>
        <v>CDC</v>
      </c>
      <c r="BX390" s="90" t="str">
        <f>IF(H390="NATIONAL HEMOPHILIA FOUNDATION","Non Federal","Federal")</f>
        <v>Federal</v>
      </c>
      <c r="BY390" s="128">
        <f>BM390</f>
        <v>2855817.8000000003</v>
      </c>
      <c r="BZ390" s="90" t="str">
        <f>IF(LEN(BR390)&gt;0,1,"")</f>
        <v/>
      </c>
      <c r="CA390" s="90" t="str">
        <f>IF(LEN(BR390)&gt;0,"VIRAL HEPATITIS PROJECT","")</f>
        <v/>
      </c>
      <c r="CB390" s="129" t="str">
        <f>IF(LEN(BR390)&gt;0,BM390*0.7,"")</f>
        <v/>
      </c>
      <c r="CC390" s="90">
        <f>BP390</f>
        <v>2998608.6900000004</v>
      </c>
      <c r="CD390" s="90" t="str">
        <f>IF(LEN(BR390)&gt;0,"70%","")</f>
        <v/>
      </c>
      <c r="CE390" s="90">
        <f>BS390</f>
        <v>212053</v>
      </c>
      <c r="CF390" s="90" t="str">
        <f>CA390</f>
        <v/>
      </c>
      <c r="CG390" s="90"/>
      <c r="CH390" s="90"/>
      <c r="CI390" s="90"/>
      <c r="CJ390" s="90"/>
      <c r="CK390" s="90"/>
      <c r="CL390" s="90"/>
      <c r="CM390" s="90"/>
      <c r="CN390" s="90"/>
      <c r="CO390" s="90"/>
      <c r="CP390" s="90"/>
      <c r="CQ390" s="90"/>
      <c r="CR390" s="90"/>
      <c r="CS390" s="90"/>
      <c r="CT390" s="137"/>
    </row>
    <row r="391" spans="1:98" ht="75">
      <c r="A391" s="89">
        <v>212053</v>
      </c>
      <c r="B391" s="90">
        <v>2020</v>
      </c>
      <c r="C391" s="90" t="s">
        <v>81</v>
      </c>
      <c r="D391" s="90" t="s">
        <v>1189</v>
      </c>
      <c r="E391" s="125" t="s">
        <v>784</v>
      </c>
      <c r="F391" s="24" t="s">
        <v>1190</v>
      </c>
      <c r="G391" s="90" t="s">
        <v>85</v>
      </c>
      <c r="H391" s="90" t="s">
        <v>86</v>
      </c>
      <c r="I391" s="90">
        <v>93</v>
      </c>
      <c r="J391" s="90">
        <v>157</v>
      </c>
      <c r="K391" s="90" t="s">
        <v>85</v>
      </c>
      <c r="L391" s="90" t="s">
        <v>1191</v>
      </c>
      <c r="M391" s="90" t="s">
        <v>119</v>
      </c>
      <c r="N391" s="24" t="s">
        <v>1192</v>
      </c>
      <c r="O391" s="24" t="str">
        <f>IF(ISNUMBER(SEARCH("Cancer",N391)),"Cancer",IF(ISNUMBER(SEARCH("health",N391)),"Public health",IF(ISNUMBER(SEARCH("disabilities",N391)),"Disabilities","Other")))</f>
        <v>Other</v>
      </c>
      <c r="P391" s="126">
        <v>2596198</v>
      </c>
      <c r="Q391" s="90" t="s">
        <v>85</v>
      </c>
      <c r="R391" s="90" t="str">
        <f>IF(P391&gt;20000000,"B","A")</f>
        <v>A</v>
      </c>
      <c r="S391" s="90" t="s">
        <v>90</v>
      </c>
      <c r="T391" s="90" t="s">
        <v>119</v>
      </c>
      <c r="U391" s="90" t="s">
        <v>119</v>
      </c>
      <c r="V391" s="90" t="s">
        <v>119</v>
      </c>
      <c r="W391" s="90" t="s">
        <v>119</v>
      </c>
      <c r="X391" s="90" t="s">
        <v>119</v>
      </c>
      <c r="Y391" s="90" t="s">
        <v>119</v>
      </c>
      <c r="Z391" s="90" t="s">
        <v>119</v>
      </c>
      <c r="AA391" s="90" t="s">
        <v>119</v>
      </c>
      <c r="AB391" s="90" t="s">
        <v>119</v>
      </c>
      <c r="AC391" s="90" t="s">
        <v>119</v>
      </c>
      <c r="AD391" s="90" t="s">
        <v>119</v>
      </c>
      <c r="AE391" s="24">
        <v>0</v>
      </c>
      <c r="AF391" s="90">
        <v>0</v>
      </c>
      <c r="AG391" s="24">
        <v>0</v>
      </c>
      <c r="AH391" s="90">
        <v>90739</v>
      </c>
      <c r="AI391" s="24" t="s">
        <v>110</v>
      </c>
      <c r="AJ391" s="24" t="s">
        <v>1195</v>
      </c>
      <c r="AK391" s="90" t="s">
        <v>85</v>
      </c>
      <c r="AL391" s="90">
        <v>212053</v>
      </c>
      <c r="AM391" s="90" t="s">
        <v>81</v>
      </c>
      <c r="AN391" s="90" t="s">
        <v>1189</v>
      </c>
      <c r="AO391" s="125" t="s">
        <v>784</v>
      </c>
      <c r="AP391" s="24" t="s">
        <v>1192</v>
      </c>
      <c r="AQ391" s="90" t="s">
        <v>1191</v>
      </c>
      <c r="AR391" s="24" t="s">
        <v>1192</v>
      </c>
      <c r="AS391" s="90" t="s">
        <v>119</v>
      </c>
      <c r="AT391" s="24" t="s">
        <v>110</v>
      </c>
      <c r="AU391" s="90" t="s">
        <v>119</v>
      </c>
      <c r="AV391" s="90" t="str">
        <f>IF(ISNUMBER(SEARCH("disagree",AE391)),"N","Y")</f>
        <v>Y</v>
      </c>
      <c r="AW391" s="90" t="s">
        <v>119</v>
      </c>
      <c r="AX391" s="24" t="s">
        <v>119</v>
      </c>
      <c r="AY391" s="90" t="str">
        <f>CONCATENATE(AZ391,BA391,BB391,BC391)</f>
        <v/>
      </c>
      <c r="AZ391" s="90" t="str">
        <f>IF(ISNUMBER(SEARCH("Y",AC391)),"R","")</f>
        <v/>
      </c>
      <c r="BA391" s="90" t="str">
        <f>IF(ISNUMBER(SEARCH("Y",Y391)),"M","")</f>
        <v/>
      </c>
      <c r="BB391" s="90" t="str">
        <f>IF(ISNUMBER(SEARCH("Y",AB391)),"QC","")</f>
        <v/>
      </c>
      <c r="BC391" s="90" t="str">
        <f>IF(ISNUMBER(SEARCH("Y",Z391)),"S","")</f>
        <v/>
      </c>
      <c r="BD391" s="90"/>
      <c r="BE391" s="24" t="s">
        <v>119</v>
      </c>
      <c r="BF391" s="125" t="str">
        <f>IF(AND(AW391&gt;=56543,AW391&lt;=76543,LEN(AW391)&gt;0),"3 Feb 2020",IF(AND(AW391&gt;=66544,AW391&lt;=99999,LEN(AW391)&gt;0),"12 Sep 2020",""))</f>
        <v/>
      </c>
      <c r="BG391" s="125" t="str">
        <f>IF((AND(BF391="3 Feb 2020",LEN(BF391)&gt;0)),"Completed",IF((AND(BF391="12 Sep 2020",LEN(BF391)&gt;0)),"Pending",""))</f>
        <v/>
      </c>
      <c r="BH391" s="90" t="str">
        <f>IF((AND(BF391="3 Feb 2020",LEN(BF391)&gt;0)),"3 Feb 2020","")</f>
        <v/>
      </c>
      <c r="BI391" s="90">
        <v>212053</v>
      </c>
      <c r="BJ391" s="90" t="str">
        <f>L391</f>
        <v>6C52FS90738-38</v>
      </c>
      <c r="BK391" s="127">
        <v>43508</v>
      </c>
      <c r="BL391" s="127">
        <v>44239</v>
      </c>
      <c r="BM391" s="128">
        <f>P391*1.1</f>
        <v>2855817.8000000003</v>
      </c>
      <c r="BN391" s="129">
        <f>P391*0.9</f>
        <v>2336578.2000000002</v>
      </c>
      <c r="BO391" s="130">
        <f>P391*0.8</f>
        <v>2076958.4000000001</v>
      </c>
      <c r="BP391" s="90">
        <f>IF(Z391="Y",BM391*0.4,BM391*1.05)</f>
        <v>2998608.6900000004</v>
      </c>
      <c r="BQ391" s="90">
        <f>BP391*0.8</f>
        <v>2398886.9520000005</v>
      </c>
      <c r="BR391" s="90" t="str">
        <f>IF(ISNUMBER(SEARCH("subrecipient",AI387)),P391*0.6,"")</f>
        <v/>
      </c>
      <c r="BS391" s="90">
        <v>212053</v>
      </c>
      <c r="BT391" s="90" t="str">
        <f>BJ391</f>
        <v>6C52FS90738-38</v>
      </c>
      <c r="BU391" s="127">
        <f>BK391</f>
        <v>43508</v>
      </c>
      <c r="BV391" s="127">
        <f>BL391</f>
        <v>44239</v>
      </c>
      <c r="BW391" s="90" t="str">
        <f>H391</f>
        <v>CDC</v>
      </c>
      <c r="BX391" s="90" t="str">
        <f>IF(H391="NATIONAL HEMOPHILIA FOUNDATION","Non Federal","Federal")</f>
        <v>Federal</v>
      </c>
      <c r="BY391" s="128">
        <f>BM391</f>
        <v>2855817.8000000003</v>
      </c>
      <c r="BZ391" s="90" t="str">
        <f>IF(LEN(BR391)&gt;0,1,"")</f>
        <v/>
      </c>
      <c r="CA391" s="90" t="str">
        <f>IF(LEN(BR391)&gt;0,"VIRAL HEPATITIS PROJECT","")</f>
        <v/>
      </c>
      <c r="CB391" s="129" t="str">
        <f>IF(LEN(BR391)&gt;0,BM391*0.7,"")</f>
        <v/>
      </c>
      <c r="CC391" s="90">
        <f>BP391</f>
        <v>2998608.6900000004</v>
      </c>
      <c r="CD391" s="90" t="str">
        <f>IF(LEN(BR391)&gt;0,"70%","")</f>
        <v/>
      </c>
      <c r="CE391" s="90">
        <f>BS391</f>
        <v>212053</v>
      </c>
      <c r="CF391" s="90" t="str">
        <f>CA391</f>
        <v/>
      </c>
      <c r="CG391" s="90"/>
      <c r="CH391" s="90"/>
      <c r="CI391" s="90"/>
      <c r="CJ391" s="90"/>
      <c r="CK391" s="90"/>
      <c r="CL391" s="90"/>
      <c r="CM391" s="90"/>
      <c r="CN391" s="90"/>
      <c r="CO391" s="90"/>
      <c r="CP391" s="90"/>
      <c r="CQ391" s="90"/>
      <c r="CR391" s="90"/>
      <c r="CS391" s="90"/>
      <c r="CT391" s="137"/>
    </row>
    <row r="392" spans="1:98" ht="105">
      <c r="A392" s="89">
        <v>212054</v>
      </c>
      <c r="B392" s="90">
        <v>2020</v>
      </c>
      <c r="C392" s="90" t="s">
        <v>81</v>
      </c>
      <c r="D392" s="90" t="s">
        <v>1196</v>
      </c>
      <c r="E392" s="125" t="s">
        <v>790</v>
      </c>
      <c r="F392" s="24" t="s">
        <v>1197</v>
      </c>
      <c r="G392" s="90" t="s">
        <v>85</v>
      </c>
      <c r="H392" s="90" t="s">
        <v>117</v>
      </c>
      <c r="I392" s="90">
        <v>93</v>
      </c>
      <c r="J392" s="90">
        <v>157</v>
      </c>
      <c r="K392" s="90" t="s">
        <v>85</v>
      </c>
      <c r="L392" s="90" t="s">
        <v>1198</v>
      </c>
      <c r="M392" s="90" t="s">
        <v>119</v>
      </c>
      <c r="N392" s="24" t="s">
        <v>1199</v>
      </c>
      <c r="O392" s="24" t="str">
        <f>IF(ISNUMBER(SEARCH("Cancer",N392)),"Cancer",IF(ISNUMBER(SEARCH("health",N392)),"Public health",IF(ISNUMBER(SEARCH("disabilities",N392)),"Disabilities","Other")))</f>
        <v>Other</v>
      </c>
      <c r="P392" s="126">
        <v>2993937</v>
      </c>
      <c r="Q392" s="90" t="s">
        <v>85</v>
      </c>
      <c r="R392" s="90" t="str">
        <f>IF(P392&gt;20000000,"B","A")</f>
        <v>A</v>
      </c>
      <c r="S392" s="90" t="s">
        <v>90</v>
      </c>
      <c r="T392" s="90" t="s">
        <v>119</v>
      </c>
      <c r="U392" s="90" t="s">
        <v>119</v>
      </c>
      <c r="V392" s="90" t="s">
        <v>119</v>
      </c>
      <c r="W392" s="90" t="s">
        <v>119</v>
      </c>
      <c r="X392" s="90" t="s">
        <v>119</v>
      </c>
      <c r="Y392" s="90" t="s">
        <v>119</v>
      </c>
      <c r="Z392" s="90" t="s">
        <v>119</v>
      </c>
      <c r="AA392" s="90" t="s">
        <v>119</v>
      </c>
      <c r="AB392" s="90" t="s">
        <v>119</v>
      </c>
      <c r="AC392" s="90" t="s">
        <v>119</v>
      </c>
      <c r="AD392" s="90" t="s">
        <v>119</v>
      </c>
      <c r="AE392" s="24">
        <v>0</v>
      </c>
      <c r="AF392" s="90">
        <v>0</v>
      </c>
      <c r="AG392" s="24">
        <v>0</v>
      </c>
      <c r="AH392" s="90">
        <v>90877</v>
      </c>
      <c r="AI392" s="24" t="s">
        <v>94</v>
      </c>
      <c r="AJ392" s="24" t="s">
        <v>1200</v>
      </c>
      <c r="AK392" s="90" t="s">
        <v>85</v>
      </c>
      <c r="AL392" s="90">
        <v>212054</v>
      </c>
      <c r="AM392" s="90" t="s">
        <v>81</v>
      </c>
      <c r="AN392" s="90" t="s">
        <v>1196</v>
      </c>
      <c r="AO392" s="125" t="s">
        <v>790</v>
      </c>
      <c r="AP392" s="24" t="s">
        <v>1199</v>
      </c>
      <c r="AQ392" s="90" t="s">
        <v>1198</v>
      </c>
      <c r="AR392" s="24" t="s">
        <v>1199</v>
      </c>
      <c r="AS392" s="90" t="s">
        <v>119</v>
      </c>
      <c r="AT392" s="24" t="s">
        <v>94</v>
      </c>
      <c r="AU392" s="90" t="s">
        <v>119</v>
      </c>
      <c r="AV392" s="90" t="str">
        <f>IF(ISNUMBER(SEARCH("disagree",AE392)),"N","Y")</f>
        <v>Y</v>
      </c>
      <c r="AW392" s="90" t="s">
        <v>119</v>
      </c>
      <c r="AX392" s="24" t="s">
        <v>119</v>
      </c>
      <c r="AY392" s="90" t="str">
        <f>CONCATENATE(AZ392,BA392,BB392,BC392)</f>
        <v/>
      </c>
      <c r="AZ392" s="90" t="str">
        <f>IF(ISNUMBER(SEARCH("Y",AC392)),"R","")</f>
        <v/>
      </c>
      <c r="BA392" s="90" t="str">
        <f>IF(ISNUMBER(SEARCH("Y",Y392)),"M","")</f>
        <v/>
      </c>
      <c r="BB392" s="90" t="str">
        <f>IF(ISNUMBER(SEARCH("Y",AB392)),"QC","")</f>
        <v/>
      </c>
      <c r="BC392" s="90" t="str">
        <f>IF(ISNUMBER(SEARCH("Y",Z392)),"S","")</f>
        <v/>
      </c>
      <c r="BD392" s="90"/>
      <c r="BE392" s="24" t="s">
        <v>119</v>
      </c>
      <c r="BF392" s="125" t="str">
        <f>IF(AND(AW392&gt;=56543,AW392&lt;=76543,LEN(AW392)&gt;0),"3 Feb 2020",IF(AND(AW392&gt;=66544,AW392&lt;=99999,LEN(AW392)&gt;0),"12 Sep 2020",""))</f>
        <v/>
      </c>
      <c r="BG392" s="125" t="str">
        <f>IF((AND(BF392="3 Feb 2020",LEN(BF392)&gt;0)),"Completed",IF((AND(BF392="12 Sep 2020",LEN(BF392)&gt;0)),"Pending",""))</f>
        <v/>
      </c>
      <c r="BH392" s="90" t="str">
        <f>IF((AND(BF392="3 Feb 2020",LEN(BF392)&gt;0)),"3 Feb 2020","")</f>
        <v/>
      </c>
      <c r="BI392" s="90">
        <v>212054</v>
      </c>
      <c r="BJ392" s="90" t="str">
        <f>L392</f>
        <v>8B13GR90739-75</v>
      </c>
      <c r="BK392" s="127">
        <v>43508</v>
      </c>
      <c r="BL392" s="127">
        <v>44239</v>
      </c>
      <c r="BM392" s="128">
        <f>P392*1.1</f>
        <v>3293330.7</v>
      </c>
      <c r="BN392" s="129">
        <f>P392*0.9</f>
        <v>2694543.3000000003</v>
      </c>
      <c r="BO392" s="130">
        <f>P392*0.8</f>
        <v>2395149.6</v>
      </c>
      <c r="BP392" s="90">
        <f>IF(Z392="Y",BM392*0.4,BM392*1.05)</f>
        <v>3457997.2350000003</v>
      </c>
      <c r="BQ392" s="90">
        <f>BP392*0.8</f>
        <v>2766397.7880000006</v>
      </c>
      <c r="BR392" s="90" t="str">
        <f>IF(ISNUMBER(SEARCH("subrecipient",AI388)),P392*0.6,"")</f>
        <v/>
      </c>
      <c r="BS392" s="90">
        <v>212054</v>
      </c>
      <c r="BT392" s="90" t="str">
        <f>BJ392</f>
        <v>8B13GR90739-75</v>
      </c>
      <c r="BU392" s="127">
        <f>BK392</f>
        <v>43508</v>
      </c>
      <c r="BV392" s="127">
        <f>BL392</f>
        <v>44239</v>
      </c>
      <c r="BW392" s="90" t="str">
        <f>H392</f>
        <v>NIH</v>
      </c>
      <c r="BX392" s="90" t="str">
        <f>IF(H392="NATIONAL HEMOPHILIA FOUNDATION","Non Federal","Federal")</f>
        <v>Federal</v>
      </c>
      <c r="BY392" s="128">
        <f>BM392</f>
        <v>3293330.7</v>
      </c>
      <c r="BZ392" s="90" t="str">
        <f>IF(LEN(BR392)&gt;0,1,"")</f>
        <v/>
      </c>
      <c r="CA392" s="90" t="str">
        <f>IF(LEN(BR392)&gt;0,"VIRAL HEPATITIS PROJECT","")</f>
        <v/>
      </c>
      <c r="CB392" s="129" t="str">
        <f>IF(LEN(BR392)&gt;0,BM392*0.7,"")</f>
        <v/>
      </c>
      <c r="CC392" s="90">
        <f>BP392</f>
        <v>3457997.2350000003</v>
      </c>
      <c r="CD392" s="90" t="str">
        <f>IF(LEN(BR392)&gt;0,"70%","")</f>
        <v/>
      </c>
      <c r="CE392" s="90">
        <f>BS392</f>
        <v>212054</v>
      </c>
      <c r="CF392" s="90" t="str">
        <f>CA392</f>
        <v/>
      </c>
      <c r="CG392" s="90"/>
      <c r="CH392" s="90"/>
      <c r="CI392" s="90"/>
      <c r="CJ392" s="90"/>
      <c r="CK392" s="90"/>
      <c r="CL392" s="90"/>
      <c r="CM392" s="90"/>
      <c r="CN392" s="90"/>
      <c r="CO392" s="90"/>
      <c r="CP392" s="90"/>
      <c r="CQ392" s="90"/>
      <c r="CR392" s="90"/>
      <c r="CS392" s="90"/>
      <c r="CT392" s="137"/>
    </row>
    <row r="393" spans="1:98" ht="60">
      <c r="A393" s="89">
        <v>212054</v>
      </c>
      <c r="B393" s="90">
        <v>2020</v>
      </c>
      <c r="C393" s="90" t="s">
        <v>81</v>
      </c>
      <c r="D393" s="90" t="s">
        <v>1196</v>
      </c>
      <c r="E393" s="125" t="s">
        <v>791</v>
      </c>
      <c r="F393" s="24" t="s">
        <v>1197</v>
      </c>
      <c r="G393" s="90" t="s">
        <v>85</v>
      </c>
      <c r="H393" s="90" t="s">
        <v>117</v>
      </c>
      <c r="I393" s="90">
        <v>93</v>
      </c>
      <c r="J393" s="90">
        <v>157</v>
      </c>
      <c r="K393" s="90" t="s">
        <v>85</v>
      </c>
      <c r="L393" s="90" t="s">
        <v>1198</v>
      </c>
      <c r="M393" s="90" t="s">
        <v>119</v>
      </c>
      <c r="N393" s="24" t="s">
        <v>1199</v>
      </c>
      <c r="O393" s="24" t="str">
        <f>IF(ISNUMBER(SEARCH("Cancer",N393)),"Cancer",IF(ISNUMBER(SEARCH("health",N393)),"Public health",IF(ISNUMBER(SEARCH("disabilities",N393)),"Disabilities","Other")))</f>
        <v>Other</v>
      </c>
      <c r="P393" s="126">
        <v>2993937</v>
      </c>
      <c r="Q393" s="90" t="s">
        <v>85</v>
      </c>
      <c r="R393" s="90" t="str">
        <f>IF(P393&gt;20000000,"B","A")</f>
        <v>A</v>
      </c>
      <c r="S393" s="90" t="s">
        <v>90</v>
      </c>
      <c r="T393" s="90" t="s">
        <v>119</v>
      </c>
      <c r="U393" s="90" t="s">
        <v>119</v>
      </c>
      <c r="V393" s="90" t="s">
        <v>119</v>
      </c>
      <c r="W393" s="90" t="s">
        <v>119</v>
      </c>
      <c r="X393" s="90" t="s">
        <v>119</v>
      </c>
      <c r="Y393" s="90" t="s">
        <v>119</v>
      </c>
      <c r="Z393" s="90" t="s">
        <v>119</v>
      </c>
      <c r="AA393" s="90" t="s">
        <v>119</v>
      </c>
      <c r="AB393" s="90" t="s">
        <v>119</v>
      </c>
      <c r="AC393" s="90" t="s">
        <v>119</v>
      </c>
      <c r="AD393" s="90" t="s">
        <v>119</v>
      </c>
      <c r="AE393" s="24">
        <v>0</v>
      </c>
      <c r="AF393" s="90">
        <v>0</v>
      </c>
      <c r="AG393" s="24">
        <v>0</v>
      </c>
      <c r="AH393" s="90">
        <v>90876</v>
      </c>
      <c r="AI393" s="24" t="s">
        <v>102</v>
      </c>
      <c r="AJ393" s="24" t="s">
        <v>1201</v>
      </c>
      <c r="AK393" s="90" t="s">
        <v>85</v>
      </c>
      <c r="AL393" s="90">
        <v>212054</v>
      </c>
      <c r="AM393" s="90" t="s">
        <v>81</v>
      </c>
      <c r="AN393" s="90" t="s">
        <v>1196</v>
      </c>
      <c r="AO393" s="125" t="s">
        <v>791</v>
      </c>
      <c r="AP393" s="24" t="s">
        <v>1199</v>
      </c>
      <c r="AQ393" s="90" t="s">
        <v>1198</v>
      </c>
      <c r="AR393" s="24" t="s">
        <v>1199</v>
      </c>
      <c r="AS393" s="90" t="s">
        <v>119</v>
      </c>
      <c r="AT393" s="24" t="s">
        <v>102</v>
      </c>
      <c r="AU393" s="90" t="s">
        <v>119</v>
      </c>
      <c r="AV393" s="90" t="str">
        <f>IF(ISNUMBER(SEARCH("disagree",AE393)),"N","Y")</f>
        <v>Y</v>
      </c>
      <c r="AW393" s="90" t="s">
        <v>119</v>
      </c>
      <c r="AX393" s="24" t="s">
        <v>119</v>
      </c>
      <c r="AY393" s="90" t="str">
        <f>CONCATENATE(AZ393,BA393,BB393,BC393)</f>
        <v/>
      </c>
      <c r="AZ393" s="90" t="str">
        <f>IF(ISNUMBER(SEARCH("Y",AC393)),"R","")</f>
        <v/>
      </c>
      <c r="BA393" s="90" t="str">
        <f>IF(ISNUMBER(SEARCH("Y",Y393)),"M","")</f>
        <v/>
      </c>
      <c r="BB393" s="90" t="str">
        <f>IF(ISNUMBER(SEARCH("Y",AB393)),"QC","")</f>
        <v/>
      </c>
      <c r="BC393" s="90" t="str">
        <f>IF(ISNUMBER(SEARCH("Y",Z393)),"S","")</f>
        <v/>
      </c>
      <c r="BD393" s="90"/>
      <c r="BE393" s="24" t="s">
        <v>119</v>
      </c>
      <c r="BF393" s="125" t="str">
        <f>IF(AND(AW393&gt;=56543,AW393&lt;=76543,LEN(AW393)&gt;0),"3 Feb 2020",IF(AND(AW393&gt;=66544,AW393&lt;=99999,LEN(AW393)&gt;0),"12 Sep 2020",""))</f>
        <v/>
      </c>
      <c r="BG393" s="125" t="str">
        <f>IF((AND(BF393="3 Feb 2020",LEN(BF393)&gt;0)),"Completed",IF((AND(BF393="12 Sep 2020",LEN(BF393)&gt;0)),"Pending",""))</f>
        <v/>
      </c>
      <c r="BH393" s="90" t="str">
        <f>IF((AND(BF393="3 Feb 2020",LEN(BF393)&gt;0)),"3 Feb 2020","")</f>
        <v/>
      </c>
      <c r="BI393" s="90">
        <v>212054</v>
      </c>
      <c r="BJ393" s="90" t="str">
        <f>L393</f>
        <v>8B13GR90739-75</v>
      </c>
      <c r="BK393" s="127">
        <v>43508</v>
      </c>
      <c r="BL393" s="127">
        <v>44239</v>
      </c>
      <c r="BM393" s="128">
        <f>P393*1.1</f>
        <v>3293330.7</v>
      </c>
      <c r="BN393" s="129">
        <f>P393*0.9</f>
        <v>2694543.3000000003</v>
      </c>
      <c r="BO393" s="130">
        <f>P393*0.8</f>
        <v>2395149.6</v>
      </c>
      <c r="BP393" s="90">
        <f>IF(Z393="Y",BM393*0.4,BM393*1.05)</f>
        <v>3457997.2350000003</v>
      </c>
      <c r="BQ393" s="90">
        <f>BP393*0.8</f>
        <v>2766397.7880000006</v>
      </c>
      <c r="BR393" s="90" t="str">
        <f>IF(ISNUMBER(SEARCH("subrecipient",AI389)),P393*0.6,"")</f>
        <v/>
      </c>
      <c r="BS393" s="90">
        <v>212054</v>
      </c>
      <c r="BT393" s="90" t="str">
        <f>BJ393</f>
        <v>8B13GR90739-75</v>
      </c>
      <c r="BU393" s="127">
        <f>BK393</f>
        <v>43508</v>
      </c>
      <c r="BV393" s="127">
        <f>BL393</f>
        <v>44239</v>
      </c>
      <c r="BW393" s="90" t="str">
        <f>H393</f>
        <v>NIH</v>
      </c>
      <c r="BX393" s="90" t="str">
        <f>IF(H393="NATIONAL HEMOPHILIA FOUNDATION","Non Federal","Federal")</f>
        <v>Federal</v>
      </c>
      <c r="BY393" s="128">
        <f>BM393</f>
        <v>3293330.7</v>
      </c>
      <c r="BZ393" s="90" t="str">
        <f>IF(LEN(BR393)&gt;0,1,"")</f>
        <v/>
      </c>
      <c r="CA393" s="90" t="str">
        <f>IF(LEN(BR393)&gt;0,"VIRAL HEPATITIS PROJECT","")</f>
        <v/>
      </c>
      <c r="CB393" s="129" t="str">
        <f>IF(LEN(BR393)&gt;0,BM393*0.7,"")</f>
        <v/>
      </c>
      <c r="CC393" s="90">
        <f>BP393</f>
        <v>3457997.2350000003</v>
      </c>
      <c r="CD393" s="90" t="str">
        <f>IF(LEN(BR393)&gt;0,"70%","")</f>
        <v/>
      </c>
      <c r="CE393" s="90">
        <f>BS393</f>
        <v>212054</v>
      </c>
      <c r="CF393" s="90" t="str">
        <f>CA393</f>
        <v/>
      </c>
      <c r="CG393" s="90"/>
      <c r="CH393" s="90"/>
      <c r="CI393" s="90"/>
      <c r="CJ393" s="90"/>
      <c r="CK393" s="90"/>
      <c r="CL393" s="90"/>
      <c r="CM393" s="90"/>
      <c r="CN393" s="90"/>
      <c r="CO393" s="90"/>
      <c r="CP393" s="90"/>
      <c r="CQ393" s="90"/>
      <c r="CR393" s="90"/>
      <c r="CS393" s="90"/>
      <c r="CT393" s="137"/>
    </row>
    <row r="394" spans="1:98" ht="75">
      <c r="A394" s="89">
        <v>212054</v>
      </c>
      <c r="B394" s="90">
        <v>2020</v>
      </c>
      <c r="C394" s="90" t="s">
        <v>81</v>
      </c>
      <c r="D394" s="90" t="s">
        <v>1196</v>
      </c>
      <c r="E394" s="125" t="s">
        <v>793</v>
      </c>
      <c r="F394" s="24" t="s">
        <v>1197</v>
      </c>
      <c r="G394" s="90" t="s">
        <v>85</v>
      </c>
      <c r="H394" s="90" t="s">
        <v>117</v>
      </c>
      <c r="I394" s="90">
        <v>93</v>
      </c>
      <c r="J394" s="90">
        <v>157</v>
      </c>
      <c r="K394" s="90" t="s">
        <v>85</v>
      </c>
      <c r="L394" s="90" t="s">
        <v>1198</v>
      </c>
      <c r="M394" s="90" t="s">
        <v>119</v>
      </c>
      <c r="N394" s="24" t="s">
        <v>1199</v>
      </c>
      <c r="O394" s="24" t="str">
        <f>IF(ISNUMBER(SEARCH("Cancer",N394)),"Cancer",IF(ISNUMBER(SEARCH("health",N394)),"Public health",IF(ISNUMBER(SEARCH("disabilities",N394)),"Disabilities","Other")))</f>
        <v>Other</v>
      </c>
      <c r="P394" s="126">
        <v>2993937</v>
      </c>
      <c r="Q394" s="90" t="s">
        <v>85</v>
      </c>
      <c r="R394" s="90" t="str">
        <f>IF(P394&gt;20000000,"B","A")</f>
        <v>A</v>
      </c>
      <c r="S394" s="90" t="s">
        <v>90</v>
      </c>
      <c r="T394" s="90" t="s">
        <v>119</v>
      </c>
      <c r="U394" s="90" t="s">
        <v>119</v>
      </c>
      <c r="V394" s="90" t="s">
        <v>119</v>
      </c>
      <c r="W394" s="90" t="s">
        <v>119</v>
      </c>
      <c r="X394" s="90" t="s">
        <v>119</v>
      </c>
      <c r="Y394" s="90" t="s">
        <v>119</v>
      </c>
      <c r="Z394" s="90" t="s">
        <v>119</v>
      </c>
      <c r="AA394" s="90" t="s">
        <v>119</v>
      </c>
      <c r="AB394" s="90" t="s">
        <v>119</v>
      </c>
      <c r="AC394" s="90" t="s">
        <v>119</v>
      </c>
      <c r="AD394" s="90" t="s">
        <v>119</v>
      </c>
      <c r="AE394" s="24">
        <v>0</v>
      </c>
      <c r="AF394" s="90">
        <v>0</v>
      </c>
      <c r="AG394" s="24">
        <v>0</v>
      </c>
      <c r="AH394" s="90">
        <v>90875</v>
      </c>
      <c r="AI394" s="24" t="s">
        <v>110</v>
      </c>
      <c r="AJ394" s="24" t="s">
        <v>1202</v>
      </c>
      <c r="AK394" s="90" t="s">
        <v>85</v>
      </c>
      <c r="AL394" s="90">
        <v>212054</v>
      </c>
      <c r="AM394" s="90" t="s">
        <v>81</v>
      </c>
      <c r="AN394" s="90" t="s">
        <v>1196</v>
      </c>
      <c r="AO394" s="125" t="s">
        <v>793</v>
      </c>
      <c r="AP394" s="24" t="s">
        <v>1199</v>
      </c>
      <c r="AQ394" s="90" t="s">
        <v>1198</v>
      </c>
      <c r="AR394" s="24" t="s">
        <v>1199</v>
      </c>
      <c r="AS394" s="90" t="s">
        <v>119</v>
      </c>
      <c r="AT394" s="24" t="s">
        <v>110</v>
      </c>
      <c r="AU394" s="90" t="s">
        <v>119</v>
      </c>
      <c r="AV394" s="90" t="str">
        <f>IF(ISNUMBER(SEARCH("disagree",AE394)),"N","Y")</f>
        <v>Y</v>
      </c>
      <c r="AW394" s="90" t="s">
        <v>119</v>
      </c>
      <c r="AX394" s="24" t="s">
        <v>119</v>
      </c>
      <c r="AY394" s="90" t="str">
        <f>CONCATENATE(AZ394,BA394,BB394,BC394)</f>
        <v/>
      </c>
      <c r="AZ394" s="90" t="str">
        <f>IF(ISNUMBER(SEARCH("Y",AC394)),"R","")</f>
        <v/>
      </c>
      <c r="BA394" s="90" t="str">
        <f>IF(ISNUMBER(SEARCH("Y",Y394)),"M","")</f>
        <v/>
      </c>
      <c r="BB394" s="90" t="str">
        <f>IF(ISNUMBER(SEARCH("Y",AB394)),"QC","")</f>
        <v/>
      </c>
      <c r="BC394" s="90" t="str">
        <f>IF(ISNUMBER(SEARCH("Y",Z394)),"S","")</f>
        <v/>
      </c>
      <c r="BD394" s="90"/>
      <c r="BE394" s="24" t="s">
        <v>119</v>
      </c>
      <c r="BF394" s="125" t="str">
        <f>IF(AND(AW394&gt;=56543,AW394&lt;=76543,LEN(AW394)&gt;0),"3 Feb 2020",IF(AND(AW394&gt;=66544,AW394&lt;=99999,LEN(AW394)&gt;0),"12 Sep 2020",""))</f>
        <v/>
      </c>
      <c r="BG394" s="125" t="str">
        <f>IF((AND(BF394="3 Feb 2020",LEN(BF394)&gt;0)),"Completed",IF((AND(BF394="12 Sep 2020",LEN(BF394)&gt;0)),"Pending",""))</f>
        <v/>
      </c>
      <c r="BH394" s="90" t="str">
        <f>IF((AND(BF394="3 Feb 2020",LEN(BF394)&gt;0)),"3 Feb 2020","")</f>
        <v/>
      </c>
      <c r="BI394" s="90">
        <v>212054</v>
      </c>
      <c r="BJ394" s="90" t="str">
        <f>L394</f>
        <v>8B13GR90739-75</v>
      </c>
      <c r="BK394" s="127">
        <v>43508</v>
      </c>
      <c r="BL394" s="127">
        <v>44239</v>
      </c>
      <c r="BM394" s="128">
        <f>P394*1.1</f>
        <v>3293330.7</v>
      </c>
      <c r="BN394" s="129">
        <f>P394*0.9</f>
        <v>2694543.3000000003</v>
      </c>
      <c r="BO394" s="130">
        <f>P394*0.8</f>
        <v>2395149.6</v>
      </c>
      <c r="BP394" s="90">
        <f>IF(Z394="Y",BM394*0.4,BM394*1.05)</f>
        <v>3457997.2350000003</v>
      </c>
      <c r="BQ394" s="90">
        <f>BP394*0.8</f>
        <v>2766397.7880000006</v>
      </c>
      <c r="BR394" s="90" t="str">
        <f>IF(ISNUMBER(SEARCH("subrecipient",AI390)),P394*0.6,"")</f>
        <v/>
      </c>
      <c r="BS394" s="90">
        <v>212054</v>
      </c>
      <c r="BT394" s="90" t="str">
        <f>BJ394</f>
        <v>8B13GR90739-75</v>
      </c>
      <c r="BU394" s="127">
        <f>BK394</f>
        <v>43508</v>
      </c>
      <c r="BV394" s="127">
        <f>BL394</f>
        <v>44239</v>
      </c>
      <c r="BW394" s="90" t="str">
        <f>H394</f>
        <v>NIH</v>
      </c>
      <c r="BX394" s="90" t="str">
        <f>IF(H394="NATIONAL HEMOPHILIA FOUNDATION","Non Federal","Federal")</f>
        <v>Federal</v>
      </c>
      <c r="BY394" s="128">
        <f>BM394</f>
        <v>3293330.7</v>
      </c>
      <c r="BZ394" s="90" t="str">
        <f>IF(LEN(BR394)&gt;0,1,"")</f>
        <v/>
      </c>
      <c r="CA394" s="90" t="str">
        <f>IF(LEN(BR394)&gt;0,"VIRAL HEPATITIS PROJECT","")</f>
        <v/>
      </c>
      <c r="CB394" s="129" t="str">
        <f>IF(LEN(BR394)&gt;0,BM394*0.7,"")</f>
        <v/>
      </c>
      <c r="CC394" s="90">
        <f>BP394</f>
        <v>3457997.2350000003</v>
      </c>
      <c r="CD394" s="90" t="str">
        <f>IF(LEN(BR394)&gt;0,"70%","")</f>
        <v/>
      </c>
      <c r="CE394" s="90">
        <f>BS394</f>
        <v>212054</v>
      </c>
      <c r="CF394" s="90" t="str">
        <f>CA394</f>
        <v/>
      </c>
      <c r="CG394" s="90"/>
      <c r="CH394" s="90"/>
      <c r="CI394" s="90"/>
      <c r="CJ394" s="90"/>
      <c r="CK394" s="90"/>
      <c r="CL394" s="90"/>
      <c r="CM394" s="90"/>
      <c r="CN394" s="90"/>
      <c r="CO394" s="90"/>
      <c r="CP394" s="90"/>
      <c r="CQ394" s="90"/>
      <c r="CR394" s="90"/>
      <c r="CS394" s="90"/>
      <c r="CT394" s="137"/>
    </row>
    <row r="395" spans="1:98" ht="150">
      <c r="A395" s="89">
        <v>213158</v>
      </c>
      <c r="B395" s="90">
        <v>2020</v>
      </c>
      <c r="C395" s="90" t="s">
        <v>81</v>
      </c>
      <c r="D395" s="90" t="s">
        <v>1203</v>
      </c>
      <c r="E395" s="125" t="s">
        <v>780</v>
      </c>
      <c r="F395" s="24" t="s">
        <v>1204</v>
      </c>
      <c r="G395" s="90" t="s">
        <v>85</v>
      </c>
      <c r="H395" s="90" t="s">
        <v>132</v>
      </c>
      <c r="I395" s="90">
        <v>93</v>
      </c>
      <c r="J395" s="90">
        <v>157</v>
      </c>
      <c r="K395" s="90" t="s">
        <v>85</v>
      </c>
      <c r="L395" s="90" t="s">
        <v>1205</v>
      </c>
      <c r="M395" s="90" t="s">
        <v>119</v>
      </c>
      <c r="N395" s="24" t="s">
        <v>243</v>
      </c>
      <c r="O395" s="24" t="str">
        <f>IF(ISNUMBER(SEARCH("Cancer",N395)),"Cancer",IF(ISNUMBER(SEARCH("health",N395)),"Public health",IF(ISNUMBER(SEARCH("disabilities",N395)),"Disabilities","Other")))</f>
        <v>Other</v>
      </c>
      <c r="P395" s="126">
        <v>2568975</v>
      </c>
      <c r="Q395" s="90" t="s">
        <v>85</v>
      </c>
      <c r="R395" s="90" t="str">
        <f>IF(P395&gt;20000000,"B","A")</f>
        <v>A</v>
      </c>
      <c r="S395" s="90" t="s">
        <v>90</v>
      </c>
      <c r="T395" s="90" t="s">
        <v>119</v>
      </c>
      <c r="U395" s="90" t="s">
        <v>119</v>
      </c>
      <c r="V395" s="90" t="s">
        <v>119</v>
      </c>
      <c r="W395" s="90" t="s">
        <v>119</v>
      </c>
      <c r="X395" s="90" t="s">
        <v>119</v>
      </c>
      <c r="Y395" s="90" t="s">
        <v>119</v>
      </c>
      <c r="Z395" s="90" t="s">
        <v>119</v>
      </c>
      <c r="AA395" s="90" t="s">
        <v>119</v>
      </c>
      <c r="AB395" s="90" t="s">
        <v>119</v>
      </c>
      <c r="AC395" s="90" t="s">
        <v>119</v>
      </c>
      <c r="AD395" s="90" t="s">
        <v>119</v>
      </c>
      <c r="AE395" s="24">
        <v>0</v>
      </c>
      <c r="AF395" s="90">
        <v>0</v>
      </c>
      <c r="AG395" s="24">
        <v>0</v>
      </c>
      <c r="AH395" s="90">
        <v>90326</v>
      </c>
      <c r="AI395" s="24" t="s">
        <v>94</v>
      </c>
      <c r="AJ395" s="24" t="s">
        <v>1206</v>
      </c>
      <c r="AK395" s="90" t="s">
        <v>85</v>
      </c>
      <c r="AL395" s="90">
        <v>213158</v>
      </c>
      <c r="AM395" s="90" t="s">
        <v>81</v>
      </c>
      <c r="AN395" s="90" t="s">
        <v>1203</v>
      </c>
      <c r="AO395" s="125" t="s">
        <v>780</v>
      </c>
      <c r="AP395" s="24" t="s">
        <v>243</v>
      </c>
      <c r="AQ395" s="90" t="s">
        <v>1205</v>
      </c>
      <c r="AR395" s="24" t="s">
        <v>243</v>
      </c>
      <c r="AS395" s="90" t="s">
        <v>119</v>
      </c>
      <c r="AT395" s="24" t="s">
        <v>94</v>
      </c>
      <c r="AU395" s="90" t="s">
        <v>119</v>
      </c>
      <c r="AV395" s="90" t="str">
        <f>IF(ISNUMBER(SEARCH("disagree",AE395)),"N","Y")</f>
        <v>Y</v>
      </c>
      <c r="AW395" s="90" t="s">
        <v>119</v>
      </c>
      <c r="AX395" s="24" t="s">
        <v>119</v>
      </c>
      <c r="AY395" s="90" t="str">
        <f>CONCATENATE(AZ395,BA395,BB395,BC395)</f>
        <v/>
      </c>
      <c r="AZ395" s="90" t="str">
        <f>IF(ISNUMBER(SEARCH("Y",AC395)),"R","")</f>
        <v/>
      </c>
      <c r="BA395" s="90" t="str">
        <f>IF(ISNUMBER(SEARCH("Y",Y395)),"M","")</f>
        <v/>
      </c>
      <c r="BB395" s="90" t="str">
        <f>IF(ISNUMBER(SEARCH("Y",AB395)),"QC","")</f>
        <v/>
      </c>
      <c r="BC395" s="90" t="str">
        <f>IF(ISNUMBER(SEARCH("Y",Z395)),"S","")</f>
        <v/>
      </c>
      <c r="BD395" s="90"/>
      <c r="BE395" s="24" t="s">
        <v>119</v>
      </c>
      <c r="BF395" s="125" t="str">
        <f>IF(AND(AW395&gt;=56543,AW395&lt;=76543,LEN(AW395)&gt;0),"3 Feb 2020",IF(AND(AW395&gt;=66544,AW395&lt;=99999,LEN(AW395)&gt;0),"12 Sep 2020",""))</f>
        <v/>
      </c>
      <c r="BG395" s="125" t="str">
        <f>IF((AND(BF395="3 Feb 2020",LEN(BF395)&gt;0)),"Completed",IF((AND(BF395="12 Sep 2020",LEN(BF395)&gt;0)),"Pending",""))</f>
        <v/>
      </c>
      <c r="BH395" s="90" t="str">
        <f>IF((AND(BF395="3 Feb 2020",LEN(BF395)&gt;0)),"3 Feb 2020","")</f>
        <v/>
      </c>
      <c r="BI395" s="90">
        <v>213158</v>
      </c>
      <c r="BJ395" s="90" t="str">
        <f>L395</f>
        <v>5B75GR90875-16</v>
      </c>
      <c r="BK395" s="127">
        <v>43508</v>
      </c>
      <c r="BL395" s="127">
        <v>44239</v>
      </c>
      <c r="BM395" s="128">
        <f>P395*1.1</f>
        <v>2825872.5</v>
      </c>
      <c r="BN395" s="129">
        <f>P395*0.9</f>
        <v>2312077.5</v>
      </c>
      <c r="BO395" s="130">
        <f>P395*0.8</f>
        <v>2055180</v>
      </c>
      <c r="BP395" s="90">
        <f>IF(Z395="Y",BM395*0.4,BM395*1.05)</f>
        <v>2967166.125</v>
      </c>
      <c r="BQ395" s="90">
        <f>BP395*0.8</f>
        <v>2373732.9</v>
      </c>
      <c r="BR395" s="90" t="str">
        <f>IF(ISNUMBER(SEARCH("subrecipient",AI391)),P395*0.6,"")</f>
        <v/>
      </c>
      <c r="BS395" s="90">
        <v>213158</v>
      </c>
      <c r="BT395" s="90" t="str">
        <f>BJ395</f>
        <v>5B75GR90875-16</v>
      </c>
      <c r="BU395" s="127">
        <f>BK395</f>
        <v>43508</v>
      </c>
      <c r="BV395" s="127">
        <f>BL395</f>
        <v>44239</v>
      </c>
      <c r="BW395" s="90" t="str">
        <f>H395</f>
        <v>FDA</v>
      </c>
      <c r="BX395" s="90" t="str">
        <f>IF(H395="NATIONAL HEMOPHILIA FOUNDATION","Non Federal","Federal")</f>
        <v>Federal</v>
      </c>
      <c r="BY395" s="128">
        <f>BM395</f>
        <v>2825872.5</v>
      </c>
      <c r="BZ395" s="90" t="str">
        <f>IF(LEN(BR395)&gt;0,1,"")</f>
        <v/>
      </c>
      <c r="CA395" s="90" t="str">
        <f>IF(LEN(BR395)&gt;0,"VIRAL HEPATITIS PROJECT","")</f>
        <v/>
      </c>
      <c r="CB395" s="129" t="str">
        <f>IF(LEN(BR395)&gt;0,BM395*0.7,"")</f>
        <v/>
      </c>
      <c r="CC395" s="90">
        <f>BP395</f>
        <v>2967166.125</v>
      </c>
      <c r="CD395" s="90" t="str">
        <f>IF(LEN(BR395)&gt;0,"70%","")</f>
        <v/>
      </c>
      <c r="CE395" s="90">
        <f>BS395</f>
        <v>213158</v>
      </c>
      <c r="CF395" s="90" t="str">
        <f>CA395</f>
        <v/>
      </c>
      <c r="CG395" s="90"/>
      <c r="CH395" s="90"/>
      <c r="CI395" s="90"/>
      <c r="CJ395" s="90"/>
      <c r="CK395" s="90"/>
      <c r="CL395" s="90"/>
      <c r="CM395" s="90"/>
      <c r="CN395" s="90"/>
      <c r="CO395" s="90"/>
      <c r="CP395" s="90"/>
      <c r="CQ395" s="90"/>
      <c r="CR395" s="90"/>
      <c r="CS395" s="90"/>
      <c r="CT395" s="137"/>
    </row>
    <row r="396" spans="1:98" ht="90">
      <c r="A396" s="89">
        <v>213158</v>
      </c>
      <c r="B396" s="90">
        <v>2020</v>
      </c>
      <c r="C396" s="90" t="s">
        <v>81</v>
      </c>
      <c r="D396" s="90" t="s">
        <v>1203</v>
      </c>
      <c r="E396" s="125" t="s">
        <v>781</v>
      </c>
      <c r="F396" s="24" t="s">
        <v>1204</v>
      </c>
      <c r="G396" s="90" t="s">
        <v>85</v>
      </c>
      <c r="H396" s="90" t="s">
        <v>132</v>
      </c>
      <c r="I396" s="90">
        <v>93</v>
      </c>
      <c r="J396" s="90">
        <v>157</v>
      </c>
      <c r="K396" s="90" t="s">
        <v>85</v>
      </c>
      <c r="L396" s="90" t="s">
        <v>1205</v>
      </c>
      <c r="M396" s="90" t="s">
        <v>119</v>
      </c>
      <c r="N396" s="24" t="s">
        <v>243</v>
      </c>
      <c r="O396" s="24" t="str">
        <f>IF(ISNUMBER(SEARCH("Cancer",N396)),"Cancer",IF(ISNUMBER(SEARCH("health",N396)),"Public health",IF(ISNUMBER(SEARCH("disabilities",N396)),"Disabilities","Other")))</f>
        <v>Other</v>
      </c>
      <c r="P396" s="126">
        <v>2568975</v>
      </c>
      <c r="Q396" s="90" t="s">
        <v>85</v>
      </c>
      <c r="R396" s="90" t="str">
        <f>IF(P396&gt;20000000,"B","A")</f>
        <v>A</v>
      </c>
      <c r="S396" s="90" t="s">
        <v>90</v>
      </c>
      <c r="T396" s="90" t="s">
        <v>119</v>
      </c>
      <c r="U396" s="90" t="s">
        <v>119</v>
      </c>
      <c r="V396" s="90" t="s">
        <v>119</v>
      </c>
      <c r="W396" s="90" t="s">
        <v>119</v>
      </c>
      <c r="X396" s="90" t="s">
        <v>119</v>
      </c>
      <c r="Y396" s="90" t="s">
        <v>119</v>
      </c>
      <c r="Z396" s="90" t="s">
        <v>119</v>
      </c>
      <c r="AA396" s="90" t="s">
        <v>119</v>
      </c>
      <c r="AB396" s="90" t="s">
        <v>119</v>
      </c>
      <c r="AC396" s="90" t="s">
        <v>119</v>
      </c>
      <c r="AD396" s="90" t="s">
        <v>119</v>
      </c>
      <c r="AE396" s="24">
        <v>0</v>
      </c>
      <c r="AF396" s="90">
        <v>0</v>
      </c>
      <c r="AG396" s="24">
        <v>0</v>
      </c>
      <c r="AH396" s="90">
        <v>90327</v>
      </c>
      <c r="AI396" s="24" t="s">
        <v>102</v>
      </c>
      <c r="AJ396" s="24" t="s">
        <v>1207</v>
      </c>
      <c r="AK396" s="90" t="s">
        <v>85</v>
      </c>
      <c r="AL396" s="90">
        <v>213158</v>
      </c>
      <c r="AM396" s="90" t="s">
        <v>81</v>
      </c>
      <c r="AN396" s="90" t="s">
        <v>1203</v>
      </c>
      <c r="AO396" s="125" t="s">
        <v>781</v>
      </c>
      <c r="AP396" s="24" t="s">
        <v>243</v>
      </c>
      <c r="AQ396" s="90" t="s">
        <v>1205</v>
      </c>
      <c r="AR396" s="24" t="s">
        <v>243</v>
      </c>
      <c r="AS396" s="90" t="s">
        <v>119</v>
      </c>
      <c r="AT396" s="24" t="s">
        <v>102</v>
      </c>
      <c r="AU396" s="90" t="s">
        <v>119</v>
      </c>
      <c r="AV396" s="90" t="str">
        <f>IF(ISNUMBER(SEARCH("disagree",AE396)),"N","Y")</f>
        <v>Y</v>
      </c>
      <c r="AW396" s="90" t="s">
        <v>119</v>
      </c>
      <c r="AX396" s="24" t="s">
        <v>119</v>
      </c>
      <c r="AY396" s="90" t="str">
        <f>CONCATENATE(AZ396,BA396,BB396,BC396)</f>
        <v/>
      </c>
      <c r="AZ396" s="90" t="str">
        <f>IF(ISNUMBER(SEARCH("Y",AC396)),"R","")</f>
        <v/>
      </c>
      <c r="BA396" s="90" t="str">
        <f>IF(ISNUMBER(SEARCH("Y",Y396)),"M","")</f>
        <v/>
      </c>
      <c r="BB396" s="90" t="str">
        <f>IF(ISNUMBER(SEARCH("Y",AB396)),"QC","")</f>
        <v/>
      </c>
      <c r="BC396" s="90" t="str">
        <f>IF(ISNUMBER(SEARCH("Y",Z396)),"S","")</f>
        <v/>
      </c>
      <c r="BD396" s="90"/>
      <c r="BE396" s="24" t="s">
        <v>119</v>
      </c>
      <c r="BF396" s="125" t="str">
        <f>IF(AND(AW396&gt;=56543,AW396&lt;=76543,LEN(AW396)&gt;0),"3 Feb 2020",IF(AND(AW396&gt;=66544,AW396&lt;=99999,LEN(AW396)&gt;0),"12 Sep 2020",""))</f>
        <v/>
      </c>
      <c r="BG396" s="125" t="str">
        <f>IF((AND(BF396="3 Feb 2020",LEN(BF396)&gt;0)),"Completed",IF((AND(BF396="12 Sep 2020",LEN(BF396)&gt;0)),"Pending",""))</f>
        <v/>
      </c>
      <c r="BH396" s="90" t="str">
        <f>IF((AND(BF396="3 Feb 2020",LEN(BF396)&gt;0)),"3 Feb 2020","")</f>
        <v/>
      </c>
      <c r="BI396" s="90">
        <v>213158</v>
      </c>
      <c r="BJ396" s="90" t="str">
        <f>L396</f>
        <v>5B75GR90875-16</v>
      </c>
      <c r="BK396" s="127">
        <v>43508</v>
      </c>
      <c r="BL396" s="127">
        <v>44239</v>
      </c>
      <c r="BM396" s="128">
        <f>P396*1.1</f>
        <v>2825872.5</v>
      </c>
      <c r="BN396" s="129">
        <f>P396*0.9</f>
        <v>2312077.5</v>
      </c>
      <c r="BO396" s="130">
        <f>P396*0.8</f>
        <v>2055180</v>
      </c>
      <c r="BP396" s="90">
        <f>IF(Z396="Y",BM396*0.4,BM396*1.05)</f>
        <v>2967166.125</v>
      </c>
      <c r="BQ396" s="90">
        <f>BP396*0.8</f>
        <v>2373732.9</v>
      </c>
      <c r="BR396" s="90" t="str">
        <f>IF(ISNUMBER(SEARCH("subrecipient",AI392)),P396*0.6,"")</f>
        <v/>
      </c>
      <c r="BS396" s="90">
        <v>213158</v>
      </c>
      <c r="BT396" s="90" t="str">
        <f>BJ396</f>
        <v>5B75GR90875-16</v>
      </c>
      <c r="BU396" s="127">
        <f>BK396</f>
        <v>43508</v>
      </c>
      <c r="BV396" s="127">
        <f>BL396</f>
        <v>44239</v>
      </c>
      <c r="BW396" s="90" t="str">
        <f>H396</f>
        <v>FDA</v>
      </c>
      <c r="BX396" s="90" t="str">
        <f>IF(H396="NATIONAL HEMOPHILIA FOUNDATION","Non Federal","Federal")</f>
        <v>Federal</v>
      </c>
      <c r="BY396" s="128">
        <f>BM396</f>
        <v>2825872.5</v>
      </c>
      <c r="BZ396" s="90" t="str">
        <f>IF(LEN(BR396)&gt;0,1,"")</f>
        <v/>
      </c>
      <c r="CA396" s="90" t="str">
        <f>IF(LEN(BR396)&gt;0,"VIRAL HEPATITIS PROJECT","")</f>
        <v/>
      </c>
      <c r="CB396" s="129" t="str">
        <f>IF(LEN(BR396)&gt;0,BM396*0.7,"")</f>
        <v/>
      </c>
      <c r="CC396" s="90">
        <f>BP396</f>
        <v>2967166.125</v>
      </c>
      <c r="CD396" s="90" t="str">
        <f>IF(LEN(BR396)&gt;0,"70%","")</f>
        <v/>
      </c>
      <c r="CE396" s="90">
        <f>BS396</f>
        <v>213158</v>
      </c>
      <c r="CF396" s="90" t="str">
        <f>CA396</f>
        <v/>
      </c>
      <c r="CG396" s="90"/>
      <c r="CH396" s="90"/>
      <c r="CI396" s="90"/>
      <c r="CJ396" s="90"/>
      <c r="CK396" s="90"/>
      <c r="CL396" s="90"/>
      <c r="CM396" s="90"/>
      <c r="CN396" s="90"/>
      <c r="CO396" s="90"/>
      <c r="CP396" s="90"/>
      <c r="CQ396" s="90"/>
      <c r="CR396" s="90"/>
      <c r="CS396" s="90"/>
      <c r="CT396" s="137"/>
    </row>
    <row r="397" spans="1:98" ht="210">
      <c r="A397" s="89">
        <v>213214</v>
      </c>
      <c r="B397" s="90">
        <v>2020</v>
      </c>
      <c r="C397" s="90" t="s">
        <v>81</v>
      </c>
      <c r="D397" s="90" t="s">
        <v>1208</v>
      </c>
      <c r="E397" s="125" t="s">
        <v>784</v>
      </c>
      <c r="F397" s="24" t="s">
        <v>1209</v>
      </c>
      <c r="G397" s="90" t="s">
        <v>85</v>
      </c>
      <c r="H397" s="90" t="s">
        <v>150</v>
      </c>
      <c r="I397" s="90">
        <v>93</v>
      </c>
      <c r="J397" s="90">
        <v>157</v>
      </c>
      <c r="K397" s="90" t="s">
        <v>85</v>
      </c>
      <c r="L397" s="90" t="s">
        <v>1210</v>
      </c>
      <c r="M397" s="90" t="s">
        <v>119</v>
      </c>
      <c r="N397" s="24" t="s">
        <v>1211</v>
      </c>
      <c r="O397" s="24" t="str">
        <f>IF(ISNUMBER(SEARCH("Cancer",N397)),"Cancer",IF(ISNUMBER(SEARCH("health",N397)),"Public health",IF(ISNUMBER(SEARCH("disabilities",N397)),"Disabilities","Other")))</f>
        <v>Other</v>
      </c>
      <c r="P397" s="126">
        <v>2750143</v>
      </c>
      <c r="Q397" s="90" t="s">
        <v>85</v>
      </c>
      <c r="R397" s="90" t="str">
        <f>IF(P397&gt;20000000,"B","A")</f>
        <v>A</v>
      </c>
      <c r="S397" s="90" t="s">
        <v>90</v>
      </c>
      <c r="T397" s="90" t="s">
        <v>119</v>
      </c>
      <c r="U397" s="90" t="s">
        <v>119</v>
      </c>
      <c r="V397" s="90" t="s">
        <v>119</v>
      </c>
      <c r="W397" s="90" t="s">
        <v>119</v>
      </c>
      <c r="X397" s="90" t="s">
        <v>119</v>
      </c>
      <c r="Y397" s="90" t="s">
        <v>119</v>
      </c>
      <c r="Z397" s="90" t="s">
        <v>119</v>
      </c>
      <c r="AA397" s="90" t="s">
        <v>119</v>
      </c>
      <c r="AB397" s="90" t="s">
        <v>119</v>
      </c>
      <c r="AC397" s="90" t="s">
        <v>119</v>
      </c>
      <c r="AD397" s="90" t="s">
        <v>119</v>
      </c>
      <c r="AE397" s="24">
        <v>0</v>
      </c>
      <c r="AF397" s="90">
        <v>0</v>
      </c>
      <c r="AG397" s="24">
        <v>0</v>
      </c>
      <c r="AH397" s="90">
        <v>89764</v>
      </c>
      <c r="AI397" s="24" t="s">
        <v>94</v>
      </c>
      <c r="AJ397" s="24" t="s">
        <v>1212</v>
      </c>
      <c r="AK397" s="90" t="s">
        <v>85</v>
      </c>
      <c r="AL397" s="90">
        <v>213214</v>
      </c>
      <c r="AM397" s="90" t="s">
        <v>81</v>
      </c>
      <c r="AN397" s="90" t="s">
        <v>1208</v>
      </c>
      <c r="AO397" s="125" t="s">
        <v>784</v>
      </c>
      <c r="AP397" s="24" t="s">
        <v>1211</v>
      </c>
      <c r="AQ397" s="90" t="s">
        <v>1210</v>
      </c>
      <c r="AR397" s="24" t="s">
        <v>1211</v>
      </c>
      <c r="AS397" s="90" t="s">
        <v>119</v>
      </c>
      <c r="AT397" s="24" t="s">
        <v>94</v>
      </c>
      <c r="AU397" s="90" t="s">
        <v>119</v>
      </c>
      <c r="AV397" s="90" t="str">
        <f>IF(ISNUMBER(SEARCH("disagree",AE397)),"N","Y")</f>
        <v>Y</v>
      </c>
      <c r="AW397" s="90" t="s">
        <v>119</v>
      </c>
      <c r="AX397" s="24" t="s">
        <v>119</v>
      </c>
      <c r="AY397" s="90" t="str">
        <f>CONCATENATE(AZ397,BA397,BB397,BC397)</f>
        <v/>
      </c>
      <c r="AZ397" s="90" t="str">
        <f>IF(ISNUMBER(SEARCH("Y",AC397)),"R","")</f>
        <v/>
      </c>
      <c r="BA397" s="90" t="str">
        <f>IF(ISNUMBER(SEARCH("Y",Y397)),"M","")</f>
        <v/>
      </c>
      <c r="BB397" s="90" t="str">
        <f>IF(ISNUMBER(SEARCH("Y",AB397)),"QC","")</f>
        <v/>
      </c>
      <c r="BC397" s="90" t="str">
        <f>IF(ISNUMBER(SEARCH("Y",Z397)),"S","")</f>
        <v/>
      </c>
      <c r="BD397" s="90"/>
      <c r="BE397" s="24" t="s">
        <v>119</v>
      </c>
      <c r="BF397" s="125" t="str">
        <f>IF(AND(AW397&gt;=56543,AW397&lt;=76543,LEN(AW397)&gt;0),"3 Feb 2020",IF(AND(AW397&gt;=66544,AW397&lt;=99999,LEN(AW397)&gt;0),"12 Sep 2020",""))</f>
        <v/>
      </c>
      <c r="BG397" s="125" t="str">
        <f>IF((AND(BF397="3 Feb 2020",LEN(BF397)&gt;0)),"Completed",IF((AND(BF397="12 Sep 2020",LEN(BF397)&gt;0)),"Pending",""))</f>
        <v/>
      </c>
      <c r="BH397" s="90" t="str">
        <f>IF((AND(BF397="3 Feb 2020",LEN(BF397)&gt;0)),"3 Feb 2020","")</f>
        <v/>
      </c>
      <c r="BI397" s="90">
        <v>213214</v>
      </c>
      <c r="BJ397" s="90" t="str">
        <f>L397</f>
        <v>1B70BR89764-56</v>
      </c>
      <c r="BK397" s="127">
        <v>43508</v>
      </c>
      <c r="BL397" s="127">
        <v>44239</v>
      </c>
      <c r="BM397" s="128">
        <f>P397*1.1</f>
        <v>3025157.3000000003</v>
      </c>
      <c r="BN397" s="129">
        <f>P397*0.9</f>
        <v>2475128.7000000002</v>
      </c>
      <c r="BO397" s="130">
        <f>P397*0.8</f>
        <v>2200114.4</v>
      </c>
      <c r="BP397" s="90">
        <f>IF(Z397="Y",BM397*0.4,BM397*1.05)</f>
        <v>3176415.1650000005</v>
      </c>
      <c r="BQ397" s="90">
        <f>BP397*0.8</f>
        <v>2541132.1320000007</v>
      </c>
      <c r="BR397" s="90" t="str">
        <f>IF(ISNUMBER(SEARCH("subrecipient",AI393)),P397*0.6,"")</f>
        <v/>
      </c>
      <c r="BS397" s="90">
        <v>213214</v>
      </c>
      <c r="BT397" s="90" t="str">
        <f>BJ397</f>
        <v>1B70BR89764-56</v>
      </c>
      <c r="BU397" s="127">
        <f>BK397</f>
        <v>43508</v>
      </c>
      <c r="BV397" s="127">
        <f>BL397</f>
        <v>44239</v>
      </c>
      <c r="BW397" s="90" t="str">
        <f>H397</f>
        <v>ACF</v>
      </c>
      <c r="BX397" s="90" t="str">
        <f>IF(H397="NATIONAL HEMOPHILIA FOUNDATION","Non Federal","Federal")</f>
        <v>Federal</v>
      </c>
      <c r="BY397" s="128">
        <f>BM397</f>
        <v>3025157.3000000003</v>
      </c>
      <c r="BZ397" s="90" t="str">
        <f>IF(LEN(BR397)&gt;0,1,"")</f>
        <v/>
      </c>
      <c r="CA397" s="90" t="str">
        <f>IF(LEN(BR397)&gt;0,"VIRAL HEPATITIS PROJECT","")</f>
        <v/>
      </c>
      <c r="CB397" s="129" t="str">
        <f>IF(LEN(BR397)&gt;0,BM397*0.7,"")</f>
        <v/>
      </c>
      <c r="CC397" s="90">
        <f>BP397</f>
        <v>3176415.1650000005</v>
      </c>
      <c r="CD397" s="90" t="str">
        <f>IF(LEN(BR397)&gt;0,"70%","")</f>
        <v/>
      </c>
      <c r="CE397" s="90">
        <f>BS397</f>
        <v>213214</v>
      </c>
      <c r="CF397" s="90" t="str">
        <f>CA397</f>
        <v/>
      </c>
      <c r="CG397" s="90"/>
      <c r="CH397" s="90"/>
      <c r="CI397" s="90"/>
      <c r="CJ397" s="90"/>
      <c r="CK397" s="90"/>
      <c r="CL397" s="90"/>
      <c r="CM397" s="90"/>
      <c r="CN397" s="90"/>
      <c r="CO397" s="90"/>
      <c r="CP397" s="90"/>
      <c r="CQ397" s="90"/>
      <c r="CR397" s="90"/>
      <c r="CS397" s="90"/>
      <c r="CT397" s="137"/>
    </row>
    <row r="398" spans="1:98" ht="60">
      <c r="A398" s="89">
        <v>213214</v>
      </c>
      <c r="B398" s="90">
        <v>2020</v>
      </c>
      <c r="C398" s="90" t="s">
        <v>81</v>
      </c>
      <c r="D398" s="90" t="s">
        <v>1208</v>
      </c>
      <c r="E398" s="125" t="s">
        <v>790</v>
      </c>
      <c r="F398" s="24" t="s">
        <v>1209</v>
      </c>
      <c r="G398" s="90" t="s">
        <v>85</v>
      </c>
      <c r="H398" s="90" t="s">
        <v>150</v>
      </c>
      <c r="I398" s="90">
        <v>93</v>
      </c>
      <c r="J398" s="90">
        <v>157</v>
      </c>
      <c r="K398" s="90" t="s">
        <v>85</v>
      </c>
      <c r="L398" s="90" t="s">
        <v>1210</v>
      </c>
      <c r="M398" s="90" t="s">
        <v>119</v>
      </c>
      <c r="N398" s="24" t="s">
        <v>1211</v>
      </c>
      <c r="O398" s="24" t="str">
        <f>IF(ISNUMBER(SEARCH("Cancer",N398)),"Cancer",IF(ISNUMBER(SEARCH("health",N398)),"Public health",IF(ISNUMBER(SEARCH("disabilities",N398)),"Disabilities","Other")))</f>
        <v>Other</v>
      </c>
      <c r="P398" s="126">
        <v>2750143</v>
      </c>
      <c r="Q398" s="90" t="s">
        <v>85</v>
      </c>
      <c r="R398" s="90" t="str">
        <f>IF(P398&gt;20000000,"B","A")</f>
        <v>A</v>
      </c>
      <c r="S398" s="90" t="s">
        <v>90</v>
      </c>
      <c r="T398" s="90" t="s">
        <v>119</v>
      </c>
      <c r="U398" s="90" t="s">
        <v>119</v>
      </c>
      <c r="V398" s="90" t="s">
        <v>119</v>
      </c>
      <c r="W398" s="90" t="s">
        <v>119</v>
      </c>
      <c r="X398" s="90" t="s">
        <v>119</v>
      </c>
      <c r="Y398" s="90" t="s">
        <v>119</v>
      </c>
      <c r="Z398" s="90" t="s">
        <v>119</v>
      </c>
      <c r="AA398" s="90" t="s">
        <v>119</v>
      </c>
      <c r="AB398" s="90" t="s">
        <v>119</v>
      </c>
      <c r="AC398" s="90" t="s">
        <v>119</v>
      </c>
      <c r="AD398" s="90" t="s">
        <v>119</v>
      </c>
      <c r="AE398" s="24">
        <v>0</v>
      </c>
      <c r="AF398" s="90">
        <v>0</v>
      </c>
      <c r="AG398" s="24">
        <v>0</v>
      </c>
      <c r="AH398" s="90">
        <v>89765</v>
      </c>
      <c r="AI398" s="24" t="s">
        <v>102</v>
      </c>
      <c r="AJ398" s="24" t="s">
        <v>316</v>
      </c>
      <c r="AK398" s="90" t="s">
        <v>85</v>
      </c>
      <c r="AL398" s="90">
        <v>213214</v>
      </c>
      <c r="AM398" s="90" t="s">
        <v>81</v>
      </c>
      <c r="AN398" s="90" t="s">
        <v>1208</v>
      </c>
      <c r="AO398" s="125" t="s">
        <v>790</v>
      </c>
      <c r="AP398" s="24" t="s">
        <v>1211</v>
      </c>
      <c r="AQ398" s="90" t="s">
        <v>1210</v>
      </c>
      <c r="AR398" s="24" t="s">
        <v>1211</v>
      </c>
      <c r="AS398" s="90" t="s">
        <v>119</v>
      </c>
      <c r="AT398" s="24" t="s">
        <v>102</v>
      </c>
      <c r="AU398" s="90" t="s">
        <v>119</v>
      </c>
      <c r="AV398" s="90" t="str">
        <f>IF(ISNUMBER(SEARCH("disagree",AE398)),"N","Y")</f>
        <v>Y</v>
      </c>
      <c r="AW398" s="90" t="s">
        <v>119</v>
      </c>
      <c r="AX398" s="24" t="s">
        <v>119</v>
      </c>
      <c r="AY398" s="90" t="str">
        <f>CONCATENATE(AZ398,BA398,BB398,BC398)</f>
        <v/>
      </c>
      <c r="AZ398" s="90" t="str">
        <f>IF(ISNUMBER(SEARCH("Y",AC398)),"R","")</f>
        <v/>
      </c>
      <c r="BA398" s="90" t="str">
        <f>IF(ISNUMBER(SEARCH("Y",Y398)),"M","")</f>
        <v/>
      </c>
      <c r="BB398" s="90" t="str">
        <f>IF(ISNUMBER(SEARCH("Y",AB398)),"QC","")</f>
        <v/>
      </c>
      <c r="BC398" s="90" t="str">
        <f>IF(ISNUMBER(SEARCH("Y",Z398)),"S","")</f>
        <v/>
      </c>
      <c r="BD398" s="90"/>
      <c r="BE398" s="24" t="s">
        <v>119</v>
      </c>
      <c r="BF398" s="125" t="str">
        <f>IF(AND(AW398&gt;=56543,AW398&lt;=76543,LEN(AW398)&gt;0),"3 Feb 2020",IF(AND(AW398&gt;=66544,AW398&lt;=99999,LEN(AW398)&gt;0),"12 Sep 2020",""))</f>
        <v/>
      </c>
      <c r="BG398" s="125" t="str">
        <f>IF((AND(BF398="3 Feb 2020",LEN(BF398)&gt;0)),"Completed",IF((AND(BF398="12 Sep 2020",LEN(BF398)&gt;0)),"Pending",""))</f>
        <v/>
      </c>
      <c r="BH398" s="90" t="str">
        <f>IF((AND(BF398="3 Feb 2020",LEN(BF398)&gt;0)),"3 Feb 2020","")</f>
        <v/>
      </c>
      <c r="BI398" s="90">
        <v>213214</v>
      </c>
      <c r="BJ398" s="90" t="str">
        <f>L398</f>
        <v>1B70BR89764-56</v>
      </c>
      <c r="BK398" s="127">
        <v>43508</v>
      </c>
      <c r="BL398" s="127">
        <v>44239</v>
      </c>
      <c r="BM398" s="128">
        <f>P398*1.1</f>
        <v>3025157.3000000003</v>
      </c>
      <c r="BN398" s="129">
        <f>P398*0.9</f>
        <v>2475128.7000000002</v>
      </c>
      <c r="BO398" s="130">
        <f>P398*0.8</f>
        <v>2200114.4</v>
      </c>
      <c r="BP398" s="90">
        <f>IF(Z398="Y",BM398*0.4,BM398*1.05)</f>
        <v>3176415.1650000005</v>
      </c>
      <c r="BQ398" s="90">
        <f>BP398*0.8</f>
        <v>2541132.1320000007</v>
      </c>
      <c r="BR398" s="90" t="str">
        <f>IF(ISNUMBER(SEARCH("subrecipient",AI394)),P398*0.6,"")</f>
        <v/>
      </c>
      <c r="BS398" s="90">
        <v>213214</v>
      </c>
      <c r="BT398" s="90" t="str">
        <f>BJ398</f>
        <v>1B70BR89764-56</v>
      </c>
      <c r="BU398" s="127">
        <f>BK398</f>
        <v>43508</v>
      </c>
      <c r="BV398" s="127">
        <f>BL398</f>
        <v>44239</v>
      </c>
      <c r="BW398" s="90" t="str">
        <f>H398</f>
        <v>ACF</v>
      </c>
      <c r="BX398" s="90" t="str">
        <f>IF(H398="NATIONAL HEMOPHILIA FOUNDATION","Non Federal","Federal")</f>
        <v>Federal</v>
      </c>
      <c r="BY398" s="128">
        <f>BM398</f>
        <v>3025157.3000000003</v>
      </c>
      <c r="BZ398" s="90" t="str">
        <f>IF(LEN(BR398)&gt;0,1,"")</f>
        <v/>
      </c>
      <c r="CA398" s="90" t="str">
        <f>IF(LEN(BR398)&gt;0,"VIRAL HEPATITIS PROJECT","")</f>
        <v/>
      </c>
      <c r="CB398" s="129" t="str">
        <f>IF(LEN(BR398)&gt;0,BM398*0.7,"")</f>
        <v/>
      </c>
      <c r="CC398" s="90">
        <f>BP398</f>
        <v>3176415.1650000005</v>
      </c>
      <c r="CD398" s="90" t="str">
        <f>IF(LEN(BR398)&gt;0,"70%","")</f>
        <v/>
      </c>
      <c r="CE398" s="90">
        <f>BS398</f>
        <v>213214</v>
      </c>
      <c r="CF398" s="90" t="str">
        <f>CA398</f>
        <v/>
      </c>
      <c r="CG398" s="90"/>
      <c r="CH398" s="90"/>
      <c r="CI398" s="90"/>
      <c r="CJ398" s="90"/>
      <c r="CK398" s="90"/>
      <c r="CL398" s="90"/>
      <c r="CM398" s="90"/>
      <c r="CN398" s="90"/>
      <c r="CO398" s="90"/>
      <c r="CP398" s="90"/>
      <c r="CQ398" s="90"/>
      <c r="CR398" s="90"/>
      <c r="CS398" s="90"/>
      <c r="CT398" s="137"/>
    </row>
    <row r="399" spans="1:98" ht="45">
      <c r="A399" s="89">
        <v>213715</v>
      </c>
      <c r="B399" s="90">
        <v>2020</v>
      </c>
      <c r="C399" s="90" t="s">
        <v>81</v>
      </c>
      <c r="D399" s="90" t="s">
        <v>1213</v>
      </c>
      <c r="E399" s="125" t="s">
        <v>791</v>
      </c>
      <c r="F399" s="24" t="s">
        <v>1214</v>
      </c>
      <c r="G399" s="90" t="s">
        <v>85</v>
      </c>
      <c r="H399" s="90" t="s">
        <v>86</v>
      </c>
      <c r="I399" s="90">
        <v>93</v>
      </c>
      <c r="J399" s="90">
        <v>157</v>
      </c>
      <c r="K399" s="90" t="s">
        <v>85</v>
      </c>
      <c r="L399" s="90" t="s">
        <v>1215</v>
      </c>
      <c r="M399" s="90" t="s">
        <v>119</v>
      </c>
      <c r="N399" s="24" t="s">
        <v>254</v>
      </c>
      <c r="O399" s="24" t="str">
        <f>IF(ISNUMBER(SEARCH("Cancer",N399)),"Cancer",IF(ISNUMBER(SEARCH("health",N399)),"Public health",IF(ISNUMBER(SEARCH("disabilities",N399)),"Disabilities","Other")))</f>
        <v>Other</v>
      </c>
      <c r="P399" s="126">
        <v>2862780</v>
      </c>
      <c r="Q399" s="90" t="s">
        <v>85</v>
      </c>
      <c r="R399" s="90" t="str">
        <f>IF(P399&gt;20000000,"B","A")</f>
        <v>A</v>
      </c>
      <c r="S399" s="90" t="s">
        <v>90</v>
      </c>
      <c r="T399" s="90" t="s">
        <v>119</v>
      </c>
      <c r="U399" s="90" t="s">
        <v>119</v>
      </c>
      <c r="V399" s="90" t="s">
        <v>119</v>
      </c>
      <c r="W399" s="90" t="s">
        <v>119</v>
      </c>
      <c r="X399" s="90" t="s">
        <v>119</v>
      </c>
      <c r="Y399" s="90" t="s">
        <v>119</v>
      </c>
      <c r="Z399" s="90" t="s">
        <v>119</v>
      </c>
      <c r="AA399" s="90" t="s">
        <v>119</v>
      </c>
      <c r="AB399" s="90" t="s">
        <v>119</v>
      </c>
      <c r="AC399" s="90" t="s">
        <v>119</v>
      </c>
      <c r="AD399" s="90" t="s">
        <v>119</v>
      </c>
      <c r="AE399" s="24">
        <v>0</v>
      </c>
      <c r="AF399" s="90">
        <v>0</v>
      </c>
      <c r="AG399" s="24">
        <v>0</v>
      </c>
      <c r="AH399" s="90">
        <v>88796</v>
      </c>
      <c r="AI399" s="24" t="s">
        <v>94</v>
      </c>
      <c r="AJ399" s="24" t="s">
        <v>1216</v>
      </c>
      <c r="AK399" s="90" t="s">
        <v>85</v>
      </c>
      <c r="AL399" s="90">
        <v>213715</v>
      </c>
      <c r="AM399" s="90" t="s">
        <v>81</v>
      </c>
      <c r="AN399" s="90" t="s">
        <v>1213</v>
      </c>
      <c r="AO399" s="125" t="s">
        <v>791</v>
      </c>
      <c r="AP399" s="24" t="s">
        <v>254</v>
      </c>
      <c r="AQ399" s="90" t="s">
        <v>1215</v>
      </c>
      <c r="AR399" s="24" t="s">
        <v>254</v>
      </c>
      <c r="AS399" s="90" t="s">
        <v>119</v>
      </c>
      <c r="AT399" s="24" t="s">
        <v>94</v>
      </c>
      <c r="AU399" s="90" t="s">
        <v>119</v>
      </c>
      <c r="AV399" s="90" t="str">
        <f>IF(ISNUMBER(SEARCH("disagree",AE399)),"N","Y")</f>
        <v>Y</v>
      </c>
      <c r="AW399" s="90" t="s">
        <v>119</v>
      </c>
      <c r="AX399" s="24" t="s">
        <v>119</v>
      </c>
      <c r="AY399" s="90" t="str">
        <f>CONCATENATE(AZ399,BA399,BB399,BC399)</f>
        <v/>
      </c>
      <c r="AZ399" s="90" t="str">
        <f>IF(ISNUMBER(SEARCH("Y",AC399)),"R","")</f>
        <v/>
      </c>
      <c r="BA399" s="90" t="str">
        <f>IF(ISNUMBER(SEARCH("Y",Y399)),"M","")</f>
        <v/>
      </c>
      <c r="BB399" s="90" t="str">
        <f>IF(ISNUMBER(SEARCH("Y",AB399)),"QC","")</f>
        <v/>
      </c>
      <c r="BC399" s="90" t="str">
        <f>IF(ISNUMBER(SEARCH("Y",Z399)),"S","")</f>
        <v/>
      </c>
      <c r="BD399" s="90"/>
      <c r="BE399" s="24" t="s">
        <v>119</v>
      </c>
      <c r="BF399" s="125" t="str">
        <f>IF(AND(AW399&gt;=56543,AW399&lt;=76543,LEN(AW399)&gt;0),"3 Feb 2020",IF(AND(AW399&gt;=66544,AW399&lt;=99999,LEN(AW399)&gt;0),"12 Sep 2020",""))</f>
        <v/>
      </c>
      <c r="BG399" s="125" t="str">
        <f>IF((AND(BF399="3 Feb 2020",LEN(BF399)&gt;0)),"Completed",IF((AND(BF399="12 Sep 2020",LEN(BF399)&gt;0)),"Pending",""))</f>
        <v/>
      </c>
      <c r="BH399" s="90" t="str">
        <f>IF((AND(BF399="3 Feb 2020",LEN(BF399)&gt;0)),"3 Feb 2020","")</f>
        <v/>
      </c>
      <c r="BI399" s="90">
        <v>213715</v>
      </c>
      <c r="BJ399" s="90" t="str">
        <f>L399</f>
        <v>6B50CR88795-70</v>
      </c>
      <c r="BK399" s="127">
        <v>43508</v>
      </c>
      <c r="BL399" s="127">
        <v>44239</v>
      </c>
      <c r="BM399" s="128">
        <f>P399*1.1</f>
        <v>3149058.0000000005</v>
      </c>
      <c r="BN399" s="129">
        <f>P399*0.9</f>
        <v>2576502</v>
      </c>
      <c r="BO399" s="130">
        <f>P399*0.8</f>
        <v>2290224</v>
      </c>
      <c r="BP399" s="90">
        <f>IF(Z399="Y",BM399*0.4,BM399*1.05)</f>
        <v>3306510.9000000008</v>
      </c>
      <c r="BQ399" s="90">
        <f>BP399*0.8</f>
        <v>2645208.7200000007</v>
      </c>
      <c r="BR399" s="90" t="str">
        <f>IF(ISNUMBER(SEARCH("subrecipient",AI395)),P399*0.6,"")</f>
        <v/>
      </c>
      <c r="BS399" s="90">
        <v>213715</v>
      </c>
      <c r="BT399" s="90" t="str">
        <f>BJ399</f>
        <v>6B50CR88795-70</v>
      </c>
      <c r="BU399" s="127">
        <f>BK399</f>
        <v>43508</v>
      </c>
      <c r="BV399" s="127">
        <f>BL399</f>
        <v>44239</v>
      </c>
      <c r="BW399" s="90" t="str">
        <f>H399</f>
        <v>CDC</v>
      </c>
      <c r="BX399" s="90" t="str">
        <f>IF(H399="NATIONAL HEMOPHILIA FOUNDATION","Non Federal","Federal")</f>
        <v>Federal</v>
      </c>
      <c r="BY399" s="128">
        <f>BM399</f>
        <v>3149058.0000000005</v>
      </c>
      <c r="BZ399" s="90" t="str">
        <f>IF(LEN(BR399)&gt;0,1,"")</f>
        <v/>
      </c>
      <c r="CA399" s="90" t="str">
        <f>IF(LEN(BR399)&gt;0,"VIRAL HEPATITIS PROJECT","")</f>
        <v/>
      </c>
      <c r="CB399" s="129" t="str">
        <f>IF(LEN(BR399)&gt;0,BM399*0.7,"")</f>
        <v/>
      </c>
      <c r="CC399" s="90">
        <f>BP399</f>
        <v>3306510.9000000008</v>
      </c>
      <c r="CD399" s="90" t="str">
        <f>IF(LEN(BR399)&gt;0,"70%","")</f>
        <v/>
      </c>
      <c r="CE399" s="90">
        <f>BS399</f>
        <v>213715</v>
      </c>
      <c r="CF399" s="90" t="str">
        <f>CA399</f>
        <v/>
      </c>
      <c r="CG399" s="90"/>
      <c r="CH399" s="90"/>
      <c r="CI399" s="90"/>
      <c r="CJ399" s="90"/>
      <c r="CK399" s="90"/>
      <c r="CL399" s="90"/>
      <c r="CM399" s="90"/>
      <c r="CN399" s="90"/>
      <c r="CO399" s="90"/>
      <c r="CP399" s="90"/>
      <c r="CQ399" s="90"/>
      <c r="CR399" s="90"/>
      <c r="CS399" s="90"/>
      <c r="CT399" s="137"/>
    </row>
    <row r="400" spans="1:98" ht="30">
      <c r="A400" s="89">
        <v>213715</v>
      </c>
      <c r="B400" s="90">
        <v>2020</v>
      </c>
      <c r="C400" s="90" t="s">
        <v>81</v>
      </c>
      <c r="D400" s="90" t="s">
        <v>1213</v>
      </c>
      <c r="E400" s="125" t="s">
        <v>793</v>
      </c>
      <c r="F400" s="24" t="s">
        <v>1214</v>
      </c>
      <c r="G400" s="90" t="s">
        <v>85</v>
      </c>
      <c r="H400" s="90" t="s">
        <v>86</v>
      </c>
      <c r="I400" s="90">
        <v>93</v>
      </c>
      <c r="J400" s="90">
        <v>157</v>
      </c>
      <c r="K400" s="90" t="s">
        <v>85</v>
      </c>
      <c r="L400" s="90" t="s">
        <v>1215</v>
      </c>
      <c r="M400" s="90" t="s">
        <v>119</v>
      </c>
      <c r="N400" s="24" t="s">
        <v>254</v>
      </c>
      <c r="O400" s="24" t="str">
        <f>IF(ISNUMBER(SEARCH("Cancer",N400)),"Cancer",IF(ISNUMBER(SEARCH("health",N400)),"Public health",IF(ISNUMBER(SEARCH("disabilities",N400)),"Disabilities","Other")))</f>
        <v>Other</v>
      </c>
      <c r="P400" s="126">
        <v>2862780</v>
      </c>
      <c r="Q400" s="90" t="s">
        <v>85</v>
      </c>
      <c r="R400" s="90" t="str">
        <f>IF(P400&gt;20000000,"B","A")</f>
        <v>A</v>
      </c>
      <c r="S400" s="90" t="s">
        <v>90</v>
      </c>
      <c r="T400" s="90" t="s">
        <v>119</v>
      </c>
      <c r="U400" s="90" t="s">
        <v>119</v>
      </c>
      <c r="V400" s="90" t="s">
        <v>119</v>
      </c>
      <c r="W400" s="90" t="s">
        <v>119</v>
      </c>
      <c r="X400" s="90" t="s">
        <v>119</v>
      </c>
      <c r="Y400" s="90" t="s">
        <v>119</v>
      </c>
      <c r="Z400" s="90" t="s">
        <v>119</v>
      </c>
      <c r="AA400" s="90" t="s">
        <v>119</v>
      </c>
      <c r="AB400" s="90" t="s">
        <v>119</v>
      </c>
      <c r="AC400" s="90" t="s">
        <v>119</v>
      </c>
      <c r="AD400" s="90" t="s">
        <v>119</v>
      </c>
      <c r="AE400" s="24">
        <v>0</v>
      </c>
      <c r="AF400" s="90">
        <v>0</v>
      </c>
      <c r="AG400" s="24">
        <v>0</v>
      </c>
      <c r="AH400" s="90">
        <v>88795</v>
      </c>
      <c r="AI400" s="24" t="s">
        <v>102</v>
      </c>
      <c r="AJ400" s="24" t="s">
        <v>1217</v>
      </c>
      <c r="AK400" s="90" t="s">
        <v>85</v>
      </c>
      <c r="AL400" s="90">
        <v>213715</v>
      </c>
      <c r="AM400" s="90" t="s">
        <v>81</v>
      </c>
      <c r="AN400" s="90" t="s">
        <v>1213</v>
      </c>
      <c r="AO400" s="125" t="s">
        <v>793</v>
      </c>
      <c r="AP400" s="24" t="s">
        <v>254</v>
      </c>
      <c r="AQ400" s="90" t="s">
        <v>1215</v>
      </c>
      <c r="AR400" s="24" t="s">
        <v>254</v>
      </c>
      <c r="AS400" s="90" t="s">
        <v>119</v>
      </c>
      <c r="AT400" s="24" t="s">
        <v>102</v>
      </c>
      <c r="AU400" s="90" t="s">
        <v>119</v>
      </c>
      <c r="AV400" s="90" t="str">
        <f>IF(ISNUMBER(SEARCH("disagree",AE400)),"N","Y")</f>
        <v>Y</v>
      </c>
      <c r="AW400" s="90" t="s">
        <v>119</v>
      </c>
      <c r="AX400" s="24" t="s">
        <v>119</v>
      </c>
      <c r="AY400" s="90" t="str">
        <f>CONCATENATE(AZ400,BA400,BB400,BC400)</f>
        <v/>
      </c>
      <c r="AZ400" s="90" t="str">
        <f>IF(ISNUMBER(SEARCH("Y",AC400)),"R","")</f>
        <v/>
      </c>
      <c r="BA400" s="90" t="str">
        <f>IF(ISNUMBER(SEARCH("Y",Y400)),"M","")</f>
        <v/>
      </c>
      <c r="BB400" s="90" t="str">
        <f>IF(ISNUMBER(SEARCH("Y",AB400)),"QC","")</f>
        <v/>
      </c>
      <c r="BC400" s="90" t="str">
        <f>IF(ISNUMBER(SEARCH("Y",Z400)),"S","")</f>
        <v/>
      </c>
      <c r="BD400" s="90"/>
      <c r="BE400" s="24" t="s">
        <v>119</v>
      </c>
      <c r="BF400" s="125" t="str">
        <f>IF(AND(AW400&gt;=56543,AW400&lt;=76543,LEN(AW400)&gt;0),"3 Feb 2020",IF(AND(AW400&gt;=66544,AW400&lt;=99999,LEN(AW400)&gt;0),"12 Sep 2020",""))</f>
        <v/>
      </c>
      <c r="BG400" s="125" t="str">
        <f>IF((AND(BF400="3 Feb 2020",LEN(BF400)&gt;0)),"Completed",IF((AND(BF400="12 Sep 2020",LEN(BF400)&gt;0)),"Pending",""))</f>
        <v/>
      </c>
      <c r="BH400" s="90" t="str">
        <f>IF((AND(BF400="3 Feb 2020",LEN(BF400)&gt;0)),"3 Feb 2020","")</f>
        <v/>
      </c>
      <c r="BI400" s="90">
        <v>213715</v>
      </c>
      <c r="BJ400" s="90" t="str">
        <f>L400</f>
        <v>6B50CR88795-70</v>
      </c>
      <c r="BK400" s="127">
        <v>43508</v>
      </c>
      <c r="BL400" s="127">
        <v>44239</v>
      </c>
      <c r="BM400" s="128">
        <f>P400*1.1</f>
        <v>3149058.0000000005</v>
      </c>
      <c r="BN400" s="129">
        <f>P400*0.9</f>
        <v>2576502</v>
      </c>
      <c r="BO400" s="130">
        <f>P400*0.8</f>
        <v>2290224</v>
      </c>
      <c r="BP400" s="90">
        <f>IF(Z400="Y",BM400*0.4,BM400*1.05)</f>
        <v>3306510.9000000008</v>
      </c>
      <c r="BQ400" s="90">
        <f>BP400*0.8</f>
        <v>2645208.7200000007</v>
      </c>
      <c r="BR400" s="90" t="str">
        <f>IF(ISNUMBER(SEARCH("subrecipient",AI396)),P400*0.6,"")</f>
        <v/>
      </c>
      <c r="BS400" s="90">
        <v>213715</v>
      </c>
      <c r="BT400" s="90" t="str">
        <f>BJ400</f>
        <v>6B50CR88795-70</v>
      </c>
      <c r="BU400" s="127">
        <f>BK400</f>
        <v>43508</v>
      </c>
      <c r="BV400" s="127">
        <f>BL400</f>
        <v>44239</v>
      </c>
      <c r="BW400" s="90" t="str">
        <f>H400</f>
        <v>CDC</v>
      </c>
      <c r="BX400" s="90" t="str">
        <f>IF(H400="NATIONAL HEMOPHILIA FOUNDATION","Non Federal","Federal")</f>
        <v>Federal</v>
      </c>
      <c r="BY400" s="128">
        <f>BM400</f>
        <v>3149058.0000000005</v>
      </c>
      <c r="BZ400" s="90" t="str">
        <f>IF(LEN(BR400)&gt;0,1,"")</f>
        <v/>
      </c>
      <c r="CA400" s="90" t="str">
        <f>IF(LEN(BR400)&gt;0,"VIRAL HEPATITIS PROJECT","")</f>
        <v/>
      </c>
      <c r="CB400" s="129" t="str">
        <f>IF(LEN(BR400)&gt;0,BM400*0.7,"")</f>
        <v/>
      </c>
      <c r="CC400" s="90">
        <f>BP400</f>
        <v>3306510.9000000008</v>
      </c>
      <c r="CD400" s="90" t="str">
        <f>IF(LEN(BR400)&gt;0,"70%","")</f>
        <v/>
      </c>
      <c r="CE400" s="90">
        <f>BS400</f>
        <v>213715</v>
      </c>
      <c r="CF400" s="90" t="str">
        <f>CA400</f>
        <v/>
      </c>
      <c r="CG400" s="90"/>
      <c r="CH400" s="90"/>
      <c r="CI400" s="90"/>
      <c r="CJ400" s="90"/>
      <c r="CK400" s="90"/>
      <c r="CL400" s="90"/>
      <c r="CM400" s="90"/>
      <c r="CN400" s="90"/>
      <c r="CO400" s="90"/>
      <c r="CP400" s="90"/>
      <c r="CQ400" s="90"/>
      <c r="CR400" s="90"/>
      <c r="CS400" s="90"/>
      <c r="CT400" s="137"/>
    </row>
    <row r="401" spans="1:98" ht="45">
      <c r="A401" s="89">
        <v>213715</v>
      </c>
      <c r="B401" s="90">
        <v>2020</v>
      </c>
      <c r="C401" s="90" t="s">
        <v>81</v>
      </c>
      <c r="D401" s="90" t="s">
        <v>1213</v>
      </c>
      <c r="E401" s="125" t="s">
        <v>780</v>
      </c>
      <c r="F401" s="24" t="s">
        <v>1214</v>
      </c>
      <c r="G401" s="90" t="s">
        <v>85</v>
      </c>
      <c r="H401" s="90" t="s">
        <v>86</v>
      </c>
      <c r="I401" s="90">
        <v>93</v>
      </c>
      <c r="J401" s="90">
        <v>157</v>
      </c>
      <c r="K401" s="90" t="s">
        <v>85</v>
      </c>
      <c r="L401" s="90" t="s">
        <v>1215</v>
      </c>
      <c r="M401" s="90" t="s">
        <v>119</v>
      </c>
      <c r="N401" s="24" t="s">
        <v>254</v>
      </c>
      <c r="O401" s="24" t="str">
        <f>IF(ISNUMBER(SEARCH("Cancer",N401)),"Cancer",IF(ISNUMBER(SEARCH("health",N401)),"Public health",IF(ISNUMBER(SEARCH("disabilities",N401)),"Disabilities","Other")))</f>
        <v>Other</v>
      </c>
      <c r="P401" s="126">
        <v>2862780</v>
      </c>
      <c r="Q401" s="90" t="s">
        <v>85</v>
      </c>
      <c r="R401" s="90" t="str">
        <f>IF(P401&gt;20000000,"B","A")</f>
        <v>A</v>
      </c>
      <c r="S401" s="90" t="s">
        <v>90</v>
      </c>
      <c r="T401" s="90" t="s">
        <v>119</v>
      </c>
      <c r="U401" s="90" t="s">
        <v>119</v>
      </c>
      <c r="V401" s="90" t="s">
        <v>119</v>
      </c>
      <c r="W401" s="90" t="s">
        <v>119</v>
      </c>
      <c r="X401" s="90" t="s">
        <v>119</v>
      </c>
      <c r="Y401" s="90" t="s">
        <v>119</v>
      </c>
      <c r="Z401" s="90" t="s">
        <v>119</v>
      </c>
      <c r="AA401" s="90" t="s">
        <v>119</v>
      </c>
      <c r="AB401" s="90" t="s">
        <v>119</v>
      </c>
      <c r="AC401" s="90" t="s">
        <v>119</v>
      </c>
      <c r="AD401" s="90" t="s">
        <v>119</v>
      </c>
      <c r="AE401" s="24">
        <v>0</v>
      </c>
      <c r="AF401" s="90">
        <v>0</v>
      </c>
      <c r="AG401" s="24">
        <v>0</v>
      </c>
      <c r="AH401" s="90">
        <v>88797</v>
      </c>
      <c r="AI401" s="24" t="s">
        <v>917</v>
      </c>
      <c r="AJ401" s="24" t="s">
        <v>1218</v>
      </c>
      <c r="AK401" s="90" t="s">
        <v>85</v>
      </c>
      <c r="AL401" s="90">
        <v>213715</v>
      </c>
      <c r="AM401" s="90" t="s">
        <v>81</v>
      </c>
      <c r="AN401" s="90" t="s">
        <v>1213</v>
      </c>
      <c r="AO401" s="125" t="s">
        <v>780</v>
      </c>
      <c r="AP401" s="24" t="s">
        <v>254</v>
      </c>
      <c r="AQ401" s="90" t="s">
        <v>1215</v>
      </c>
      <c r="AR401" s="24" t="s">
        <v>254</v>
      </c>
      <c r="AS401" s="90" t="s">
        <v>119</v>
      </c>
      <c r="AT401" s="24" t="s">
        <v>917</v>
      </c>
      <c r="AU401" s="90" t="s">
        <v>119</v>
      </c>
      <c r="AV401" s="90" t="str">
        <f>IF(ISNUMBER(SEARCH("disagree",AE401)),"N","Y")</f>
        <v>Y</v>
      </c>
      <c r="AW401" s="90" t="s">
        <v>119</v>
      </c>
      <c r="AX401" s="24" t="s">
        <v>119</v>
      </c>
      <c r="AY401" s="90" t="str">
        <f>CONCATENATE(AZ401,BA401,BB401,BC401)</f>
        <v/>
      </c>
      <c r="AZ401" s="90" t="str">
        <f>IF(ISNUMBER(SEARCH("Y",AC401)),"R","")</f>
        <v/>
      </c>
      <c r="BA401" s="90" t="str">
        <f>IF(ISNUMBER(SEARCH("Y",Y401)),"M","")</f>
        <v/>
      </c>
      <c r="BB401" s="90" t="str">
        <f>IF(ISNUMBER(SEARCH("Y",AB401)),"QC","")</f>
        <v/>
      </c>
      <c r="BC401" s="90" t="str">
        <f>IF(ISNUMBER(SEARCH("Y",Z401)),"S","")</f>
        <v/>
      </c>
      <c r="BD401" s="90"/>
      <c r="BE401" s="24" t="s">
        <v>119</v>
      </c>
      <c r="BF401" s="125" t="str">
        <f>IF(AND(AW401&gt;=56543,AW401&lt;=76543,LEN(AW401)&gt;0),"3 Feb 2020",IF(AND(AW401&gt;=66544,AW401&lt;=99999,LEN(AW401)&gt;0),"12 Sep 2020",""))</f>
        <v/>
      </c>
      <c r="BG401" s="125" t="str">
        <f>IF((AND(BF401="3 Feb 2020",LEN(BF401)&gt;0)),"Completed",IF((AND(BF401="12 Sep 2020",LEN(BF401)&gt;0)),"Pending",""))</f>
        <v/>
      </c>
      <c r="BH401" s="90" t="str">
        <f>IF((AND(BF401="3 Feb 2020",LEN(BF401)&gt;0)),"3 Feb 2020","")</f>
        <v/>
      </c>
      <c r="BI401" s="90">
        <v>213715</v>
      </c>
      <c r="BJ401" s="90" t="str">
        <f>L401</f>
        <v>6B50CR88795-70</v>
      </c>
      <c r="BK401" s="127">
        <v>43508</v>
      </c>
      <c r="BL401" s="127">
        <v>44239</v>
      </c>
      <c r="BM401" s="128">
        <f>P401*1.1</f>
        <v>3149058.0000000005</v>
      </c>
      <c r="BN401" s="129">
        <f>P401*0.9</f>
        <v>2576502</v>
      </c>
      <c r="BO401" s="130">
        <f>P401*0.8</f>
        <v>2290224</v>
      </c>
      <c r="BP401" s="90">
        <f>IF(Z401="Y",BM401*0.4,BM401*1.05)</f>
        <v>3306510.9000000008</v>
      </c>
      <c r="BQ401" s="90">
        <f>BP401*0.8</f>
        <v>2645208.7200000007</v>
      </c>
      <c r="BR401" s="90" t="str">
        <f>IF(ISNUMBER(SEARCH("subrecipient",AI397)),P401*0.6,"")</f>
        <v/>
      </c>
      <c r="BS401" s="90">
        <v>213715</v>
      </c>
      <c r="BT401" s="90" t="str">
        <f>BJ401</f>
        <v>6B50CR88795-70</v>
      </c>
      <c r="BU401" s="127">
        <f>BK401</f>
        <v>43508</v>
      </c>
      <c r="BV401" s="127">
        <f>BL401</f>
        <v>44239</v>
      </c>
      <c r="BW401" s="90" t="str">
        <f>H401</f>
        <v>CDC</v>
      </c>
      <c r="BX401" s="90" t="str">
        <f>IF(H401="NATIONAL HEMOPHILIA FOUNDATION","Non Federal","Federal")</f>
        <v>Federal</v>
      </c>
      <c r="BY401" s="128">
        <f>BM401</f>
        <v>3149058.0000000005</v>
      </c>
      <c r="BZ401" s="90" t="str">
        <f>IF(LEN(BR401)&gt;0,1,"")</f>
        <v/>
      </c>
      <c r="CA401" s="90" t="str">
        <f>IF(LEN(BR401)&gt;0,"VIRAL HEPATITIS PROJECT","")</f>
        <v/>
      </c>
      <c r="CB401" s="129" t="str">
        <f>IF(LEN(BR401)&gt;0,BM401*0.7,"")</f>
        <v/>
      </c>
      <c r="CC401" s="90">
        <f>BP401</f>
        <v>3306510.9000000008</v>
      </c>
      <c r="CD401" s="90" t="str">
        <f>IF(LEN(BR401)&gt;0,"70%","")</f>
        <v/>
      </c>
      <c r="CE401" s="90">
        <f>BS401</f>
        <v>213715</v>
      </c>
      <c r="CF401" s="90" t="str">
        <f>CA401</f>
        <v/>
      </c>
      <c r="CG401" s="90"/>
      <c r="CH401" s="90"/>
      <c r="CI401" s="90"/>
      <c r="CJ401" s="90"/>
      <c r="CK401" s="90"/>
      <c r="CL401" s="90"/>
      <c r="CM401" s="90"/>
      <c r="CN401" s="90"/>
      <c r="CO401" s="90"/>
      <c r="CP401" s="90"/>
      <c r="CQ401" s="90"/>
      <c r="CR401" s="90"/>
      <c r="CS401" s="90"/>
      <c r="CT401" s="137"/>
    </row>
    <row r="402" spans="1:98" ht="105">
      <c r="A402" s="89">
        <v>213892</v>
      </c>
      <c r="B402" s="90">
        <v>2020</v>
      </c>
      <c r="C402" s="90" t="s">
        <v>81</v>
      </c>
      <c r="D402" s="90" t="s">
        <v>1219</v>
      </c>
      <c r="E402" s="125" t="s">
        <v>781</v>
      </c>
      <c r="F402" s="24" t="s">
        <v>1220</v>
      </c>
      <c r="G402" s="90" t="s">
        <v>85</v>
      </c>
      <c r="H402" s="90" t="s">
        <v>117</v>
      </c>
      <c r="I402" s="90">
        <v>93</v>
      </c>
      <c r="J402" s="90">
        <v>157</v>
      </c>
      <c r="K402" s="90" t="s">
        <v>85</v>
      </c>
      <c r="L402" s="90" t="s">
        <v>1221</v>
      </c>
      <c r="M402" s="90" t="s">
        <v>119</v>
      </c>
      <c r="N402" s="24" t="s">
        <v>1222</v>
      </c>
      <c r="O402" s="24" t="str">
        <f>IF(ISNUMBER(SEARCH("Cancer",N402)),"Cancer",IF(ISNUMBER(SEARCH("health",N402)),"Public health",IF(ISNUMBER(SEARCH("disabilities",N402)),"Disabilities","Other")))</f>
        <v>Other</v>
      </c>
      <c r="P402" s="126">
        <v>2105028</v>
      </c>
      <c r="Q402" s="90" t="s">
        <v>85</v>
      </c>
      <c r="R402" s="90" t="str">
        <f>IF(P402&gt;20000000,"B","A")</f>
        <v>A</v>
      </c>
      <c r="S402" s="90" t="s">
        <v>90</v>
      </c>
      <c r="T402" s="90" t="s">
        <v>119</v>
      </c>
      <c r="U402" s="90" t="s">
        <v>119</v>
      </c>
      <c r="V402" s="90" t="s">
        <v>119</v>
      </c>
      <c r="W402" s="90" t="s">
        <v>119</v>
      </c>
      <c r="X402" s="90" t="s">
        <v>119</v>
      </c>
      <c r="Y402" s="90" t="s">
        <v>119</v>
      </c>
      <c r="Z402" s="90" t="s">
        <v>119</v>
      </c>
      <c r="AA402" s="90" t="s">
        <v>119</v>
      </c>
      <c r="AB402" s="90" t="s">
        <v>119</v>
      </c>
      <c r="AC402" s="90" t="s">
        <v>119</v>
      </c>
      <c r="AD402" s="90" t="s">
        <v>119</v>
      </c>
      <c r="AE402" s="24">
        <v>0</v>
      </c>
      <c r="AF402" s="90">
        <v>0</v>
      </c>
      <c r="AG402" s="24">
        <v>0</v>
      </c>
      <c r="AH402" s="90">
        <v>87858</v>
      </c>
      <c r="AI402" s="24" t="s">
        <v>94</v>
      </c>
      <c r="AJ402" s="24" t="s">
        <v>95</v>
      </c>
      <c r="AK402" s="90" t="s">
        <v>85</v>
      </c>
      <c r="AL402" s="90">
        <v>213892</v>
      </c>
      <c r="AM402" s="90" t="s">
        <v>81</v>
      </c>
      <c r="AN402" s="90" t="s">
        <v>1219</v>
      </c>
      <c r="AO402" s="125" t="s">
        <v>781</v>
      </c>
      <c r="AP402" s="24" t="s">
        <v>1222</v>
      </c>
      <c r="AQ402" s="90" t="s">
        <v>1221</v>
      </c>
      <c r="AR402" s="24" t="s">
        <v>1222</v>
      </c>
      <c r="AS402" s="90" t="s">
        <v>119</v>
      </c>
      <c r="AT402" s="24" t="s">
        <v>94</v>
      </c>
      <c r="AU402" s="90" t="s">
        <v>119</v>
      </c>
      <c r="AV402" s="90" t="str">
        <f>IF(ISNUMBER(SEARCH("disagree",AE402)),"N","Y")</f>
        <v>Y</v>
      </c>
      <c r="AW402" s="90" t="s">
        <v>119</v>
      </c>
      <c r="AX402" s="24" t="s">
        <v>119</v>
      </c>
      <c r="AY402" s="90" t="str">
        <f>CONCATENATE(AZ402,BA402,BB402,BC402)</f>
        <v/>
      </c>
      <c r="AZ402" s="90" t="str">
        <f>IF(ISNUMBER(SEARCH("Y",AC402)),"R","")</f>
        <v/>
      </c>
      <c r="BA402" s="90" t="str">
        <f>IF(ISNUMBER(SEARCH("Y",Y402)),"M","")</f>
        <v/>
      </c>
      <c r="BB402" s="90" t="str">
        <f>IF(ISNUMBER(SEARCH("Y",AB402)),"QC","")</f>
        <v/>
      </c>
      <c r="BC402" s="90" t="str">
        <f>IF(ISNUMBER(SEARCH("Y",Z402)),"S","")</f>
        <v/>
      </c>
      <c r="BD402" s="90"/>
      <c r="BE402" s="24" t="s">
        <v>119</v>
      </c>
      <c r="BF402" s="125" t="str">
        <f>IF(AND(AW402&gt;=56543,AW402&lt;=76543,LEN(AW402)&gt;0),"3 Feb 2020",IF(AND(AW402&gt;=66544,AW402&lt;=99999,LEN(AW402)&gt;0),"12 Sep 2020",""))</f>
        <v/>
      </c>
      <c r="BG402" s="125" t="str">
        <f>IF((AND(BF402="3 Feb 2020",LEN(BF402)&gt;0)),"Completed",IF((AND(BF402="12 Sep 2020",LEN(BF402)&gt;0)),"Pending",""))</f>
        <v/>
      </c>
      <c r="BH402" s="90" t="str">
        <f>IF((AND(BF402="3 Feb 2020",LEN(BF402)&gt;0)),"3 Feb 2020","")</f>
        <v/>
      </c>
      <c r="BI402" s="90">
        <v>213892</v>
      </c>
      <c r="BJ402" s="90" t="str">
        <f>L402</f>
        <v>6B88IR87856-42</v>
      </c>
      <c r="BK402" s="127">
        <v>43508</v>
      </c>
      <c r="BL402" s="127">
        <v>44239</v>
      </c>
      <c r="BM402" s="128">
        <f>P402*1.1</f>
        <v>2315530.8000000003</v>
      </c>
      <c r="BN402" s="129">
        <f>P402*0.9</f>
        <v>1894525.2</v>
      </c>
      <c r="BO402" s="130">
        <f>P402*0.8</f>
        <v>1684022.4000000001</v>
      </c>
      <c r="BP402" s="90">
        <f>IF(Z402="Y",BM402*0.4,BM402*1.05)</f>
        <v>2431307.3400000003</v>
      </c>
      <c r="BQ402" s="90">
        <f>BP402*0.8</f>
        <v>1945045.8720000004</v>
      </c>
      <c r="BR402" s="90" t="str">
        <f>IF(ISNUMBER(SEARCH("subrecipient",AI398)),P402*0.6,"")</f>
        <v/>
      </c>
      <c r="BS402" s="90">
        <v>213892</v>
      </c>
      <c r="BT402" s="90" t="str">
        <f>BJ402</f>
        <v>6B88IR87856-42</v>
      </c>
      <c r="BU402" s="127">
        <f>BK402</f>
        <v>43508</v>
      </c>
      <c r="BV402" s="127">
        <f>BL402</f>
        <v>44239</v>
      </c>
      <c r="BW402" s="90" t="str">
        <f>H402</f>
        <v>NIH</v>
      </c>
      <c r="BX402" s="90" t="str">
        <f>IF(H402="NATIONAL HEMOPHILIA FOUNDATION","Non Federal","Federal")</f>
        <v>Federal</v>
      </c>
      <c r="BY402" s="128">
        <f>BM402</f>
        <v>2315530.8000000003</v>
      </c>
      <c r="BZ402" s="90" t="str">
        <f>IF(LEN(BR402)&gt;0,1,"")</f>
        <v/>
      </c>
      <c r="CA402" s="90" t="str">
        <f>IF(LEN(BR402)&gt;0,"VIRAL HEPATITIS PROJECT","")</f>
        <v/>
      </c>
      <c r="CB402" s="129" t="str">
        <f>IF(LEN(BR402)&gt;0,BM402*0.7,"")</f>
        <v/>
      </c>
      <c r="CC402" s="90">
        <f>BP402</f>
        <v>2431307.3400000003</v>
      </c>
      <c r="CD402" s="90" t="str">
        <f>IF(LEN(BR402)&gt;0,"70%","")</f>
        <v/>
      </c>
      <c r="CE402" s="90">
        <f>BS402</f>
        <v>213892</v>
      </c>
      <c r="CF402" s="90" t="str">
        <f>CA402</f>
        <v/>
      </c>
      <c r="CG402" s="90"/>
      <c r="CH402" s="90"/>
      <c r="CI402" s="90"/>
      <c r="CJ402" s="90"/>
      <c r="CK402" s="90"/>
      <c r="CL402" s="90"/>
      <c r="CM402" s="90"/>
      <c r="CN402" s="90"/>
      <c r="CO402" s="90"/>
      <c r="CP402" s="90"/>
      <c r="CQ402" s="90"/>
      <c r="CR402" s="90"/>
      <c r="CS402" s="90"/>
      <c r="CT402" s="137"/>
    </row>
    <row r="403" spans="1:98" ht="105">
      <c r="A403" s="89">
        <v>213892</v>
      </c>
      <c r="B403" s="90">
        <v>2020</v>
      </c>
      <c r="C403" s="90" t="s">
        <v>81</v>
      </c>
      <c r="D403" s="90" t="s">
        <v>1219</v>
      </c>
      <c r="E403" s="125" t="s">
        <v>784</v>
      </c>
      <c r="F403" s="24" t="s">
        <v>1220</v>
      </c>
      <c r="G403" s="90" t="s">
        <v>85</v>
      </c>
      <c r="H403" s="90" t="s">
        <v>117</v>
      </c>
      <c r="I403" s="90">
        <v>93</v>
      </c>
      <c r="J403" s="90">
        <v>157</v>
      </c>
      <c r="K403" s="90" t="s">
        <v>85</v>
      </c>
      <c r="L403" s="90" t="s">
        <v>1221</v>
      </c>
      <c r="M403" s="90" t="s">
        <v>119</v>
      </c>
      <c r="N403" s="24" t="s">
        <v>1222</v>
      </c>
      <c r="O403" s="24" t="str">
        <f>IF(ISNUMBER(SEARCH("Cancer",N403)),"Cancer",IF(ISNUMBER(SEARCH("health",N403)),"Public health",IF(ISNUMBER(SEARCH("disabilities",N403)),"Disabilities","Other")))</f>
        <v>Other</v>
      </c>
      <c r="P403" s="126">
        <v>2105028</v>
      </c>
      <c r="Q403" s="90" t="s">
        <v>85</v>
      </c>
      <c r="R403" s="90" t="str">
        <f>IF(P403&gt;20000000,"B","A")</f>
        <v>A</v>
      </c>
      <c r="S403" s="90" t="s">
        <v>90</v>
      </c>
      <c r="T403" s="90" t="s">
        <v>119</v>
      </c>
      <c r="U403" s="90" t="s">
        <v>119</v>
      </c>
      <c r="V403" s="90" t="s">
        <v>119</v>
      </c>
      <c r="W403" s="90" t="s">
        <v>119</v>
      </c>
      <c r="X403" s="90" t="s">
        <v>119</v>
      </c>
      <c r="Y403" s="90" t="s">
        <v>119</v>
      </c>
      <c r="Z403" s="90" t="s">
        <v>119</v>
      </c>
      <c r="AA403" s="90" t="s">
        <v>119</v>
      </c>
      <c r="AB403" s="90" t="s">
        <v>119</v>
      </c>
      <c r="AC403" s="90" t="s">
        <v>119</v>
      </c>
      <c r="AD403" s="90" t="s">
        <v>119</v>
      </c>
      <c r="AE403" s="24">
        <v>0</v>
      </c>
      <c r="AF403" s="90">
        <v>0</v>
      </c>
      <c r="AG403" s="24">
        <v>0</v>
      </c>
      <c r="AH403" s="90">
        <v>87856</v>
      </c>
      <c r="AI403" s="24" t="s">
        <v>102</v>
      </c>
      <c r="AJ403" s="24" t="s">
        <v>103</v>
      </c>
      <c r="AK403" s="90" t="s">
        <v>85</v>
      </c>
      <c r="AL403" s="90">
        <v>213892</v>
      </c>
      <c r="AM403" s="90" t="s">
        <v>81</v>
      </c>
      <c r="AN403" s="90" t="s">
        <v>1219</v>
      </c>
      <c r="AO403" s="125" t="s">
        <v>784</v>
      </c>
      <c r="AP403" s="24" t="s">
        <v>1222</v>
      </c>
      <c r="AQ403" s="90" t="s">
        <v>1221</v>
      </c>
      <c r="AR403" s="24" t="s">
        <v>1222</v>
      </c>
      <c r="AS403" s="90" t="s">
        <v>119</v>
      </c>
      <c r="AT403" s="24" t="s">
        <v>102</v>
      </c>
      <c r="AU403" s="90" t="s">
        <v>119</v>
      </c>
      <c r="AV403" s="90" t="str">
        <f>IF(ISNUMBER(SEARCH("disagree",AE403)),"N","Y")</f>
        <v>Y</v>
      </c>
      <c r="AW403" s="90" t="s">
        <v>119</v>
      </c>
      <c r="AX403" s="24" t="s">
        <v>119</v>
      </c>
      <c r="AY403" s="90" t="str">
        <f>CONCATENATE(AZ403,BA403,BB403,BC403)</f>
        <v/>
      </c>
      <c r="AZ403" s="90" t="str">
        <f>IF(ISNUMBER(SEARCH("Y",AC403)),"R","")</f>
        <v/>
      </c>
      <c r="BA403" s="90" t="str">
        <f>IF(ISNUMBER(SEARCH("Y",Y403)),"M","")</f>
        <v/>
      </c>
      <c r="BB403" s="90" t="str">
        <f>IF(ISNUMBER(SEARCH("Y",AB403)),"QC","")</f>
        <v/>
      </c>
      <c r="BC403" s="90" t="str">
        <f>IF(ISNUMBER(SEARCH("Y",Z403)),"S","")</f>
        <v/>
      </c>
      <c r="BD403" s="90"/>
      <c r="BE403" s="24" t="s">
        <v>119</v>
      </c>
      <c r="BF403" s="125" t="str">
        <f>IF(AND(AW403&gt;=56543,AW403&lt;=76543,LEN(AW403)&gt;0),"3 Feb 2020",IF(AND(AW403&gt;=66544,AW403&lt;=99999,LEN(AW403)&gt;0),"12 Sep 2020",""))</f>
        <v/>
      </c>
      <c r="BG403" s="125" t="str">
        <f>IF((AND(BF403="3 Feb 2020",LEN(BF403)&gt;0)),"Completed",IF((AND(BF403="12 Sep 2020",LEN(BF403)&gt;0)),"Pending",""))</f>
        <v/>
      </c>
      <c r="BH403" s="90" t="str">
        <f>IF((AND(BF403="3 Feb 2020",LEN(BF403)&gt;0)),"3 Feb 2020","")</f>
        <v/>
      </c>
      <c r="BI403" s="90">
        <v>213892</v>
      </c>
      <c r="BJ403" s="90" t="str">
        <f>L403</f>
        <v>6B88IR87856-42</v>
      </c>
      <c r="BK403" s="127">
        <v>43508</v>
      </c>
      <c r="BL403" s="127">
        <v>44239</v>
      </c>
      <c r="BM403" s="128">
        <f>P403*1.1</f>
        <v>2315530.8000000003</v>
      </c>
      <c r="BN403" s="129">
        <f>P403*0.9</f>
        <v>1894525.2</v>
      </c>
      <c r="BO403" s="130">
        <f>P403*0.8</f>
        <v>1684022.4000000001</v>
      </c>
      <c r="BP403" s="90">
        <f>IF(Z403="Y",BM403*0.4,BM403*1.05)</f>
        <v>2431307.3400000003</v>
      </c>
      <c r="BQ403" s="90">
        <f>BP403*0.8</f>
        <v>1945045.8720000004</v>
      </c>
      <c r="BR403" s="90" t="str">
        <f>IF(ISNUMBER(SEARCH("subrecipient",AI399)),P403*0.6,"")</f>
        <v/>
      </c>
      <c r="BS403" s="90">
        <v>213892</v>
      </c>
      <c r="BT403" s="90" t="str">
        <f>BJ403</f>
        <v>6B88IR87856-42</v>
      </c>
      <c r="BU403" s="127">
        <f>BK403</f>
        <v>43508</v>
      </c>
      <c r="BV403" s="127">
        <f>BL403</f>
        <v>44239</v>
      </c>
      <c r="BW403" s="90" t="str">
        <f>H403</f>
        <v>NIH</v>
      </c>
      <c r="BX403" s="90" t="str">
        <f>IF(H403="NATIONAL HEMOPHILIA FOUNDATION","Non Federal","Federal")</f>
        <v>Federal</v>
      </c>
      <c r="BY403" s="128">
        <f>BM403</f>
        <v>2315530.8000000003</v>
      </c>
      <c r="BZ403" s="90" t="str">
        <f>IF(LEN(BR403)&gt;0,1,"")</f>
        <v/>
      </c>
      <c r="CA403" s="90" t="str">
        <f>IF(LEN(BR403)&gt;0,"VIRAL HEPATITIS PROJECT","")</f>
        <v/>
      </c>
      <c r="CB403" s="129" t="str">
        <f>IF(LEN(BR403)&gt;0,BM403*0.7,"")</f>
        <v/>
      </c>
      <c r="CC403" s="90">
        <f>BP403</f>
        <v>2431307.3400000003</v>
      </c>
      <c r="CD403" s="90" t="str">
        <f>IF(LEN(BR403)&gt;0,"70%","")</f>
        <v/>
      </c>
      <c r="CE403" s="90">
        <f>BS403</f>
        <v>213892</v>
      </c>
      <c r="CF403" s="90" t="str">
        <f>CA403</f>
        <v/>
      </c>
      <c r="CG403" s="90"/>
      <c r="CH403" s="90"/>
      <c r="CI403" s="90"/>
      <c r="CJ403" s="90"/>
      <c r="CK403" s="90"/>
      <c r="CL403" s="90"/>
      <c r="CM403" s="90"/>
      <c r="CN403" s="90"/>
      <c r="CO403" s="90"/>
      <c r="CP403" s="90"/>
      <c r="CQ403" s="90"/>
      <c r="CR403" s="90"/>
      <c r="CS403" s="90"/>
      <c r="CT403" s="137"/>
    </row>
    <row r="404" spans="1:98" ht="105">
      <c r="A404" s="89">
        <v>213892</v>
      </c>
      <c r="B404" s="90">
        <v>2020</v>
      </c>
      <c r="C404" s="90" t="s">
        <v>81</v>
      </c>
      <c r="D404" s="90" t="s">
        <v>1219</v>
      </c>
      <c r="E404" s="125" t="s">
        <v>790</v>
      </c>
      <c r="F404" s="24" t="s">
        <v>1220</v>
      </c>
      <c r="G404" s="90" t="s">
        <v>85</v>
      </c>
      <c r="H404" s="90" t="s">
        <v>117</v>
      </c>
      <c r="I404" s="90">
        <v>93</v>
      </c>
      <c r="J404" s="90">
        <v>157</v>
      </c>
      <c r="K404" s="90" t="s">
        <v>85</v>
      </c>
      <c r="L404" s="90" t="s">
        <v>1221</v>
      </c>
      <c r="M404" s="90" t="s">
        <v>119</v>
      </c>
      <c r="N404" s="24" t="s">
        <v>1222</v>
      </c>
      <c r="O404" s="24" t="str">
        <f>IF(ISNUMBER(SEARCH("Cancer",N404)),"Cancer",IF(ISNUMBER(SEARCH("health",N404)),"Public health",IF(ISNUMBER(SEARCH("disabilities",N404)),"Disabilities","Other")))</f>
        <v>Other</v>
      </c>
      <c r="P404" s="126">
        <v>2105028</v>
      </c>
      <c r="Q404" s="90" t="s">
        <v>85</v>
      </c>
      <c r="R404" s="90" t="str">
        <f>IF(P404&gt;20000000,"B","A")</f>
        <v>A</v>
      </c>
      <c r="S404" s="90" t="s">
        <v>90</v>
      </c>
      <c r="T404" s="90" t="s">
        <v>119</v>
      </c>
      <c r="U404" s="90" t="s">
        <v>119</v>
      </c>
      <c r="V404" s="90" t="s">
        <v>119</v>
      </c>
      <c r="W404" s="90" t="s">
        <v>119</v>
      </c>
      <c r="X404" s="90" t="s">
        <v>119</v>
      </c>
      <c r="Y404" s="90" t="s">
        <v>119</v>
      </c>
      <c r="Z404" s="90" t="s">
        <v>119</v>
      </c>
      <c r="AA404" s="90" t="s">
        <v>119</v>
      </c>
      <c r="AB404" s="90" t="s">
        <v>119</v>
      </c>
      <c r="AC404" s="90" t="s">
        <v>119</v>
      </c>
      <c r="AD404" s="90" t="s">
        <v>119</v>
      </c>
      <c r="AE404" s="24">
        <v>0</v>
      </c>
      <c r="AF404" s="90">
        <v>0</v>
      </c>
      <c r="AG404" s="24">
        <v>0</v>
      </c>
      <c r="AH404" s="90">
        <v>87857</v>
      </c>
      <c r="AI404" s="24" t="s">
        <v>110</v>
      </c>
      <c r="AJ404" s="24" t="s">
        <v>1223</v>
      </c>
      <c r="AK404" s="90" t="s">
        <v>85</v>
      </c>
      <c r="AL404" s="90">
        <v>213892</v>
      </c>
      <c r="AM404" s="90" t="s">
        <v>81</v>
      </c>
      <c r="AN404" s="90" t="s">
        <v>1219</v>
      </c>
      <c r="AO404" s="125" t="s">
        <v>790</v>
      </c>
      <c r="AP404" s="24" t="s">
        <v>1222</v>
      </c>
      <c r="AQ404" s="90" t="s">
        <v>1221</v>
      </c>
      <c r="AR404" s="24" t="s">
        <v>1222</v>
      </c>
      <c r="AS404" s="90" t="s">
        <v>119</v>
      </c>
      <c r="AT404" s="24" t="s">
        <v>110</v>
      </c>
      <c r="AU404" s="90" t="s">
        <v>119</v>
      </c>
      <c r="AV404" s="90" t="str">
        <f>IF(ISNUMBER(SEARCH("disagree",AE404)),"N","Y")</f>
        <v>Y</v>
      </c>
      <c r="AW404" s="90" t="s">
        <v>119</v>
      </c>
      <c r="AX404" s="24" t="s">
        <v>119</v>
      </c>
      <c r="AY404" s="90" t="str">
        <f>CONCATENATE(AZ404,BA404,BB404,BC404)</f>
        <v/>
      </c>
      <c r="AZ404" s="90" t="str">
        <f>IF(ISNUMBER(SEARCH("Y",AC404)),"R","")</f>
        <v/>
      </c>
      <c r="BA404" s="90" t="str">
        <f>IF(ISNUMBER(SEARCH("Y",Y404)),"M","")</f>
        <v/>
      </c>
      <c r="BB404" s="90" t="str">
        <f>IF(ISNUMBER(SEARCH("Y",AB404)),"QC","")</f>
        <v/>
      </c>
      <c r="BC404" s="90" t="str">
        <f>IF(ISNUMBER(SEARCH("Y",Z404)),"S","")</f>
        <v/>
      </c>
      <c r="BD404" s="90"/>
      <c r="BE404" s="24" t="s">
        <v>119</v>
      </c>
      <c r="BF404" s="125" t="str">
        <f>IF(AND(AW404&gt;=56543,AW404&lt;=76543,LEN(AW404)&gt;0),"3 Feb 2020",IF(AND(AW404&gt;=66544,AW404&lt;=99999,LEN(AW404)&gt;0),"12 Sep 2020",""))</f>
        <v/>
      </c>
      <c r="BG404" s="125" t="str">
        <f>IF((AND(BF404="3 Feb 2020",LEN(BF404)&gt;0)),"Completed",IF((AND(BF404="12 Sep 2020",LEN(BF404)&gt;0)),"Pending",""))</f>
        <v/>
      </c>
      <c r="BH404" s="90" t="str">
        <f>IF((AND(BF404="3 Feb 2020",LEN(BF404)&gt;0)),"3 Feb 2020","")</f>
        <v/>
      </c>
      <c r="BI404" s="90">
        <v>213892</v>
      </c>
      <c r="BJ404" s="90" t="str">
        <f>L404</f>
        <v>6B88IR87856-42</v>
      </c>
      <c r="BK404" s="127">
        <v>43508</v>
      </c>
      <c r="BL404" s="127">
        <v>44239</v>
      </c>
      <c r="BM404" s="128">
        <f>P404*1.1</f>
        <v>2315530.8000000003</v>
      </c>
      <c r="BN404" s="129">
        <f>P404*0.9</f>
        <v>1894525.2</v>
      </c>
      <c r="BO404" s="130">
        <f>P404*0.8</f>
        <v>1684022.4000000001</v>
      </c>
      <c r="BP404" s="90">
        <f>IF(Z404="Y",BM404*0.4,BM404*1.05)</f>
        <v>2431307.3400000003</v>
      </c>
      <c r="BQ404" s="90">
        <f>BP404*0.8</f>
        <v>1945045.8720000004</v>
      </c>
      <c r="BR404" s="90" t="str">
        <f>IF(ISNUMBER(SEARCH("subrecipient",AI400)),P404*0.6,"")</f>
        <v/>
      </c>
      <c r="BS404" s="90">
        <v>213892</v>
      </c>
      <c r="BT404" s="90" t="str">
        <f>BJ404</f>
        <v>6B88IR87856-42</v>
      </c>
      <c r="BU404" s="127">
        <f>BK404</f>
        <v>43508</v>
      </c>
      <c r="BV404" s="127">
        <f>BL404</f>
        <v>44239</v>
      </c>
      <c r="BW404" s="90" t="str">
        <f>H404</f>
        <v>NIH</v>
      </c>
      <c r="BX404" s="90" t="str">
        <f>IF(H404="NATIONAL HEMOPHILIA FOUNDATION","Non Federal","Federal")</f>
        <v>Federal</v>
      </c>
      <c r="BY404" s="128">
        <f>BM404</f>
        <v>2315530.8000000003</v>
      </c>
      <c r="BZ404" s="90" t="str">
        <f>IF(LEN(BR404)&gt;0,1,"")</f>
        <v/>
      </c>
      <c r="CA404" s="90" t="str">
        <f>IF(LEN(BR404)&gt;0,"VIRAL HEPATITIS PROJECT","")</f>
        <v/>
      </c>
      <c r="CB404" s="129" t="str">
        <f>IF(LEN(BR404)&gt;0,BM404*0.7,"")</f>
        <v/>
      </c>
      <c r="CC404" s="90">
        <f>BP404</f>
        <v>2431307.3400000003</v>
      </c>
      <c r="CD404" s="90" t="str">
        <f>IF(LEN(BR404)&gt;0,"70%","")</f>
        <v/>
      </c>
      <c r="CE404" s="90">
        <f>BS404</f>
        <v>213892</v>
      </c>
      <c r="CF404" s="90" t="str">
        <f>CA404</f>
        <v/>
      </c>
      <c r="CG404" s="90"/>
      <c r="CH404" s="90"/>
      <c r="CI404" s="90"/>
      <c r="CJ404" s="90"/>
      <c r="CK404" s="90"/>
      <c r="CL404" s="90"/>
      <c r="CM404" s="90"/>
      <c r="CN404" s="90"/>
      <c r="CO404" s="90"/>
      <c r="CP404" s="90"/>
      <c r="CQ404" s="90"/>
      <c r="CR404" s="90"/>
      <c r="CS404" s="90"/>
      <c r="CT404" s="137"/>
    </row>
    <row r="405" spans="1:98" ht="60">
      <c r="A405" s="89">
        <v>213919</v>
      </c>
      <c r="B405" s="90">
        <v>2020</v>
      </c>
      <c r="C405" s="90" t="s">
        <v>81</v>
      </c>
      <c r="D405" s="90" t="s">
        <v>1224</v>
      </c>
      <c r="E405" s="125" t="s">
        <v>791</v>
      </c>
      <c r="F405" s="24" t="s">
        <v>1225</v>
      </c>
      <c r="G405" s="90" t="s">
        <v>85</v>
      </c>
      <c r="H405" s="90" t="s">
        <v>132</v>
      </c>
      <c r="I405" s="90">
        <v>93</v>
      </c>
      <c r="J405" s="90">
        <v>157</v>
      </c>
      <c r="K405" s="90" t="s">
        <v>85</v>
      </c>
      <c r="L405" s="90" t="s">
        <v>1226</v>
      </c>
      <c r="M405" s="90" t="s">
        <v>119</v>
      </c>
      <c r="N405" s="24" t="s">
        <v>1199</v>
      </c>
      <c r="O405" s="24" t="str">
        <f>IF(ISNUMBER(SEARCH("Cancer",N405)),"Cancer",IF(ISNUMBER(SEARCH("health",N405)),"Public health",IF(ISNUMBER(SEARCH("disabilities",N405)),"Disabilities","Other")))</f>
        <v>Other</v>
      </c>
      <c r="P405" s="126">
        <v>2373168</v>
      </c>
      <c r="Q405" s="90" t="s">
        <v>85</v>
      </c>
      <c r="R405" s="90" t="str">
        <f>IF(P405&gt;20000000,"B","A")</f>
        <v>A</v>
      </c>
      <c r="S405" s="90" t="s">
        <v>90</v>
      </c>
      <c r="T405" s="90" t="s">
        <v>119</v>
      </c>
      <c r="U405" s="90" t="s">
        <v>119</v>
      </c>
      <c r="V405" s="90" t="s">
        <v>119</v>
      </c>
      <c r="W405" s="90" t="s">
        <v>119</v>
      </c>
      <c r="X405" s="90" t="s">
        <v>119</v>
      </c>
      <c r="Y405" s="90" t="s">
        <v>119</v>
      </c>
      <c r="Z405" s="90" t="s">
        <v>119</v>
      </c>
      <c r="AA405" s="90" t="s">
        <v>119</v>
      </c>
      <c r="AB405" s="90" t="s">
        <v>119</v>
      </c>
      <c r="AC405" s="90" t="s">
        <v>119</v>
      </c>
      <c r="AD405" s="90" t="s">
        <v>119</v>
      </c>
      <c r="AE405" s="24">
        <v>0</v>
      </c>
      <c r="AF405" s="90">
        <v>0</v>
      </c>
      <c r="AG405" s="24">
        <v>0</v>
      </c>
      <c r="AH405" s="90">
        <v>83521</v>
      </c>
      <c r="AI405" s="24" t="s">
        <v>94</v>
      </c>
      <c r="AJ405" s="24" t="s">
        <v>448</v>
      </c>
      <c r="AK405" s="90" t="s">
        <v>85</v>
      </c>
      <c r="AL405" s="90">
        <v>213919</v>
      </c>
      <c r="AM405" s="90" t="s">
        <v>81</v>
      </c>
      <c r="AN405" s="90" t="s">
        <v>1224</v>
      </c>
      <c r="AO405" s="125" t="s">
        <v>791</v>
      </c>
      <c r="AP405" s="24" t="s">
        <v>1199</v>
      </c>
      <c r="AQ405" s="90" t="s">
        <v>1226</v>
      </c>
      <c r="AR405" s="24" t="s">
        <v>1199</v>
      </c>
      <c r="AS405" s="90" t="s">
        <v>119</v>
      </c>
      <c r="AT405" s="24" t="s">
        <v>94</v>
      </c>
      <c r="AU405" s="90" t="s">
        <v>119</v>
      </c>
      <c r="AV405" s="90" t="str">
        <f>IF(ISNUMBER(SEARCH("disagree",AE405)),"N","Y")</f>
        <v>Y</v>
      </c>
      <c r="AW405" s="90" t="s">
        <v>119</v>
      </c>
      <c r="AX405" s="24" t="s">
        <v>119</v>
      </c>
      <c r="AY405" s="90" t="str">
        <f>CONCATENATE(AZ405,BA405,BB405,BC405)</f>
        <v/>
      </c>
      <c r="AZ405" s="90" t="str">
        <f>IF(ISNUMBER(SEARCH("Y",AC405)),"R","")</f>
        <v/>
      </c>
      <c r="BA405" s="90" t="str">
        <f>IF(ISNUMBER(SEARCH("Y",Y405)),"M","")</f>
        <v/>
      </c>
      <c r="BB405" s="90" t="str">
        <f>IF(ISNUMBER(SEARCH("Y",AB405)),"QC","")</f>
        <v/>
      </c>
      <c r="BC405" s="90" t="str">
        <f>IF(ISNUMBER(SEARCH("Y",Z405)),"S","")</f>
        <v/>
      </c>
      <c r="BD405" s="90"/>
      <c r="BE405" s="24" t="s">
        <v>119</v>
      </c>
      <c r="BF405" s="125" t="str">
        <f>IF(AND(AW405&gt;=56543,AW405&lt;=76543,LEN(AW405)&gt;0),"3 Feb 2020",IF(AND(AW405&gt;=66544,AW405&lt;=99999,LEN(AW405)&gt;0),"12 Sep 2020",""))</f>
        <v/>
      </c>
      <c r="BG405" s="125" t="str">
        <f>IF((AND(BF405="3 Feb 2020",LEN(BF405)&gt;0)),"Completed",IF((AND(BF405="12 Sep 2020",LEN(BF405)&gt;0)),"Pending",""))</f>
        <v/>
      </c>
      <c r="BH405" s="90" t="str">
        <f>IF((AND(BF405="3 Feb 2020",LEN(BF405)&gt;0)),"3 Feb 2020","")</f>
        <v/>
      </c>
      <c r="BI405" s="90">
        <v>213919</v>
      </c>
      <c r="BJ405" s="90" t="str">
        <f>L405</f>
        <v>5B70BR83522-30</v>
      </c>
      <c r="BK405" s="127">
        <v>43508</v>
      </c>
      <c r="BL405" s="127">
        <v>44239</v>
      </c>
      <c r="BM405" s="128">
        <f>P405*1.1</f>
        <v>2610484.8000000003</v>
      </c>
      <c r="BN405" s="129">
        <f>P405*0.9</f>
        <v>2135851.2000000002</v>
      </c>
      <c r="BO405" s="130">
        <f>P405*0.8</f>
        <v>1898534.4000000001</v>
      </c>
      <c r="BP405" s="90">
        <f>IF(Z405="Y",BM405*0.4,BM405*1.05)</f>
        <v>2741009.0400000005</v>
      </c>
      <c r="BQ405" s="90">
        <f>BP405*0.8</f>
        <v>2192807.2320000003</v>
      </c>
      <c r="BR405" s="90" t="str">
        <f>IF(ISNUMBER(SEARCH("subrecipient",AI401)),P405*0.6,"")</f>
        <v/>
      </c>
      <c r="BS405" s="90">
        <v>213919</v>
      </c>
      <c r="BT405" s="90" t="str">
        <f>BJ405</f>
        <v>5B70BR83522-30</v>
      </c>
      <c r="BU405" s="127">
        <f>BK405</f>
        <v>43508</v>
      </c>
      <c r="BV405" s="127">
        <f>BL405</f>
        <v>44239</v>
      </c>
      <c r="BW405" s="90" t="str">
        <f>H405</f>
        <v>FDA</v>
      </c>
      <c r="BX405" s="90" t="str">
        <f>IF(H405="NATIONAL HEMOPHILIA FOUNDATION","Non Federal","Federal")</f>
        <v>Federal</v>
      </c>
      <c r="BY405" s="128">
        <f>BM405</f>
        <v>2610484.8000000003</v>
      </c>
      <c r="BZ405" s="90" t="str">
        <f>IF(LEN(BR405)&gt;0,1,"")</f>
        <v/>
      </c>
      <c r="CA405" s="90" t="str">
        <f>IF(LEN(BR405)&gt;0,"VIRAL HEPATITIS PROJECT","")</f>
        <v/>
      </c>
      <c r="CB405" s="129" t="str">
        <f>IF(LEN(BR405)&gt;0,BM405*0.7,"")</f>
        <v/>
      </c>
      <c r="CC405" s="90">
        <f>BP405</f>
        <v>2741009.0400000005</v>
      </c>
      <c r="CD405" s="90" t="str">
        <f>IF(LEN(BR405)&gt;0,"70%","")</f>
        <v/>
      </c>
      <c r="CE405" s="90">
        <f>BS405</f>
        <v>213919</v>
      </c>
      <c r="CF405" s="90" t="str">
        <f>CA405</f>
        <v/>
      </c>
      <c r="CG405" s="90"/>
      <c r="CH405" s="90"/>
      <c r="CI405" s="90"/>
      <c r="CJ405" s="90"/>
      <c r="CK405" s="90"/>
      <c r="CL405" s="90"/>
      <c r="CM405" s="90"/>
      <c r="CN405" s="90"/>
      <c r="CO405" s="90"/>
      <c r="CP405" s="90"/>
      <c r="CQ405" s="90"/>
      <c r="CR405" s="90"/>
      <c r="CS405" s="90"/>
      <c r="CT405" s="137"/>
    </row>
    <row r="406" spans="1:98" ht="30">
      <c r="A406" s="89">
        <v>213919</v>
      </c>
      <c r="B406" s="90">
        <v>2020</v>
      </c>
      <c r="C406" s="90" t="s">
        <v>81</v>
      </c>
      <c r="D406" s="90" t="s">
        <v>1224</v>
      </c>
      <c r="E406" s="125" t="s">
        <v>793</v>
      </c>
      <c r="F406" s="24" t="s">
        <v>1225</v>
      </c>
      <c r="G406" s="90" t="s">
        <v>85</v>
      </c>
      <c r="H406" s="90" t="s">
        <v>132</v>
      </c>
      <c r="I406" s="90">
        <v>93</v>
      </c>
      <c r="J406" s="90">
        <v>157</v>
      </c>
      <c r="K406" s="90" t="s">
        <v>85</v>
      </c>
      <c r="L406" s="90" t="s">
        <v>1226</v>
      </c>
      <c r="M406" s="90" t="s">
        <v>119</v>
      </c>
      <c r="N406" s="24" t="s">
        <v>1199</v>
      </c>
      <c r="O406" s="24" t="str">
        <f>IF(ISNUMBER(SEARCH("Cancer",N406)),"Cancer",IF(ISNUMBER(SEARCH("health",N406)),"Public health",IF(ISNUMBER(SEARCH("disabilities",N406)),"Disabilities","Other")))</f>
        <v>Other</v>
      </c>
      <c r="P406" s="126">
        <v>2373168</v>
      </c>
      <c r="Q406" s="90" t="s">
        <v>85</v>
      </c>
      <c r="R406" s="90" t="str">
        <f>IF(P406&gt;20000000,"B","A")</f>
        <v>A</v>
      </c>
      <c r="S406" s="90" t="s">
        <v>90</v>
      </c>
      <c r="T406" s="90" t="s">
        <v>119</v>
      </c>
      <c r="U406" s="90" t="s">
        <v>119</v>
      </c>
      <c r="V406" s="90" t="s">
        <v>119</v>
      </c>
      <c r="W406" s="90" t="s">
        <v>119</v>
      </c>
      <c r="X406" s="90" t="s">
        <v>119</v>
      </c>
      <c r="Y406" s="90" t="s">
        <v>119</v>
      </c>
      <c r="Z406" s="90" t="s">
        <v>119</v>
      </c>
      <c r="AA406" s="90" t="s">
        <v>119</v>
      </c>
      <c r="AB406" s="90" t="s">
        <v>119</v>
      </c>
      <c r="AC406" s="90" t="s">
        <v>119</v>
      </c>
      <c r="AD406" s="90" t="s">
        <v>119</v>
      </c>
      <c r="AE406" s="24">
        <v>0</v>
      </c>
      <c r="AF406" s="90">
        <v>0</v>
      </c>
      <c r="AG406" s="24">
        <v>0</v>
      </c>
      <c r="AH406" s="90">
        <v>83522</v>
      </c>
      <c r="AI406" s="24" t="s">
        <v>102</v>
      </c>
      <c r="AJ406" s="24" t="s">
        <v>103</v>
      </c>
      <c r="AK406" s="90" t="s">
        <v>85</v>
      </c>
      <c r="AL406" s="90">
        <v>213919</v>
      </c>
      <c r="AM406" s="90" t="s">
        <v>81</v>
      </c>
      <c r="AN406" s="90" t="s">
        <v>1224</v>
      </c>
      <c r="AO406" s="125" t="s">
        <v>793</v>
      </c>
      <c r="AP406" s="24" t="s">
        <v>1199</v>
      </c>
      <c r="AQ406" s="90" t="s">
        <v>1226</v>
      </c>
      <c r="AR406" s="24" t="s">
        <v>1199</v>
      </c>
      <c r="AS406" s="90" t="s">
        <v>119</v>
      </c>
      <c r="AT406" s="24" t="s">
        <v>102</v>
      </c>
      <c r="AU406" s="90" t="s">
        <v>119</v>
      </c>
      <c r="AV406" s="90" t="str">
        <f>IF(ISNUMBER(SEARCH("disagree",AE406)),"N","Y")</f>
        <v>Y</v>
      </c>
      <c r="AW406" s="90" t="s">
        <v>119</v>
      </c>
      <c r="AX406" s="24" t="s">
        <v>119</v>
      </c>
      <c r="AY406" s="90" t="str">
        <f>CONCATENATE(AZ406,BA406,BB406,BC406)</f>
        <v/>
      </c>
      <c r="AZ406" s="90" t="str">
        <f>IF(ISNUMBER(SEARCH("Y",AC406)),"R","")</f>
        <v/>
      </c>
      <c r="BA406" s="90" t="str">
        <f>IF(ISNUMBER(SEARCH("Y",Y406)),"M","")</f>
        <v/>
      </c>
      <c r="BB406" s="90" t="str">
        <f>IF(ISNUMBER(SEARCH("Y",AB406)),"QC","")</f>
        <v/>
      </c>
      <c r="BC406" s="90" t="str">
        <f>IF(ISNUMBER(SEARCH("Y",Z406)),"S","")</f>
        <v/>
      </c>
      <c r="BD406" s="90"/>
      <c r="BE406" s="24" t="s">
        <v>119</v>
      </c>
      <c r="BF406" s="125" t="str">
        <f>IF(AND(AW406&gt;=56543,AW406&lt;=76543,LEN(AW406)&gt;0),"3 Feb 2020",IF(AND(AW406&gt;=66544,AW406&lt;=99999,LEN(AW406)&gt;0),"12 Sep 2020",""))</f>
        <v/>
      </c>
      <c r="BG406" s="125" t="str">
        <f>IF((AND(BF406="3 Feb 2020",LEN(BF406)&gt;0)),"Completed",IF((AND(BF406="12 Sep 2020",LEN(BF406)&gt;0)),"Pending",""))</f>
        <v/>
      </c>
      <c r="BH406" s="90" t="str">
        <f>IF((AND(BF406="3 Feb 2020",LEN(BF406)&gt;0)),"3 Feb 2020","")</f>
        <v/>
      </c>
      <c r="BI406" s="90">
        <v>213919</v>
      </c>
      <c r="BJ406" s="90" t="str">
        <f>L406</f>
        <v>5B70BR83522-30</v>
      </c>
      <c r="BK406" s="127">
        <v>43508</v>
      </c>
      <c r="BL406" s="127">
        <v>44239</v>
      </c>
      <c r="BM406" s="128">
        <f>P406*1.1</f>
        <v>2610484.8000000003</v>
      </c>
      <c r="BN406" s="129">
        <f>P406*0.9</f>
        <v>2135851.2000000002</v>
      </c>
      <c r="BO406" s="130">
        <f>P406*0.8</f>
        <v>1898534.4000000001</v>
      </c>
      <c r="BP406" s="90">
        <f>IF(Z406="Y",BM406*0.4,BM406*1.05)</f>
        <v>2741009.0400000005</v>
      </c>
      <c r="BQ406" s="90">
        <f>BP406*0.8</f>
        <v>2192807.2320000003</v>
      </c>
      <c r="BR406" s="90" t="str">
        <f>IF(ISNUMBER(SEARCH("subrecipient",AI402)),P406*0.6,"")</f>
        <v/>
      </c>
      <c r="BS406" s="90">
        <v>213919</v>
      </c>
      <c r="BT406" s="90" t="str">
        <f>BJ406</f>
        <v>5B70BR83522-30</v>
      </c>
      <c r="BU406" s="127">
        <f>BK406</f>
        <v>43508</v>
      </c>
      <c r="BV406" s="127">
        <f>BL406</f>
        <v>44239</v>
      </c>
      <c r="BW406" s="90" t="str">
        <f>H406</f>
        <v>FDA</v>
      </c>
      <c r="BX406" s="90" t="str">
        <f>IF(H406="NATIONAL HEMOPHILIA FOUNDATION","Non Federal","Federal")</f>
        <v>Federal</v>
      </c>
      <c r="BY406" s="128">
        <f>BM406</f>
        <v>2610484.8000000003</v>
      </c>
      <c r="BZ406" s="90" t="str">
        <f>IF(LEN(BR406)&gt;0,1,"")</f>
        <v/>
      </c>
      <c r="CA406" s="90" t="str">
        <f>IF(LEN(BR406)&gt;0,"VIRAL HEPATITIS PROJECT","")</f>
        <v/>
      </c>
      <c r="CB406" s="129" t="str">
        <f>IF(LEN(BR406)&gt;0,BM406*0.7,"")</f>
        <v/>
      </c>
      <c r="CC406" s="90">
        <f>BP406</f>
        <v>2741009.0400000005</v>
      </c>
      <c r="CD406" s="90" t="str">
        <f>IF(LEN(BR406)&gt;0,"70%","")</f>
        <v/>
      </c>
      <c r="CE406" s="90">
        <f>BS406</f>
        <v>213919</v>
      </c>
      <c r="CF406" s="90" t="str">
        <f>CA406</f>
        <v/>
      </c>
      <c r="CG406" s="90"/>
      <c r="CH406" s="90"/>
      <c r="CI406" s="90"/>
      <c r="CJ406" s="90"/>
      <c r="CK406" s="90"/>
      <c r="CL406" s="90"/>
      <c r="CM406" s="90"/>
      <c r="CN406" s="90"/>
      <c r="CO406" s="90"/>
      <c r="CP406" s="90"/>
      <c r="CQ406" s="90"/>
      <c r="CR406" s="90"/>
      <c r="CS406" s="90"/>
      <c r="CT406" s="137"/>
    </row>
    <row r="407" spans="1:98" ht="30">
      <c r="A407" s="89">
        <v>213919</v>
      </c>
      <c r="B407" s="90">
        <v>2020</v>
      </c>
      <c r="C407" s="90" t="s">
        <v>81</v>
      </c>
      <c r="D407" s="90" t="s">
        <v>1224</v>
      </c>
      <c r="E407" s="125" t="s">
        <v>780</v>
      </c>
      <c r="F407" s="24" t="s">
        <v>1225</v>
      </c>
      <c r="G407" s="90" t="s">
        <v>85</v>
      </c>
      <c r="H407" s="90" t="s">
        <v>132</v>
      </c>
      <c r="I407" s="90">
        <v>93</v>
      </c>
      <c r="J407" s="90">
        <v>157</v>
      </c>
      <c r="K407" s="90" t="s">
        <v>85</v>
      </c>
      <c r="L407" s="90" t="s">
        <v>1226</v>
      </c>
      <c r="M407" s="90" t="s">
        <v>119</v>
      </c>
      <c r="N407" s="24" t="s">
        <v>1199</v>
      </c>
      <c r="O407" s="24" t="str">
        <f>IF(ISNUMBER(SEARCH("Cancer",N407)),"Cancer",IF(ISNUMBER(SEARCH("health",N407)),"Public health",IF(ISNUMBER(SEARCH("disabilities",N407)),"Disabilities","Other")))</f>
        <v>Other</v>
      </c>
      <c r="P407" s="126">
        <v>2373168</v>
      </c>
      <c r="Q407" s="90" t="s">
        <v>85</v>
      </c>
      <c r="R407" s="90" t="str">
        <f>IF(P407&gt;20000000,"B","A")</f>
        <v>A</v>
      </c>
      <c r="S407" s="90" t="s">
        <v>90</v>
      </c>
      <c r="T407" s="90" t="s">
        <v>119</v>
      </c>
      <c r="U407" s="90" t="s">
        <v>119</v>
      </c>
      <c r="V407" s="90" t="s">
        <v>119</v>
      </c>
      <c r="W407" s="90" t="s">
        <v>119</v>
      </c>
      <c r="X407" s="90" t="s">
        <v>119</v>
      </c>
      <c r="Y407" s="90" t="s">
        <v>119</v>
      </c>
      <c r="Z407" s="90" t="s">
        <v>119</v>
      </c>
      <c r="AA407" s="90" t="s">
        <v>119</v>
      </c>
      <c r="AB407" s="90" t="s">
        <v>119</v>
      </c>
      <c r="AC407" s="90" t="s">
        <v>119</v>
      </c>
      <c r="AD407" s="90" t="s">
        <v>119</v>
      </c>
      <c r="AE407" s="24">
        <v>0</v>
      </c>
      <c r="AF407" s="90">
        <v>0</v>
      </c>
      <c r="AG407" s="24">
        <v>0</v>
      </c>
      <c r="AH407" s="90">
        <v>83523</v>
      </c>
      <c r="AI407" s="24" t="s">
        <v>110</v>
      </c>
      <c r="AJ407" s="24" t="s">
        <v>1227</v>
      </c>
      <c r="AK407" s="90" t="s">
        <v>85</v>
      </c>
      <c r="AL407" s="90">
        <v>213919</v>
      </c>
      <c r="AM407" s="90" t="s">
        <v>81</v>
      </c>
      <c r="AN407" s="90" t="s">
        <v>1224</v>
      </c>
      <c r="AO407" s="125" t="s">
        <v>780</v>
      </c>
      <c r="AP407" s="24" t="s">
        <v>1199</v>
      </c>
      <c r="AQ407" s="90" t="s">
        <v>1226</v>
      </c>
      <c r="AR407" s="24" t="s">
        <v>1199</v>
      </c>
      <c r="AS407" s="90" t="s">
        <v>119</v>
      </c>
      <c r="AT407" s="24" t="s">
        <v>110</v>
      </c>
      <c r="AU407" s="90" t="s">
        <v>119</v>
      </c>
      <c r="AV407" s="90" t="str">
        <f>IF(ISNUMBER(SEARCH("disagree",AE407)),"N","Y")</f>
        <v>Y</v>
      </c>
      <c r="AW407" s="90" t="s">
        <v>119</v>
      </c>
      <c r="AX407" s="24" t="s">
        <v>119</v>
      </c>
      <c r="AY407" s="90" t="str">
        <f>CONCATENATE(AZ407,BA407,BB407,BC407)</f>
        <v/>
      </c>
      <c r="AZ407" s="90" t="str">
        <f>IF(ISNUMBER(SEARCH("Y",AC407)),"R","")</f>
        <v/>
      </c>
      <c r="BA407" s="90" t="str">
        <f>IF(ISNUMBER(SEARCH("Y",Y407)),"M","")</f>
        <v/>
      </c>
      <c r="BB407" s="90" t="str">
        <f>IF(ISNUMBER(SEARCH("Y",AB407)),"QC","")</f>
        <v/>
      </c>
      <c r="BC407" s="90" t="str">
        <f>IF(ISNUMBER(SEARCH("Y",Z407)),"S","")</f>
        <v/>
      </c>
      <c r="BD407" s="90"/>
      <c r="BE407" s="24" t="s">
        <v>119</v>
      </c>
      <c r="BF407" s="125" t="str">
        <f>IF(AND(AW407&gt;=56543,AW407&lt;=76543,LEN(AW407)&gt;0),"3 Feb 2020",IF(AND(AW407&gt;=66544,AW407&lt;=99999,LEN(AW407)&gt;0),"12 Sep 2020",""))</f>
        <v/>
      </c>
      <c r="BG407" s="125" t="str">
        <f>IF((AND(BF407="3 Feb 2020",LEN(BF407)&gt;0)),"Completed",IF((AND(BF407="12 Sep 2020",LEN(BF407)&gt;0)),"Pending",""))</f>
        <v/>
      </c>
      <c r="BH407" s="90" t="str">
        <f>IF((AND(BF407="3 Feb 2020",LEN(BF407)&gt;0)),"3 Feb 2020","")</f>
        <v/>
      </c>
      <c r="BI407" s="90">
        <v>213919</v>
      </c>
      <c r="BJ407" s="90" t="str">
        <f>L407</f>
        <v>5B70BR83522-30</v>
      </c>
      <c r="BK407" s="127">
        <v>43508</v>
      </c>
      <c r="BL407" s="127">
        <v>44239</v>
      </c>
      <c r="BM407" s="128">
        <f>P407*1.1</f>
        <v>2610484.8000000003</v>
      </c>
      <c r="BN407" s="129">
        <f>P407*0.9</f>
        <v>2135851.2000000002</v>
      </c>
      <c r="BO407" s="130">
        <f>P407*0.8</f>
        <v>1898534.4000000001</v>
      </c>
      <c r="BP407" s="90">
        <f>IF(Z407="Y",BM407*0.4,BM407*1.05)</f>
        <v>2741009.0400000005</v>
      </c>
      <c r="BQ407" s="90">
        <f>BP407*0.8</f>
        <v>2192807.2320000003</v>
      </c>
      <c r="BR407" s="90" t="str">
        <f>IF(ISNUMBER(SEARCH("subrecipient",AI403)),P407*0.6,"")</f>
        <v/>
      </c>
      <c r="BS407" s="90">
        <v>213919</v>
      </c>
      <c r="BT407" s="90" t="str">
        <f>BJ407</f>
        <v>5B70BR83522-30</v>
      </c>
      <c r="BU407" s="127">
        <f>BK407</f>
        <v>43508</v>
      </c>
      <c r="BV407" s="127">
        <f>BL407</f>
        <v>44239</v>
      </c>
      <c r="BW407" s="90" t="str">
        <f>H407</f>
        <v>FDA</v>
      </c>
      <c r="BX407" s="90" t="str">
        <f>IF(H407="NATIONAL HEMOPHILIA FOUNDATION","Non Federal","Federal")</f>
        <v>Federal</v>
      </c>
      <c r="BY407" s="128">
        <f>BM407</f>
        <v>2610484.8000000003</v>
      </c>
      <c r="BZ407" s="90" t="str">
        <f>IF(LEN(BR407)&gt;0,1,"")</f>
        <v/>
      </c>
      <c r="CA407" s="90" t="str">
        <f>IF(LEN(BR407)&gt;0,"VIRAL HEPATITIS PROJECT","")</f>
        <v/>
      </c>
      <c r="CB407" s="129" t="str">
        <f>IF(LEN(BR407)&gt;0,BM407*0.7,"")</f>
        <v/>
      </c>
      <c r="CC407" s="90">
        <f>BP407</f>
        <v>2741009.0400000005</v>
      </c>
      <c r="CD407" s="90" t="str">
        <f>IF(LEN(BR407)&gt;0,"70%","")</f>
        <v/>
      </c>
      <c r="CE407" s="90">
        <f>BS407</f>
        <v>213919</v>
      </c>
      <c r="CF407" s="90" t="str">
        <f>CA407</f>
        <v/>
      </c>
      <c r="CG407" s="90"/>
      <c r="CH407" s="90"/>
      <c r="CI407" s="90"/>
      <c r="CJ407" s="90"/>
      <c r="CK407" s="90"/>
      <c r="CL407" s="90"/>
      <c r="CM407" s="90"/>
      <c r="CN407" s="90"/>
      <c r="CO407" s="90"/>
      <c r="CP407" s="90"/>
      <c r="CQ407" s="90"/>
      <c r="CR407" s="90"/>
      <c r="CS407" s="90"/>
      <c r="CT407" s="137"/>
    </row>
    <row r="408" spans="1:98" ht="90">
      <c r="A408" s="89">
        <v>214317</v>
      </c>
      <c r="B408" s="90">
        <v>2020</v>
      </c>
      <c r="C408" s="90" t="s">
        <v>81</v>
      </c>
      <c r="D408" s="90" t="s">
        <v>1228</v>
      </c>
      <c r="E408" s="125" t="s">
        <v>781</v>
      </c>
      <c r="F408" s="24" t="s">
        <v>1229</v>
      </c>
      <c r="G408" s="90" t="s">
        <v>85</v>
      </c>
      <c r="H408" s="90" t="s">
        <v>150</v>
      </c>
      <c r="I408" s="90">
        <v>93</v>
      </c>
      <c r="J408" s="90">
        <v>157</v>
      </c>
      <c r="K408" s="90" t="s">
        <v>85</v>
      </c>
      <c r="L408" s="90" t="s">
        <v>1230</v>
      </c>
      <c r="M408" s="90" t="s">
        <v>119</v>
      </c>
      <c r="N408" s="24" t="s">
        <v>243</v>
      </c>
      <c r="O408" s="24" t="str">
        <f>IF(ISNUMBER(SEARCH("Cancer",N408)),"Cancer",IF(ISNUMBER(SEARCH("health",N408)),"Public health",IF(ISNUMBER(SEARCH("disabilities",N408)),"Disabilities","Other")))</f>
        <v>Other</v>
      </c>
      <c r="P408" s="126">
        <v>2506137</v>
      </c>
      <c r="Q408" s="90" t="s">
        <v>85</v>
      </c>
      <c r="R408" s="90" t="str">
        <f>IF(P408&gt;20000000,"B","A")</f>
        <v>A</v>
      </c>
      <c r="S408" s="90" t="s">
        <v>90</v>
      </c>
      <c r="T408" s="90" t="s">
        <v>119</v>
      </c>
      <c r="U408" s="90" t="s">
        <v>119</v>
      </c>
      <c r="V408" s="90" t="s">
        <v>119</v>
      </c>
      <c r="W408" s="90" t="s">
        <v>119</v>
      </c>
      <c r="X408" s="90" t="s">
        <v>119</v>
      </c>
      <c r="Y408" s="90" t="s">
        <v>119</v>
      </c>
      <c r="Z408" s="90" t="s">
        <v>119</v>
      </c>
      <c r="AA408" s="90" t="s">
        <v>119</v>
      </c>
      <c r="AB408" s="90" t="s">
        <v>119</v>
      </c>
      <c r="AC408" s="90" t="s">
        <v>119</v>
      </c>
      <c r="AD408" s="90" t="s">
        <v>119</v>
      </c>
      <c r="AE408" s="24">
        <v>0</v>
      </c>
      <c r="AF408" s="90">
        <v>0</v>
      </c>
      <c r="AG408" s="24">
        <v>0</v>
      </c>
      <c r="AH408" s="90">
        <v>90475</v>
      </c>
      <c r="AI408" s="24" t="s">
        <v>94</v>
      </c>
      <c r="AJ408" s="24" t="s">
        <v>1231</v>
      </c>
      <c r="AK408" s="90" t="s">
        <v>85</v>
      </c>
      <c r="AL408" s="90">
        <v>214317</v>
      </c>
      <c r="AM408" s="90" t="s">
        <v>81</v>
      </c>
      <c r="AN408" s="90" t="s">
        <v>1228</v>
      </c>
      <c r="AO408" s="125" t="s">
        <v>781</v>
      </c>
      <c r="AP408" s="24" t="s">
        <v>243</v>
      </c>
      <c r="AQ408" s="90" t="s">
        <v>1230</v>
      </c>
      <c r="AR408" s="24" t="s">
        <v>243</v>
      </c>
      <c r="AS408" s="90" t="s">
        <v>119</v>
      </c>
      <c r="AT408" s="24" t="s">
        <v>94</v>
      </c>
      <c r="AU408" s="90" t="s">
        <v>119</v>
      </c>
      <c r="AV408" s="90" t="str">
        <f>IF(ISNUMBER(SEARCH("disagree",AE408)),"N","Y")</f>
        <v>Y</v>
      </c>
      <c r="AW408" s="90" t="s">
        <v>119</v>
      </c>
      <c r="AX408" s="24" t="s">
        <v>119</v>
      </c>
      <c r="AY408" s="90" t="str">
        <f>CONCATENATE(AZ408,BA408,BB408,BC408)</f>
        <v/>
      </c>
      <c r="AZ408" s="90" t="str">
        <f>IF(ISNUMBER(SEARCH("Y",AC408)),"R","")</f>
        <v/>
      </c>
      <c r="BA408" s="90" t="str">
        <f>IF(ISNUMBER(SEARCH("Y",Y408)),"M","")</f>
        <v/>
      </c>
      <c r="BB408" s="90" t="str">
        <f>IF(ISNUMBER(SEARCH("Y",AB408)),"QC","")</f>
        <v/>
      </c>
      <c r="BC408" s="90" t="str">
        <f>IF(ISNUMBER(SEARCH("Y",Z408)),"S","")</f>
        <v/>
      </c>
      <c r="BD408" s="90"/>
      <c r="BE408" s="24" t="s">
        <v>119</v>
      </c>
      <c r="BF408" s="125" t="str">
        <f>IF(AND(AW408&gt;=56543,AW408&lt;=76543,LEN(AW408)&gt;0),"3 Feb 2020",IF(AND(AW408&gt;=66544,AW408&lt;=99999,LEN(AW408)&gt;0),"12 Sep 2020",""))</f>
        <v/>
      </c>
      <c r="BG408" s="125" t="str">
        <f>IF((AND(BF408="3 Feb 2020",LEN(BF408)&gt;0)),"Completed",IF((AND(BF408="12 Sep 2020",LEN(BF408)&gt;0)),"Pending",""))</f>
        <v/>
      </c>
      <c r="BH408" s="90" t="str">
        <f>IF((AND(BF408="3 Feb 2020",LEN(BF408)&gt;0)),"3 Feb 2020","")</f>
        <v/>
      </c>
      <c r="BI408" s="90">
        <v>214317</v>
      </c>
      <c r="BJ408" s="90" t="str">
        <f>L408</f>
        <v>7B18HR90474-78</v>
      </c>
      <c r="BK408" s="127">
        <v>43508</v>
      </c>
      <c r="BL408" s="127">
        <v>44239</v>
      </c>
      <c r="BM408" s="128">
        <f>P408*1.1</f>
        <v>2756750.7</v>
      </c>
      <c r="BN408" s="129">
        <f>P408*0.9</f>
        <v>2255523.3000000003</v>
      </c>
      <c r="BO408" s="130">
        <f>P408*0.8</f>
        <v>2004909.6</v>
      </c>
      <c r="BP408" s="90">
        <f>IF(Z408="Y",BM408*0.4,BM408*1.05)</f>
        <v>2894588.2350000003</v>
      </c>
      <c r="BQ408" s="90">
        <f>BP408*0.8</f>
        <v>2315670.5880000005</v>
      </c>
      <c r="BR408" s="90" t="str">
        <f>IF(ISNUMBER(SEARCH("subrecipient",AI404)),P408*0.6,"")</f>
        <v/>
      </c>
      <c r="BS408" s="90">
        <v>214317</v>
      </c>
      <c r="BT408" s="90" t="str">
        <f>BJ408</f>
        <v>7B18HR90474-78</v>
      </c>
      <c r="BU408" s="127">
        <f>BK408</f>
        <v>43508</v>
      </c>
      <c r="BV408" s="127">
        <f>BL408</f>
        <v>44239</v>
      </c>
      <c r="BW408" s="90" t="str">
        <f>H408</f>
        <v>ACF</v>
      </c>
      <c r="BX408" s="90" t="str">
        <f>IF(H408="NATIONAL HEMOPHILIA FOUNDATION","Non Federal","Federal")</f>
        <v>Federal</v>
      </c>
      <c r="BY408" s="128">
        <f>BM408</f>
        <v>2756750.7</v>
      </c>
      <c r="BZ408" s="90" t="str">
        <f>IF(LEN(BR408)&gt;0,1,"")</f>
        <v/>
      </c>
      <c r="CA408" s="90" t="str">
        <f>IF(LEN(BR408)&gt;0,"VIRAL HEPATITIS PROJECT","")</f>
        <v/>
      </c>
      <c r="CB408" s="129" t="str">
        <f>IF(LEN(BR408)&gt;0,BM408*0.7,"")</f>
        <v/>
      </c>
      <c r="CC408" s="90">
        <f>BP408</f>
        <v>2894588.2350000003</v>
      </c>
      <c r="CD408" s="90" t="str">
        <f>IF(LEN(BR408)&gt;0,"70%","")</f>
        <v/>
      </c>
      <c r="CE408" s="90">
        <f>BS408</f>
        <v>214317</v>
      </c>
      <c r="CF408" s="90" t="str">
        <f>CA408</f>
        <v/>
      </c>
      <c r="CG408" s="90"/>
      <c r="CH408" s="90"/>
      <c r="CI408" s="90"/>
      <c r="CJ408" s="90"/>
      <c r="CK408" s="90"/>
      <c r="CL408" s="90"/>
      <c r="CM408" s="90"/>
      <c r="CN408" s="90"/>
      <c r="CO408" s="90"/>
      <c r="CP408" s="90"/>
      <c r="CQ408" s="90"/>
      <c r="CR408" s="90"/>
      <c r="CS408" s="90"/>
      <c r="CT408" s="137"/>
    </row>
    <row r="409" spans="1:98" ht="90">
      <c r="A409" s="89">
        <v>214317</v>
      </c>
      <c r="B409" s="90">
        <v>2020</v>
      </c>
      <c r="C409" s="90" t="s">
        <v>81</v>
      </c>
      <c r="D409" s="90" t="s">
        <v>1228</v>
      </c>
      <c r="E409" s="125" t="s">
        <v>784</v>
      </c>
      <c r="F409" s="24" t="s">
        <v>1229</v>
      </c>
      <c r="G409" s="90" t="s">
        <v>85</v>
      </c>
      <c r="H409" s="90" t="s">
        <v>150</v>
      </c>
      <c r="I409" s="90">
        <v>93</v>
      </c>
      <c r="J409" s="90">
        <v>157</v>
      </c>
      <c r="K409" s="90" t="s">
        <v>85</v>
      </c>
      <c r="L409" s="90" t="s">
        <v>1230</v>
      </c>
      <c r="M409" s="90" t="s">
        <v>119</v>
      </c>
      <c r="N409" s="24" t="s">
        <v>243</v>
      </c>
      <c r="O409" s="24" t="str">
        <f>IF(ISNUMBER(SEARCH("Cancer",N409)),"Cancer",IF(ISNUMBER(SEARCH("health",N409)),"Public health",IF(ISNUMBER(SEARCH("disabilities",N409)),"Disabilities","Other")))</f>
        <v>Other</v>
      </c>
      <c r="P409" s="126">
        <v>2506137</v>
      </c>
      <c r="Q409" s="90" t="s">
        <v>85</v>
      </c>
      <c r="R409" s="90" t="str">
        <f>IF(P409&gt;20000000,"B","A")</f>
        <v>A</v>
      </c>
      <c r="S409" s="90" t="s">
        <v>90</v>
      </c>
      <c r="T409" s="90" t="s">
        <v>119</v>
      </c>
      <c r="U409" s="90" t="s">
        <v>119</v>
      </c>
      <c r="V409" s="90" t="s">
        <v>119</v>
      </c>
      <c r="W409" s="90" t="s">
        <v>119</v>
      </c>
      <c r="X409" s="90" t="s">
        <v>119</v>
      </c>
      <c r="Y409" s="90" t="s">
        <v>119</v>
      </c>
      <c r="Z409" s="90" t="s">
        <v>119</v>
      </c>
      <c r="AA409" s="90" t="s">
        <v>119</v>
      </c>
      <c r="AB409" s="90" t="s">
        <v>119</v>
      </c>
      <c r="AC409" s="90" t="s">
        <v>119</v>
      </c>
      <c r="AD409" s="90" t="s">
        <v>119</v>
      </c>
      <c r="AE409" s="24">
        <v>0</v>
      </c>
      <c r="AF409" s="90">
        <v>0</v>
      </c>
      <c r="AG409" s="24">
        <v>0</v>
      </c>
      <c r="AH409" s="90">
        <v>90474</v>
      </c>
      <c r="AI409" s="24" t="s">
        <v>102</v>
      </c>
      <c r="AJ409" s="24" t="s">
        <v>1232</v>
      </c>
      <c r="AK409" s="90" t="s">
        <v>85</v>
      </c>
      <c r="AL409" s="90">
        <v>214317</v>
      </c>
      <c r="AM409" s="90" t="s">
        <v>81</v>
      </c>
      <c r="AN409" s="90" t="s">
        <v>1228</v>
      </c>
      <c r="AO409" s="125" t="s">
        <v>784</v>
      </c>
      <c r="AP409" s="24" t="s">
        <v>243</v>
      </c>
      <c r="AQ409" s="90" t="s">
        <v>1230</v>
      </c>
      <c r="AR409" s="24" t="s">
        <v>243</v>
      </c>
      <c r="AS409" s="90" t="s">
        <v>119</v>
      </c>
      <c r="AT409" s="24" t="s">
        <v>102</v>
      </c>
      <c r="AU409" s="90" t="s">
        <v>119</v>
      </c>
      <c r="AV409" s="90" t="str">
        <f>IF(ISNUMBER(SEARCH("disagree",AE409)),"N","Y")</f>
        <v>Y</v>
      </c>
      <c r="AW409" s="90" t="s">
        <v>119</v>
      </c>
      <c r="AX409" s="24" t="s">
        <v>119</v>
      </c>
      <c r="AY409" s="90" t="str">
        <f>CONCATENATE(AZ409,BA409,BB409,BC409)</f>
        <v/>
      </c>
      <c r="AZ409" s="90" t="str">
        <f>IF(ISNUMBER(SEARCH("Y",AC409)),"R","")</f>
        <v/>
      </c>
      <c r="BA409" s="90" t="str">
        <f>IF(ISNUMBER(SEARCH("Y",Y409)),"M","")</f>
        <v/>
      </c>
      <c r="BB409" s="90" t="str">
        <f>IF(ISNUMBER(SEARCH("Y",AB409)),"QC","")</f>
        <v/>
      </c>
      <c r="BC409" s="90" t="str">
        <f>IF(ISNUMBER(SEARCH("Y",Z409)),"S","")</f>
        <v/>
      </c>
      <c r="BD409" s="90"/>
      <c r="BE409" s="24" t="s">
        <v>119</v>
      </c>
      <c r="BF409" s="125" t="str">
        <f>IF(AND(AW409&gt;=56543,AW409&lt;=76543,LEN(AW409)&gt;0),"3 Feb 2020",IF(AND(AW409&gt;=66544,AW409&lt;=99999,LEN(AW409)&gt;0),"12 Sep 2020",""))</f>
        <v/>
      </c>
      <c r="BG409" s="125" t="str">
        <f>IF((AND(BF409="3 Feb 2020",LEN(BF409)&gt;0)),"Completed",IF((AND(BF409="12 Sep 2020",LEN(BF409)&gt;0)),"Pending",""))</f>
        <v/>
      </c>
      <c r="BH409" s="90" t="str">
        <f>IF((AND(BF409="3 Feb 2020",LEN(BF409)&gt;0)),"3 Feb 2020","")</f>
        <v/>
      </c>
      <c r="BI409" s="90">
        <v>214317</v>
      </c>
      <c r="BJ409" s="90" t="str">
        <f>L409</f>
        <v>7B18HR90474-78</v>
      </c>
      <c r="BK409" s="127">
        <v>43508</v>
      </c>
      <c r="BL409" s="127">
        <v>44239</v>
      </c>
      <c r="BM409" s="128">
        <f>P409*1.1</f>
        <v>2756750.7</v>
      </c>
      <c r="BN409" s="129">
        <f>P409*0.9</f>
        <v>2255523.3000000003</v>
      </c>
      <c r="BO409" s="130">
        <f>P409*0.8</f>
        <v>2004909.6</v>
      </c>
      <c r="BP409" s="90">
        <f>IF(Z409="Y",BM409*0.4,BM409*1.05)</f>
        <v>2894588.2350000003</v>
      </c>
      <c r="BQ409" s="90">
        <f>BP409*0.8</f>
        <v>2315670.5880000005</v>
      </c>
      <c r="BR409" s="90" t="str">
        <f>IF(ISNUMBER(SEARCH("subrecipient",AI405)),P409*0.6,"")</f>
        <v/>
      </c>
      <c r="BS409" s="90">
        <v>214317</v>
      </c>
      <c r="BT409" s="90" t="str">
        <f>BJ409</f>
        <v>7B18HR90474-78</v>
      </c>
      <c r="BU409" s="127">
        <f>BK409</f>
        <v>43508</v>
      </c>
      <c r="BV409" s="127">
        <f>BL409</f>
        <v>44239</v>
      </c>
      <c r="BW409" s="90" t="str">
        <f>H409</f>
        <v>ACF</v>
      </c>
      <c r="BX409" s="90" t="str">
        <f>IF(H409="NATIONAL HEMOPHILIA FOUNDATION","Non Federal","Federal")</f>
        <v>Federal</v>
      </c>
      <c r="BY409" s="128">
        <f>BM409</f>
        <v>2756750.7</v>
      </c>
      <c r="BZ409" s="90" t="str">
        <f>IF(LEN(BR409)&gt;0,1,"")</f>
        <v/>
      </c>
      <c r="CA409" s="90" t="str">
        <f>IF(LEN(BR409)&gt;0,"VIRAL HEPATITIS PROJECT","")</f>
        <v/>
      </c>
      <c r="CB409" s="129" t="str">
        <f>IF(LEN(BR409)&gt;0,BM409*0.7,"")</f>
        <v/>
      </c>
      <c r="CC409" s="90">
        <f>BP409</f>
        <v>2894588.2350000003</v>
      </c>
      <c r="CD409" s="90" t="str">
        <f>IF(LEN(BR409)&gt;0,"70%","")</f>
        <v/>
      </c>
      <c r="CE409" s="90">
        <f>BS409</f>
        <v>214317</v>
      </c>
      <c r="CF409" s="90" t="str">
        <f>CA409</f>
        <v/>
      </c>
      <c r="CG409" s="90"/>
      <c r="CH409" s="90"/>
      <c r="CI409" s="90"/>
      <c r="CJ409" s="90"/>
      <c r="CK409" s="90"/>
      <c r="CL409" s="90"/>
      <c r="CM409" s="90"/>
      <c r="CN409" s="90"/>
      <c r="CO409" s="90"/>
      <c r="CP409" s="90"/>
      <c r="CQ409" s="90"/>
      <c r="CR409" s="90"/>
      <c r="CS409" s="90"/>
      <c r="CT409" s="137"/>
    </row>
    <row r="410" spans="1:98" ht="45">
      <c r="A410" s="89">
        <v>214715</v>
      </c>
      <c r="B410" s="90">
        <v>2020</v>
      </c>
      <c r="C410" s="90" t="s">
        <v>81</v>
      </c>
      <c r="D410" s="90" t="s">
        <v>1233</v>
      </c>
      <c r="E410" s="125" t="s">
        <v>790</v>
      </c>
      <c r="F410" s="24" t="s">
        <v>1234</v>
      </c>
      <c r="G410" s="90" t="s">
        <v>85</v>
      </c>
      <c r="H410" s="90" t="s">
        <v>86</v>
      </c>
      <c r="I410" s="90">
        <v>93</v>
      </c>
      <c r="J410" s="90">
        <v>157</v>
      </c>
      <c r="K410" s="90" t="s">
        <v>85</v>
      </c>
      <c r="L410" s="90" t="s">
        <v>1235</v>
      </c>
      <c r="M410" s="90" t="s">
        <v>119</v>
      </c>
      <c r="N410" s="24" t="s">
        <v>1236</v>
      </c>
      <c r="O410" s="24" t="str">
        <f>IF(ISNUMBER(SEARCH("Cancer",N410)),"Cancer",IF(ISNUMBER(SEARCH("health",N410)),"Public health",IF(ISNUMBER(SEARCH("disabilities",N410)),"Disabilities","Other")))</f>
        <v>Other</v>
      </c>
      <c r="P410" s="126">
        <v>2258046</v>
      </c>
      <c r="Q410" s="90" t="s">
        <v>85</v>
      </c>
      <c r="R410" s="90" t="str">
        <f>IF(P410&gt;20000000,"B","A")</f>
        <v>A</v>
      </c>
      <c r="S410" s="90" t="s">
        <v>90</v>
      </c>
      <c r="T410" s="90" t="s">
        <v>119</v>
      </c>
      <c r="U410" s="90" t="s">
        <v>119</v>
      </c>
      <c r="V410" s="90" t="s">
        <v>119</v>
      </c>
      <c r="W410" s="90" t="s">
        <v>119</v>
      </c>
      <c r="X410" s="90" t="s">
        <v>119</v>
      </c>
      <c r="Y410" s="90" t="s">
        <v>119</v>
      </c>
      <c r="Z410" s="90" t="s">
        <v>119</v>
      </c>
      <c r="AA410" s="90" t="s">
        <v>119</v>
      </c>
      <c r="AB410" s="90" t="s">
        <v>119</v>
      </c>
      <c r="AC410" s="90" t="s">
        <v>119</v>
      </c>
      <c r="AD410" s="90" t="s">
        <v>119</v>
      </c>
      <c r="AE410" s="24">
        <v>0</v>
      </c>
      <c r="AF410" s="90">
        <v>0</v>
      </c>
      <c r="AG410" s="24">
        <v>0</v>
      </c>
      <c r="AH410" s="90">
        <v>89452</v>
      </c>
      <c r="AI410" s="24" t="s">
        <v>94</v>
      </c>
      <c r="AJ410" s="24" t="s">
        <v>95</v>
      </c>
      <c r="AK410" s="90" t="s">
        <v>85</v>
      </c>
      <c r="AL410" s="90">
        <v>214715</v>
      </c>
      <c r="AM410" s="90" t="s">
        <v>81</v>
      </c>
      <c r="AN410" s="90" t="s">
        <v>1233</v>
      </c>
      <c r="AO410" s="125" t="s">
        <v>790</v>
      </c>
      <c r="AP410" s="24" t="s">
        <v>1236</v>
      </c>
      <c r="AQ410" s="90" t="s">
        <v>1235</v>
      </c>
      <c r="AR410" s="24" t="s">
        <v>1236</v>
      </c>
      <c r="AS410" s="90" t="s">
        <v>119</v>
      </c>
      <c r="AT410" s="24" t="s">
        <v>94</v>
      </c>
      <c r="AU410" s="90" t="s">
        <v>119</v>
      </c>
      <c r="AV410" s="90" t="str">
        <f>IF(ISNUMBER(SEARCH("disagree",AE410)),"N","Y")</f>
        <v>Y</v>
      </c>
      <c r="AW410" s="90" t="s">
        <v>119</v>
      </c>
      <c r="AX410" s="24" t="s">
        <v>119</v>
      </c>
      <c r="AY410" s="90" t="str">
        <f>CONCATENATE(AZ410,BA410,BB410,BC410)</f>
        <v/>
      </c>
      <c r="AZ410" s="90" t="str">
        <f>IF(ISNUMBER(SEARCH("Y",AC410)),"R","")</f>
        <v/>
      </c>
      <c r="BA410" s="90" t="str">
        <f>IF(ISNUMBER(SEARCH("Y",Y410)),"M","")</f>
        <v/>
      </c>
      <c r="BB410" s="90" t="str">
        <f>IF(ISNUMBER(SEARCH("Y",AB410)),"QC","")</f>
        <v/>
      </c>
      <c r="BC410" s="90" t="str">
        <f>IF(ISNUMBER(SEARCH("Y",Z410)),"S","")</f>
        <v/>
      </c>
      <c r="BD410" s="90"/>
      <c r="BE410" s="24" t="s">
        <v>119</v>
      </c>
      <c r="BF410" s="125" t="str">
        <f>IF(AND(AW410&gt;=56543,AW410&lt;=76543,LEN(AW410)&gt;0),"3 Feb 2020",IF(AND(AW410&gt;=66544,AW410&lt;=99999,LEN(AW410)&gt;0),"12 Sep 2020",""))</f>
        <v/>
      </c>
      <c r="BG410" s="125" t="str">
        <f>IF((AND(BF410="3 Feb 2020",LEN(BF410)&gt;0)),"Completed",IF((AND(BF410="12 Sep 2020",LEN(BF410)&gt;0)),"Pending",""))</f>
        <v/>
      </c>
      <c r="BH410" s="90" t="str">
        <f>IF((AND(BF410="3 Feb 2020",LEN(BF410)&gt;0)),"3 Feb 2020","")</f>
        <v/>
      </c>
      <c r="BI410" s="90">
        <v>214715</v>
      </c>
      <c r="BJ410" s="90" t="str">
        <f>L410</f>
        <v>5D27HT89451-50</v>
      </c>
      <c r="BK410" s="127">
        <v>43508</v>
      </c>
      <c r="BL410" s="127">
        <v>44239</v>
      </c>
      <c r="BM410" s="128">
        <f>P410*1.1</f>
        <v>2483850.6</v>
      </c>
      <c r="BN410" s="129">
        <f>P410*0.9</f>
        <v>2032241.4000000001</v>
      </c>
      <c r="BO410" s="130">
        <f>P410*0.8</f>
        <v>1806436.8</v>
      </c>
      <c r="BP410" s="90">
        <f>IF(Z410="Y",BM410*0.4,BM410*1.05)</f>
        <v>2608043.1300000004</v>
      </c>
      <c r="BQ410" s="90">
        <f>BP410*0.8</f>
        <v>2086434.5040000004</v>
      </c>
      <c r="BR410" s="90" t="str">
        <f>IF(ISNUMBER(SEARCH("subrecipient",AI406)),P410*0.6,"")</f>
        <v/>
      </c>
      <c r="BS410" s="90">
        <v>214715</v>
      </c>
      <c r="BT410" s="90" t="str">
        <f>BJ410</f>
        <v>5D27HT89451-50</v>
      </c>
      <c r="BU410" s="127">
        <f>BK410</f>
        <v>43508</v>
      </c>
      <c r="BV410" s="127">
        <f>BL410</f>
        <v>44239</v>
      </c>
      <c r="BW410" s="90" t="str">
        <f>H410</f>
        <v>CDC</v>
      </c>
      <c r="BX410" s="90" t="str">
        <f>IF(H410="NATIONAL HEMOPHILIA FOUNDATION","Non Federal","Federal")</f>
        <v>Federal</v>
      </c>
      <c r="BY410" s="128">
        <f>BM410</f>
        <v>2483850.6</v>
      </c>
      <c r="BZ410" s="90" t="str">
        <f>IF(LEN(BR410)&gt;0,1,"")</f>
        <v/>
      </c>
      <c r="CA410" s="90" t="str">
        <f>IF(LEN(BR410)&gt;0,"VIRAL HEPATITIS PROJECT","")</f>
        <v/>
      </c>
      <c r="CB410" s="129" t="str">
        <f>IF(LEN(BR410)&gt;0,BM410*0.7,"")</f>
        <v/>
      </c>
      <c r="CC410" s="90">
        <f>BP410</f>
        <v>2608043.1300000004</v>
      </c>
      <c r="CD410" s="90" t="str">
        <f>IF(LEN(BR410)&gt;0,"70%","")</f>
        <v/>
      </c>
      <c r="CE410" s="90">
        <f>BS410</f>
        <v>214715</v>
      </c>
      <c r="CF410" s="90" t="str">
        <f>CA410</f>
        <v/>
      </c>
      <c r="CG410" s="90"/>
      <c r="CH410" s="90"/>
      <c r="CI410" s="90"/>
      <c r="CJ410" s="90"/>
      <c r="CK410" s="90"/>
      <c r="CL410" s="90"/>
      <c r="CM410" s="90"/>
      <c r="CN410" s="90"/>
      <c r="CO410" s="90"/>
      <c r="CP410" s="90"/>
      <c r="CQ410" s="90"/>
      <c r="CR410" s="90"/>
      <c r="CS410" s="90"/>
      <c r="CT410" s="137"/>
    </row>
    <row r="411" spans="1:98" ht="30">
      <c r="A411" s="89">
        <v>214715</v>
      </c>
      <c r="B411" s="90">
        <v>2020</v>
      </c>
      <c r="C411" s="90" t="s">
        <v>81</v>
      </c>
      <c r="D411" s="90" t="s">
        <v>1233</v>
      </c>
      <c r="E411" s="125" t="s">
        <v>791</v>
      </c>
      <c r="F411" s="24" t="s">
        <v>1234</v>
      </c>
      <c r="G411" s="90" t="s">
        <v>85</v>
      </c>
      <c r="H411" s="90" t="s">
        <v>86</v>
      </c>
      <c r="I411" s="90">
        <v>93</v>
      </c>
      <c r="J411" s="90">
        <v>157</v>
      </c>
      <c r="K411" s="90" t="s">
        <v>85</v>
      </c>
      <c r="L411" s="90" t="s">
        <v>1235</v>
      </c>
      <c r="M411" s="90" t="s">
        <v>119</v>
      </c>
      <c r="N411" s="24" t="s">
        <v>1236</v>
      </c>
      <c r="O411" s="24" t="str">
        <f>IF(ISNUMBER(SEARCH("Cancer",N411)),"Cancer",IF(ISNUMBER(SEARCH("health",N411)),"Public health",IF(ISNUMBER(SEARCH("disabilities",N411)),"Disabilities","Other")))</f>
        <v>Other</v>
      </c>
      <c r="P411" s="126">
        <v>2258046</v>
      </c>
      <c r="Q411" s="90" t="s">
        <v>85</v>
      </c>
      <c r="R411" s="90" t="str">
        <f>IF(P411&gt;20000000,"B","A")</f>
        <v>A</v>
      </c>
      <c r="S411" s="90" t="s">
        <v>90</v>
      </c>
      <c r="T411" s="90" t="s">
        <v>119</v>
      </c>
      <c r="U411" s="90" t="s">
        <v>119</v>
      </c>
      <c r="V411" s="90" t="s">
        <v>119</v>
      </c>
      <c r="W411" s="90" t="s">
        <v>119</v>
      </c>
      <c r="X411" s="90" t="s">
        <v>119</v>
      </c>
      <c r="Y411" s="90" t="s">
        <v>119</v>
      </c>
      <c r="Z411" s="90" t="s">
        <v>119</v>
      </c>
      <c r="AA411" s="90" t="s">
        <v>119</v>
      </c>
      <c r="AB411" s="90" t="s">
        <v>119</v>
      </c>
      <c r="AC411" s="90" t="s">
        <v>119</v>
      </c>
      <c r="AD411" s="90" t="s">
        <v>119</v>
      </c>
      <c r="AE411" s="24">
        <v>0</v>
      </c>
      <c r="AF411" s="90">
        <v>0</v>
      </c>
      <c r="AG411" s="24">
        <v>0</v>
      </c>
      <c r="AH411" s="90">
        <v>89451</v>
      </c>
      <c r="AI411" s="24" t="s">
        <v>102</v>
      </c>
      <c r="AJ411" s="24" t="s">
        <v>103</v>
      </c>
      <c r="AK411" s="90" t="s">
        <v>85</v>
      </c>
      <c r="AL411" s="90">
        <v>214715</v>
      </c>
      <c r="AM411" s="90" t="s">
        <v>81</v>
      </c>
      <c r="AN411" s="90" t="s">
        <v>1233</v>
      </c>
      <c r="AO411" s="125" t="s">
        <v>791</v>
      </c>
      <c r="AP411" s="24" t="s">
        <v>1236</v>
      </c>
      <c r="AQ411" s="90" t="s">
        <v>1235</v>
      </c>
      <c r="AR411" s="24" t="s">
        <v>1236</v>
      </c>
      <c r="AS411" s="90" t="s">
        <v>119</v>
      </c>
      <c r="AT411" s="24" t="s">
        <v>102</v>
      </c>
      <c r="AU411" s="90" t="s">
        <v>119</v>
      </c>
      <c r="AV411" s="90" t="str">
        <f>IF(ISNUMBER(SEARCH("disagree",AE411)),"N","Y")</f>
        <v>Y</v>
      </c>
      <c r="AW411" s="90" t="s">
        <v>119</v>
      </c>
      <c r="AX411" s="24" t="s">
        <v>119</v>
      </c>
      <c r="AY411" s="90" t="str">
        <f>CONCATENATE(AZ411,BA411,BB411,BC411)</f>
        <v/>
      </c>
      <c r="AZ411" s="90" t="str">
        <f>IF(ISNUMBER(SEARCH("Y",AC411)),"R","")</f>
        <v/>
      </c>
      <c r="BA411" s="90" t="str">
        <f>IF(ISNUMBER(SEARCH("Y",Y411)),"M","")</f>
        <v/>
      </c>
      <c r="BB411" s="90" t="str">
        <f>IF(ISNUMBER(SEARCH("Y",AB411)),"QC","")</f>
        <v/>
      </c>
      <c r="BC411" s="90" t="str">
        <f>IF(ISNUMBER(SEARCH("Y",Z411)),"S","")</f>
        <v/>
      </c>
      <c r="BD411" s="90"/>
      <c r="BE411" s="24" t="s">
        <v>119</v>
      </c>
      <c r="BF411" s="125" t="str">
        <f>IF(AND(AW411&gt;=56543,AW411&lt;=76543,LEN(AW411)&gt;0),"3 Feb 2020",IF(AND(AW411&gt;=66544,AW411&lt;=99999,LEN(AW411)&gt;0),"12 Sep 2020",""))</f>
        <v/>
      </c>
      <c r="BG411" s="125" t="str">
        <f>IF((AND(BF411="3 Feb 2020",LEN(BF411)&gt;0)),"Completed",IF((AND(BF411="12 Sep 2020",LEN(BF411)&gt;0)),"Pending",""))</f>
        <v/>
      </c>
      <c r="BH411" s="90" t="str">
        <f>IF((AND(BF411="3 Feb 2020",LEN(BF411)&gt;0)),"3 Feb 2020","")</f>
        <v/>
      </c>
      <c r="BI411" s="90">
        <v>214715</v>
      </c>
      <c r="BJ411" s="90" t="str">
        <f>L411</f>
        <v>5D27HT89451-50</v>
      </c>
      <c r="BK411" s="127">
        <v>43508</v>
      </c>
      <c r="BL411" s="127">
        <v>44239</v>
      </c>
      <c r="BM411" s="128">
        <f>P411*1.1</f>
        <v>2483850.6</v>
      </c>
      <c r="BN411" s="129">
        <f>P411*0.9</f>
        <v>2032241.4000000001</v>
      </c>
      <c r="BO411" s="130">
        <f>P411*0.8</f>
        <v>1806436.8</v>
      </c>
      <c r="BP411" s="90">
        <f>IF(Z411="Y",BM411*0.4,BM411*1.05)</f>
        <v>2608043.1300000004</v>
      </c>
      <c r="BQ411" s="90">
        <f>BP411*0.8</f>
        <v>2086434.5040000004</v>
      </c>
      <c r="BR411" s="90" t="str">
        <f>IF(ISNUMBER(SEARCH("subrecipient",AI407)),P411*0.6,"")</f>
        <v/>
      </c>
      <c r="BS411" s="90">
        <v>214715</v>
      </c>
      <c r="BT411" s="90" t="str">
        <f>BJ411</f>
        <v>5D27HT89451-50</v>
      </c>
      <c r="BU411" s="127">
        <f>BK411</f>
        <v>43508</v>
      </c>
      <c r="BV411" s="127">
        <f>BL411</f>
        <v>44239</v>
      </c>
      <c r="BW411" s="90" t="str">
        <f>H411</f>
        <v>CDC</v>
      </c>
      <c r="BX411" s="90" t="str">
        <f>IF(H411="NATIONAL HEMOPHILIA FOUNDATION","Non Federal","Federal")</f>
        <v>Federal</v>
      </c>
      <c r="BY411" s="128">
        <f>BM411</f>
        <v>2483850.6</v>
      </c>
      <c r="BZ411" s="90" t="str">
        <f>IF(LEN(BR411)&gt;0,1,"")</f>
        <v/>
      </c>
      <c r="CA411" s="90" t="str">
        <f>IF(LEN(BR411)&gt;0,"VIRAL HEPATITIS PROJECT","")</f>
        <v/>
      </c>
      <c r="CB411" s="129" t="str">
        <f>IF(LEN(BR411)&gt;0,BM411*0.7,"")</f>
        <v/>
      </c>
      <c r="CC411" s="90">
        <f>BP411</f>
        <v>2608043.1300000004</v>
      </c>
      <c r="CD411" s="90" t="str">
        <f>IF(LEN(BR411)&gt;0,"70%","")</f>
        <v/>
      </c>
      <c r="CE411" s="90">
        <f>BS411</f>
        <v>214715</v>
      </c>
      <c r="CF411" s="90" t="str">
        <f>CA411</f>
        <v/>
      </c>
      <c r="CG411" s="90"/>
      <c r="CH411" s="90"/>
      <c r="CI411" s="90"/>
      <c r="CJ411" s="90"/>
      <c r="CK411" s="90"/>
      <c r="CL411" s="90"/>
      <c r="CM411" s="90"/>
      <c r="CN411" s="90"/>
      <c r="CO411" s="90"/>
      <c r="CP411" s="90"/>
      <c r="CQ411" s="90"/>
      <c r="CR411" s="90"/>
      <c r="CS411" s="90"/>
      <c r="CT411" s="137"/>
    </row>
    <row r="412" spans="1:98" ht="30">
      <c r="A412" s="89">
        <v>214715</v>
      </c>
      <c r="B412" s="90">
        <v>2020</v>
      </c>
      <c r="C412" s="90" t="s">
        <v>81</v>
      </c>
      <c r="D412" s="90" t="s">
        <v>1233</v>
      </c>
      <c r="E412" s="125" t="s">
        <v>793</v>
      </c>
      <c r="F412" s="24" t="s">
        <v>1234</v>
      </c>
      <c r="G412" s="90" t="s">
        <v>85</v>
      </c>
      <c r="H412" s="90" t="s">
        <v>86</v>
      </c>
      <c r="I412" s="90">
        <v>93</v>
      </c>
      <c r="J412" s="90">
        <v>157</v>
      </c>
      <c r="K412" s="90" t="s">
        <v>85</v>
      </c>
      <c r="L412" s="90" t="s">
        <v>1235</v>
      </c>
      <c r="M412" s="90" t="s">
        <v>119</v>
      </c>
      <c r="N412" s="24" t="s">
        <v>1236</v>
      </c>
      <c r="O412" s="24" t="str">
        <f>IF(ISNUMBER(SEARCH("Cancer",N412)),"Cancer",IF(ISNUMBER(SEARCH("health",N412)),"Public health",IF(ISNUMBER(SEARCH("disabilities",N412)),"Disabilities","Other")))</f>
        <v>Other</v>
      </c>
      <c r="P412" s="126">
        <v>2258046</v>
      </c>
      <c r="Q412" s="90" t="s">
        <v>85</v>
      </c>
      <c r="R412" s="90" t="str">
        <f>IF(P412&gt;20000000,"B","A")</f>
        <v>A</v>
      </c>
      <c r="S412" s="90" t="s">
        <v>90</v>
      </c>
      <c r="T412" s="90" t="s">
        <v>119</v>
      </c>
      <c r="U412" s="90" t="s">
        <v>119</v>
      </c>
      <c r="V412" s="90" t="s">
        <v>119</v>
      </c>
      <c r="W412" s="90" t="s">
        <v>119</v>
      </c>
      <c r="X412" s="90" t="s">
        <v>119</v>
      </c>
      <c r="Y412" s="90" t="s">
        <v>119</v>
      </c>
      <c r="Z412" s="90" t="s">
        <v>119</v>
      </c>
      <c r="AA412" s="90" t="s">
        <v>119</v>
      </c>
      <c r="AB412" s="90" t="s">
        <v>119</v>
      </c>
      <c r="AC412" s="90" t="s">
        <v>119</v>
      </c>
      <c r="AD412" s="90" t="s">
        <v>119</v>
      </c>
      <c r="AE412" s="24">
        <v>0</v>
      </c>
      <c r="AF412" s="90">
        <v>0</v>
      </c>
      <c r="AG412" s="24">
        <v>0</v>
      </c>
      <c r="AH412" s="90">
        <v>89453</v>
      </c>
      <c r="AI412" s="24" t="s">
        <v>110</v>
      </c>
      <c r="AJ412" s="24" t="s">
        <v>1237</v>
      </c>
      <c r="AK412" s="90" t="s">
        <v>85</v>
      </c>
      <c r="AL412" s="90">
        <v>214715</v>
      </c>
      <c r="AM412" s="90" t="s">
        <v>81</v>
      </c>
      <c r="AN412" s="90" t="s">
        <v>1233</v>
      </c>
      <c r="AO412" s="125" t="s">
        <v>793</v>
      </c>
      <c r="AP412" s="24" t="s">
        <v>1236</v>
      </c>
      <c r="AQ412" s="90" t="s">
        <v>1235</v>
      </c>
      <c r="AR412" s="24" t="s">
        <v>1236</v>
      </c>
      <c r="AS412" s="90" t="s">
        <v>119</v>
      </c>
      <c r="AT412" s="24" t="s">
        <v>110</v>
      </c>
      <c r="AU412" s="90" t="s">
        <v>119</v>
      </c>
      <c r="AV412" s="90" t="str">
        <f>IF(ISNUMBER(SEARCH("disagree",AE412)),"N","Y")</f>
        <v>Y</v>
      </c>
      <c r="AW412" s="90" t="s">
        <v>119</v>
      </c>
      <c r="AX412" s="24" t="s">
        <v>119</v>
      </c>
      <c r="AY412" s="90" t="str">
        <f>CONCATENATE(AZ412,BA412,BB412,BC412)</f>
        <v/>
      </c>
      <c r="AZ412" s="90" t="str">
        <f>IF(ISNUMBER(SEARCH("Y",AC412)),"R","")</f>
        <v/>
      </c>
      <c r="BA412" s="90" t="str">
        <f>IF(ISNUMBER(SEARCH("Y",Y412)),"M","")</f>
        <v/>
      </c>
      <c r="BB412" s="90" t="str">
        <f>IF(ISNUMBER(SEARCH("Y",AB412)),"QC","")</f>
        <v/>
      </c>
      <c r="BC412" s="90" t="str">
        <f>IF(ISNUMBER(SEARCH("Y",Z412)),"S","")</f>
        <v/>
      </c>
      <c r="BD412" s="90"/>
      <c r="BE412" s="24" t="s">
        <v>119</v>
      </c>
      <c r="BF412" s="125" t="str">
        <f>IF(AND(AW412&gt;=56543,AW412&lt;=76543,LEN(AW412)&gt;0),"3 Feb 2020",IF(AND(AW412&gt;=66544,AW412&lt;=99999,LEN(AW412)&gt;0),"12 Sep 2020",""))</f>
        <v/>
      </c>
      <c r="BG412" s="125" t="str">
        <f>IF((AND(BF412="3 Feb 2020",LEN(BF412)&gt;0)),"Completed",IF((AND(BF412="12 Sep 2020",LEN(BF412)&gt;0)),"Pending",""))</f>
        <v/>
      </c>
      <c r="BH412" s="90" t="str">
        <f>IF((AND(BF412="3 Feb 2020",LEN(BF412)&gt;0)),"3 Feb 2020","")</f>
        <v/>
      </c>
      <c r="BI412" s="90">
        <v>214715</v>
      </c>
      <c r="BJ412" s="90" t="str">
        <f>L412</f>
        <v>5D27HT89451-50</v>
      </c>
      <c r="BK412" s="127">
        <v>43508</v>
      </c>
      <c r="BL412" s="127">
        <v>44239</v>
      </c>
      <c r="BM412" s="128">
        <f>P412*1.1</f>
        <v>2483850.6</v>
      </c>
      <c r="BN412" s="129">
        <f>P412*0.9</f>
        <v>2032241.4000000001</v>
      </c>
      <c r="BO412" s="130">
        <f>P412*0.8</f>
        <v>1806436.8</v>
      </c>
      <c r="BP412" s="90">
        <f>IF(Z412="Y",BM412*0.4,BM412*1.05)</f>
        <v>2608043.1300000004</v>
      </c>
      <c r="BQ412" s="90">
        <f>BP412*0.8</f>
        <v>2086434.5040000004</v>
      </c>
      <c r="BR412" s="90" t="str">
        <f>IF(ISNUMBER(SEARCH("subrecipient",AI408)),P412*0.6,"")</f>
        <v/>
      </c>
      <c r="BS412" s="90">
        <v>214715</v>
      </c>
      <c r="BT412" s="90" t="str">
        <f>BJ412</f>
        <v>5D27HT89451-50</v>
      </c>
      <c r="BU412" s="127">
        <f>BK412</f>
        <v>43508</v>
      </c>
      <c r="BV412" s="127">
        <f>BL412</f>
        <v>44239</v>
      </c>
      <c r="BW412" s="90" t="str">
        <f>H412</f>
        <v>CDC</v>
      </c>
      <c r="BX412" s="90" t="str">
        <f>IF(H412="NATIONAL HEMOPHILIA FOUNDATION","Non Federal","Federal")</f>
        <v>Federal</v>
      </c>
      <c r="BY412" s="128">
        <f>BM412</f>
        <v>2483850.6</v>
      </c>
      <c r="BZ412" s="90" t="str">
        <f>IF(LEN(BR412)&gt;0,1,"")</f>
        <v/>
      </c>
      <c r="CA412" s="90" t="str">
        <f>IF(LEN(BR412)&gt;0,"VIRAL HEPATITIS PROJECT","")</f>
        <v/>
      </c>
      <c r="CB412" s="129" t="str">
        <f>IF(LEN(BR412)&gt;0,BM412*0.7,"")</f>
        <v/>
      </c>
      <c r="CC412" s="90">
        <f>BP412</f>
        <v>2608043.1300000004</v>
      </c>
      <c r="CD412" s="90" t="str">
        <f>IF(LEN(BR412)&gt;0,"70%","")</f>
        <v/>
      </c>
      <c r="CE412" s="90">
        <f>BS412</f>
        <v>214715</v>
      </c>
      <c r="CF412" s="90" t="str">
        <f>CA412</f>
        <v/>
      </c>
      <c r="CG412" s="90"/>
      <c r="CH412" s="90"/>
      <c r="CI412" s="90"/>
      <c r="CJ412" s="90"/>
      <c r="CK412" s="90"/>
      <c r="CL412" s="90"/>
      <c r="CM412" s="90"/>
      <c r="CN412" s="90"/>
      <c r="CO412" s="90"/>
      <c r="CP412" s="90"/>
      <c r="CQ412" s="90"/>
      <c r="CR412" s="90"/>
      <c r="CS412" s="90"/>
      <c r="CT412" s="137"/>
    </row>
    <row r="413" spans="1:98" ht="165">
      <c r="A413" s="89">
        <v>215111</v>
      </c>
      <c r="B413" s="90">
        <v>2020</v>
      </c>
      <c r="C413" s="90" t="s">
        <v>81</v>
      </c>
      <c r="D413" s="90" t="s">
        <v>1238</v>
      </c>
      <c r="E413" s="125" t="s">
        <v>780</v>
      </c>
      <c r="F413" s="24" t="s">
        <v>1239</v>
      </c>
      <c r="G413" s="90" t="s">
        <v>85</v>
      </c>
      <c r="H413" s="90" t="s">
        <v>117</v>
      </c>
      <c r="I413" s="90">
        <v>93</v>
      </c>
      <c r="J413" s="90">
        <v>157</v>
      </c>
      <c r="K413" s="90" t="s">
        <v>85</v>
      </c>
      <c r="L413" s="90" t="s">
        <v>1240</v>
      </c>
      <c r="M413" s="90" t="s">
        <v>119</v>
      </c>
      <c r="N413" s="24" t="s">
        <v>1211</v>
      </c>
      <c r="O413" s="24" t="str">
        <f>IF(ISNUMBER(SEARCH("Cancer",N413)),"Cancer",IF(ISNUMBER(SEARCH("health",N413)),"Public health",IF(ISNUMBER(SEARCH("disabilities",N413)),"Disabilities","Other")))</f>
        <v>Other</v>
      </c>
      <c r="P413" s="126">
        <v>2461798</v>
      </c>
      <c r="Q413" s="90" t="s">
        <v>85</v>
      </c>
      <c r="R413" s="90" t="str">
        <f>IF(P413&gt;20000000,"B","A")</f>
        <v>A</v>
      </c>
      <c r="S413" s="90" t="s">
        <v>90</v>
      </c>
      <c r="T413" s="90" t="s">
        <v>119</v>
      </c>
      <c r="U413" s="90" t="s">
        <v>119</v>
      </c>
      <c r="V413" s="90" t="s">
        <v>119</v>
      </c>
      <c r="W413" s="90" t="s">
        <v>119</v>
      </c>
      <c r="X413" s="90" t="s">
        <v>119</v>
      </c>
      <c r="Y413" s="90" t="s">
        <v>119</v>
      </c>
      <c r="Z413" s="90" t="s">
        <v>119</v>
      </c>
      <c r="AA413" s="90" t="s">
        <v>119</v>
      </c>
      <c r="AB413" s="90" t="s">
        <v>119</v>
      </c>
      <c r="AC413" s="90" t="s">
        <v>119</v>
      </c>
      <c r="AD413" s="90" t="s">
        <v>119</v>
      </c>
      <c r="AE413" s="24">
        <v>0</v>
      </c>
      <c r="AF413" s="90">
        <v>0</v>
      </c>
      <c r="AG413" s="24">
        <v>0</v>
      </c>
      <c r="AH413" s="90">
        <v>88814</v>
      </c>
      <c r="AI413" s="24" t="s">
        <v>94</v>
      </c>
      <c r="AJ413" s="24" t="s">
        <v>1241</v>
      </c>
      <c r="AK413" s="90" t="s">
        <v>85</v>
      </c>
      <c r="AL413" s="90">
        <v>215111</v>
      </c>
      <c r="AM413" s="90" t="s">
        <v>81</v>
      </c>
      <c r="AN413" s="90" t="s">
        <v>1238</v>
      </c>
      <c r="AO413" s="125" t="s">
        <v>780</v>
      </c>
      <c r="AP413" s="24" t="s">
        <v>1211</v>
      </c>
      <c r="AQ413" s="90" t="s">
        <v>1240</v>
      </c>
      <c r="AR413" s="24" t="s">
        <v>1211</v>
      </c>
      <c r="AS413" s="90" t="s">
        <v>119</v>
      </c>
      <c r="AT413" s="24" t="s">
        <v>94</v>
      </c>
      <c r="AU413" s="90" t="s">
        <v>119</v>
      </c>
      <c r="AV413" s="90" t="str">
        <f>IF(ISNUMBER(SEARCH("disagree",AE413)),"N","Y")</f>
        <v>Y</v>
      </c>
      <c r="AW413" s="90" t="s">
        <v>119</v>
      </c>
      <c r="AX413" s="24" t="s">
        <v>119</v>
      </c>
      <c r="AY413" s="90" t="str">
        <f>CONCATENATE(AZ413,BA413,BB413,BC413)</f>
        <v/>
      </c>
      <c r="AZ413" s="90" t="str">
        <f>IF(ISNUMBER(SEARCH("Y",AC413)),"R","")</f>
        <v/>
      </c>
      <c r="BA413" s="90" t="str">
        <f>IF(ISNUMBER(SEARCH("Y",Y413)),"M","")</f>
        <v/>
      </c>
      <c r="BB413" s="90" t="str">
        <f>IF(ISNUMBER(SEARCH("Y",AB413)),"QC","")</f>
        <v/>
      </c>
      <c r="BC413" s="90" t="str">
        <f>IF(ISNUMBER(SEARCH("Y",Z413)),"S","")</f>
        <v/>
      </c>
      <c r="BD413" s="90"/>
      <c r="BE413" s="24" t="s">
        <v>119</v>
      </c>
      <c r="BF413" s="125" t="str">
        <f>IF(AND(AW413&gt;=56543,AW413&lt;=76543,LEN(AW413)&gt;0),"3 Feb 2020",IF(AND(AW413&gt;=66544,AW413&lt;=99999,LEN(AW413)&gt;0),"12 Sep 2020",""))</f>
        <v/>
      </c>
      <c r="BG413" s="125" t="str">
        <f>IF((AND(BF413="3 Feb 2020",LEN(BF413)&gt;0)),"Completed",IF((AND(BF413="12 Sep 2020",LEN(BF413)&gt;0)),"Pending",""))</f>
        <v/>
      </c>
      <c r="BH413" s="90" t="str">
        <f>IF((AND(BF413="3 Feb 2020",LEN(BF413)&gt;0)),"3 Feb 2020","")</f>
        <v/>
      </c>
      <c r="BI413" s="90">
        <v>215111</v>
      </c>
      <c r="BJ413" s="90" t="str">
        <f>L413</f>
        <v>6B50DR88815-17</v>
      </c>
      <c r="BK413" s="127">
        <v>43508</v>
      </c>
      <c r="BL413" s="127">
        <v>44239</v>
      </c>
      <c r="BM413" s="128">
        <f>P413*1.1</f>
        <v>2707977.8000000003</v>
      </c>
      <c r="BN413" s="129">
        <f>P413*0.9</f>
        <v>2215618.2000000002</v>
      </c>
      <c r="BO413" s="130">
        <f>P413*0.8</f>
        <v>1969438.4000000001</v>
      </c>
      <c r="BP413" s="90">
        <f>IF(Z413="Y",BM413*0.4,BM413*1.05)</f>
        <v>2843376.6900000004</v>
      </c>
      <c r="BQ413" s="90">
        <f>BP413*0.8</f>
        <v>2274701.3520000004</v>
      </c>
      <c r="BR413" s="90" t="str">
        <f>IF(ISNUMBER(SEARCH("subrecipient",AI409)),P413*0.6,"")</f>
        <v/>
      </c>
      <c r="BS413" s="90">
        <v>215111</v>
      </c>
      <c r="BT413" s="90" t="str">
        <f>BJ413</f>
        <v>6B50DR88815-17</v>
      </c>
      <c r="BU413" s="127">
        <f>BK413</f>
        <v>43508</v>
      </c>
      <c r="BV413" s="127">
        <f>BL413</f>
        <v>44239</v>
      </c>
      <c r="BW413" s="90" t="str">
        <f>H413</f>
        <v>NIH</v>
      </c>
      <c r="BX413" s="90" t="str">
        <f>IF(H413="NATIONAL HEMOPHILIA FOUNDATION","Non Federal","Federal")</f>
        <v>Federal</v>
      </c>
      <c r="BY413" s="128">
        <f>BM413</f>
        <v>2707977.8000000003</v>
      </c>
      <c r="BZ413" s="90" t="str">
        <f>IF(LEN(BR413)&gt;0,1,"")</f>
        <v/>
      </c>
      <c r="CA413" s="90" t="str">
        <f>IF(LEN(BR413)&gt;0,"VIRAL HEPATITIS PROJECT","")</f>
        <v/>
      </c>
      <c r="CB413" s="129" t="str">
        <f>IF(LEN(BR413)&gt;0,BM413*0.7,"")</f>
        <v/>
      </c>
      <c r="CC413" s="90">
        <f>BP413</f>
        <v>2843376.6900000004</v>
      </c>
      <c r="CD413" s="90" t="str">
        <f>IF(LEN(BR413)&gt;0,"70%","")</f>
        <v/>
      </c>
      <c r="CE413" s="90">
        <f>BS413</f>
        <v>215111</v>
      </c>
      <c r="CF413" s="90" t="str">
        <f>CA413</f>
        <v/>
      </c>
      <c r="CG413" s="90"/>
      <c r="CH413" s="90"/>
      <c r="CI413" s="90"/>
      <c r="CJ413" s="90"/>
      <c r="CK413" s="90"/>
      <c r="CL413" s="90"/>
      <c r="CM413" s="90"/>
      <c r="CN413" s="90"/>
      <c r="CO413" s="90"/>
      <c r="CP413" s="90"/>
      <c r="CQ413" s="90"/>
      <c r="CR413" s="90"/>
      <c r="CS413" s="90"/>
      <c r="CT413" s="137"/>
    </row>
    <row r="414" spans="1:98" ht="60">
      <c r="A414" s="89">
        <v>215111</v>
      </c>
      <c r="B414" s="90">
        <v>2020</v>
      </c>
      <c r="C414" s="90" t="s">
        <v>81</v>
      </c>
      <c r="D414" s="90" t="s">
        <v>1238</v>
      </c>
      <c r="E414" s="125" t="s">
        <v>781</v>
      </c>
      <c r="F414" s="24" t="s">
        <v>1239</v>
      </c>
      <c r="G414" s="90" t="s">
        <v>85</v>
      </c>
      <c r="H414" s="90" t="s">
        <v>117</v>
      </c>
      <c r="I414" s="90">
        <v>93</v>
      </c>
      <c r="J414" s="90">
        <v>157</v>
      </c>
      <c r="K414" s="90" t="s">
        <v>85</v>
      </c>
      <c r="L414" s="90" t="s">
        <v>1240</v>
      </c>
      <c r="M414" s="90" t="s">
        <v>119</v>
      </c>
      <c r="N414" s="24" t="s">
        <v>1211</v>
      </c>
      <c r="O414" s="24" t="str">
        <f>IF(ISNUMBER(SEARCH("Cancer",N414)),"Cancer",IF(ISNUMBER(SEARCH("health",N414)),"Public health",IF(ISNUMBER(SEARCH("disabilities",N414)),"Disabilities","Other")))</f>
        <v>Other</v>
      </c>
      <c r="P414" s="126">
        <v>2461798</v>
      </c>
      <c r="Q414" s="90" t="s">
        <v>85</v>
      </c>
      <c r="R414" s="90" t="str">
        <f>IF(P414&gt;20000000,"B","A")</f>
        <v>A</v>
      </c>
      <c r="S414" s="90" t="s">
        <v>90</v>
      </c>
      <c r="T414" s="90" t="s">
        <v>119</v>
      </c>
      <c r="U414" s="90" t="s">
        <v>119</v>
      </c>
      <c r="V414" s="90" t="s">
        <v>119</v>
      </c>
      <c r="W414" s="90" t="s">
        <v>119</v>
      </c>
      <c r="X414" s="90" t="s">
        <v>119</v>
      </c>
      <c r="Y414" s="90" t="s">
        <v>119</v>
      </c>
      <c r="Z414" s="90" t="s">
        <v>119</v>
      </c>
      <c r="AA414" s="90" t="s">
        <v>119</v>
      </c>
      <c r="AB414" s="90" t="s">
        <v>119</v>
      </c>
      <c r="AC414" s="90" t="s">
        <v>119</v>
      </c>
      <c r="AD414" s="90" t="s">
        <v>119</v>
      </c>
      <c r="AE414" s="24">
        <v>0</v>
      </c>
      <c r="AF414" s="90">
        <v>0</v>
      </c>
      <c r="AG414" s="24">
        <v>0</v>
      </c>
      <c r="AH414" s="90">
        <v>88813</v>
      </c>
      <c r="AI414" s="24" t="s">
        <v>102</v>
      </c>
      <c r="AJ414" s="24" t="s">
        <v>316</v>
      </c>
      <c r="AK414" s="90" t="s">
        <v>85</v>
      </c>
      <c r="AL414" s="90">
        <v>215111</v>
      </c>
      <c r="AM414" s="90" t="s">
        <v>81</v>
      </c>
      <c r="AN414" s="90" t="s">
        <v>1238</v>
      </c>
      <c r="AO414" s="125" t="s">
        <v>781</v>
      </c>
      <c r="AP414" s="24" t="s">
        <v>1211</v>
      </c>
      <c r="AQ414" s="90" t="s">
        <v>1240</v>
      </c>
      <c r="AR414" s="24" t="s">
        <v>1211</v>
      </c>
      <c r="AS414" s="90" t="s">
        <v>119</v>
      </c>
      <c r="AT414" s="24" t="s">
        <v>102</v>
      </c>
      <c r="AU414" s="90" t="s">
        <v>119</v>
      </c>
      <c r="AV414" s="90" t="str">
        <f>IF(ISNUMBER(SEARCH("disagree",AE414)),"N","Y")</f>
        <v>Y</v>
      </c>
      <c r="AW414" s="90" t="s">
        <v>119</v>
      </c>
      <c r="AX414" s="24" t="s">
        <v>119</v>
      </c>
      <c r="AY414" s="90" t="str">
        <f>CONCATENATE(AZ414,BA414,BB414,BC414)</f>
        <v/>
      </c>
      <c r="AZ414" s="90" t="str">
        <f>IF(ISNUMBER(SEARCH("Y",AC414)),"R","")</f>
        <v/>
      </c>
      <c r="BA414" s="90" t="str">
        <f>IF(ISNUMBER(SEARCH("Y",Y414)),"M","")</f>
        <v/>
      </c>
      <c r="BB414" s="90" t="str">
        <f>IF(ISNUMBER(SEARCH("Y",AB414)),"QC","")</f>
        <v/>
      </c>
      <c r="BC414" s="90" t="str">
        <f>IF(ISNUMBER(SEARCH("Y",Z414)),"S","")</f>
        <v/>
      </c>
      <c r="BD414" s="90"/>
      <c r="BE414" s="24" t="s">
        <v>119</v>
      </c>
      <c r="BF414" s="125" t="str">
        <f>IF(AND(AW414&gt;=56543,AW414&lt;=76543,LEN(AW414)&gt;0),"3 Feb 2020",IF(AND(AW414&gt;=66544,AW414&lt;=99999,LEN(AW414)&gt;0),"12 Sep 2020",""))</f>
        <v/>
      </c>
      <c r="BG414" s="125" t="str">
        <f>IF((AND(BF414="3 Feb 2020",LEN(BF414)&gt;0)),"Completed",IF((AND(BF414="12 Sep 2020",LEN(BF414)&gt;0)),"Pending",""))</f>
        <v/>
      </c>
      <c r="BH414" s="90" t="str">
        <f>IF((AND(BF414="3 Feb 2020",LEN(BF414)&gt;0)),"3 Feb 2020","")</f>
        <v/>
      </c>
      <c r="BI414" s="90">
        <v>215111</v>
      </c>
      <c r="BJ414" s="90" t="str">
        <f>L414</f>
        <v>6B50DR88815-17</v>
      </c>
      <c r="BK414" s="127">
        <v>43508</v>
      </c>
      <c r="BL414" s="127">
        <v>44239</v>
      </c>
      <c r="BM414" s="128">
        <f>P414*1.1</f>
        <v>2707977.8000000003</v>
      </c>
      <c r="BN414" s="129">
        <f>P414*0.9</f>
        <v>2215618.2000000002</v>
      </c>
      <c r="BO414" s="130">
        <f>P414*0.8</f>
        <v>1969438.4000000001</v>
      </c>
      <c r="BP414" s="90">
        <f>IF(Z414="Y",BM414*0.4,BM414*1.05)</f>
        <v>2843376.6900000004</v>
      </c>
      <c r="BQ414" s="90">
        <f>BP414*0.8</f>
        <v>2274701.3520000004</v>
      </c>
      <c r="BR414" s="90" t="str">
        <f>IF(ISNUMBER(SEARCH("subrecipient",AI410)),P414*0.6,"")</f>
        <v/>
      </c>
      <c r="BS414" s="90">
        <v>215111</v>
      </c>
      <c r="BT414" s="90" t="str">
        <f>BJ414</f>
        <v>6B50DR88815-17</v>
      </c>
      <c r="BU414" s="127">
        <f>BK414</f>
        <v>43508</v>
      </c>
      <c r="BV414" s="127">
        <f>BL414</f>
        <v>44239</v>
      </c>
      <c r="BW414" s="90" t="str">
        <f>H414</f>
        <v>NIH</v>
      </c>
      <c r="BX414" s="90" t="str">
        <f>IF(H414="NATIONAL HEMOPHILIA FOUNDATION","Non Federal","Federal")</f>
        <v>Federal</v>
      </c>
      <c r="BY414" s="128">
        <f>BM414</f>
        <v>2707977.8000000003</v>
      </c>
      <c r="BZ414" s="90" t="str">
        <f>IF(LEN(BR414)&gt;0,1,"")</f>
        <v/>
      </c>
      <c r="CA414" s="90" t="str">
        <f>IF(LEN(BR414)&gt;0,"VIRAL HEPATITIS PROJECT","")</f>
        <v/>
      </c>
      <c r="CB414" s="129" t="str">
        <f>IF(LEN(BR414)&gt;0,BM414*0.7,"")</f>
        <v/>
      </c>
      <c r="CC414" s="90">
        <f>BP414</f>
        <v>2843376.6900000004</v>
      </c>
      <c r="CD414" s="90" t="str">
        <f>IF(LEN(BR414)&gt;0,"70%","")</f>
        <v/>
      </c>
      <c r="CE414" s="90">
        <f>BS414</f>
        <v>215111</v>
      </c>
      <c r="CF414" s="90" t="str">
        <f>CA414</f>
        <v/>
      </c>
      <c r="CG414" s="90"/>
      <c r="CH414" s="90"/>
      <c r="CI414" s="90"/>
      <c r="CJ414" s="90"/>
      <c r="CK414" s="90"/>
      <c r="CL414" s="90"/>
      <c r="CM414" s="90"/>
      <c r="CN414" s="90"/>
      <c r="CO414" s="90"/>
      <c r="CP414" s="90"/>
      <c r="CQ414" s="90"/>
      <c r="CR414" s="90"/>
      <c r="CS414" s="90"/>
      <c r="CT414" s="137"/>
    </row>
    <row r="415" spans="1:98" ht="60">
      <c r="A415" s="89">
        <v>215111</v>
      </c>
      <c r="B415" s="90">
        <v>2020</v>
      </c>
      <c r="C415" s="90" t="s">
        <v>81</v>
      </c>
      <c r="D415" s="90" t="s">
        <v>1238</v>
      </c>
      <c r="E415" s="125" t="s">
        <v>784</v>
      </c>
      <c r="F415" s="24" t="s">
        <v>1239</v>
      </c>
      <c r="G415" s="90" t="s">
        <v>85</v>
      </c>
      <c r="H415" s="90" t="s">
        <v>117</v>
      </c>
      <c r="I415" s="90">
        <v>93</v>
      </c>
      <c r="J415" s="90">
        <v>157</v>
      </c>
      <c r="K415" s="90" t="s">
        <v>85</v>
      </c>
      <c r="L415" s="90" t="s">
        <v>1240</v>
      </c>
      <c r="M415" s="90" t="s">
        <v>119</v>
      </c>
      <c r="N415" s="24" t="s">
        <v>1211</v>
      </c>
      <c r="O415" s="24" t="str">
        <f>IF(ISNUMBER(SEARCH("Cancer",N415)),"Cancer",IF(ISNUMBER(SEARCH("health",N415)),"Public health",IF(ISNUMBER(SEARCH("disabilities",N415)),"Disabilities","Other")))</f>
        <v>Other</v>
      </c>
      <c r="P415" s="126">
        <v>2461798</v>
      </c>
      <c r="Q415" s="90" t="s">
        <v>85</v>
      </c>
      <c r="R415" s="90" t="str">
        <f>IF(P415&gt;20000000,"B","A")</f>
        <v>A</v>
      </c>
      <c r="S415" s="90" t="s">
        <v>90</v>
      </c>
      <c r="T415" s="90" t="s">
        <v>119</v>
      </c>
      <c r="U415" s="90" t="s">
        <v>119</v>
      </c>
      <c r="V415" s="90" t="s">
        <v>119</v>
      </c>
      <c r="W415" s="90" t="s">
        <v>119</v>
      </c>
      <c r="X415" s="90" t="s">
        <v>119</v>
      </c>
      <c r="Y415" s="90" t="s">
        <v>119</v>
      </c>
      <c r="Z415" s="90" t="s">
        <v>119</v>
      </c>
      <c r="AA415" s="90" t="s">
        <v>119</v>
      </c>
      <c r="AB415" s="90" t="s">
        <v>119</v>
      </c>
      <c r="AC415" s="90" t="s">
        <v>119</v>
      </c>
      <c r="AD415" s="90" t="s">
        <v>119</v>
      </c>
      <c r="AE415" s="24">
        <v>0</v>
      </c>
      <c r="AF415" s="90">
        <v>0</v>
      </c>
      <c r="AG415" s="24">
        <v>0</v>
      </c>
      <c r="AH415" s="90">
        <v>88815</v>
      </c>
      <c r="AI415" s="24" t="s">
        <v>110</v>
      </c>
      <c r="AJ415" s="24" t="s">
        <v>1242</v>
      </c>
      <c r="AK415" s="90" t="s">
        <v>85</v>
      </c>
      <c r="AL415" s="90">
        <v>215111</v>
      </c>
      <c r="AM415" s="90" t="s">
        <v>81</v>
      </c>
      <c r="AN415" s="90" t="s">
        <v>1238</v>
      </c>
      <c r="AO415" s="125" t="s">
        <v>784</v>
      </c>
      <c r="AP415" s="24" t="s">
        <v>1211</v>
      </c>
      <c r="AQ415" s="90" t="s">
        <v>1240</v>
      </c>
      <c r="AR415" s="24" t="s">
        <v>1211</v>
      </c>
      <c r="AS415" s="90" t="s">
        <v>119</v>
      </c>
      <c r="AT415" s="24" t="s">
        <v>110</v>
      </c>
      <c r="AU415" s="90" t="s">
        <v>119</v>
      </c>
      <c r="AV415" s="90" t="str">
        <f>IF(ISNUMBER(SEARCH("disagree",AE415)),"N","Y")</f>
        <v>Y</v>
      </c>
      <c r="AW415" s="90" t="s">
        <v>119</v>
      </c>
      <c r="AX415" s="24" t="s">
        <v>119</v>
      </c>
      <c r="AY415" s="90" t="str">
        <f>CONCATENATE(AZ415,BA415,BB415,BC415)</f>
        <v/>
      </c>
      <c r="AZ415" s="90" t="str">
        <f>IF(ISNUMBER(SEARCH("Y",AC415)),"R","")</f>
        <v/>
      </c>
      <c r="BA415" s="90" t="str">
        <f>IF(ISNUMBER(SEARCH("Y",Y415)),"M","")</f>
        <v/>
      </c>
      <c r="BB415" s="90" t="str">
        <f>IF(ISNUMBER(SEARCH("Y",AB415)),"QC","")</f>
        <v/>
      </c>
      <c r="BC415" s="90" t="str">
        <f>IF(ISNUMBER(SEARCH("Y",Z415)),"S","")</f>
        <v/>
      </c>
      <c r="BD415" s="90"/>
      <c r="BE415" s="24" t="s">
        <v>119</v>
      </c>
      <c r="BF415" s="125" t="str">
        <f>IF(AND(AW415&gt;=56543,AW415&lt;=76543,LEN(AW415)&gt;0),"3 Feb 2020",IF(AND(AW415&gt;=66544,AW415&lt;=99999,LEN(AW415)&gt;0),"12 Sep 2020",""))</f>
        <v/>
      </c>
      <c r="BG415" s="125" t="str">
        <f>IF((AND(BF415="3 Feb 2020",LEN(BF415)&gt;0)),"Completed",IF((AND(BF415="12 Sep 2020",LEN(BF415)&gt;0)),"Pending",""))</f>
        <v/>
      </c>
      <c r="BH415" s="90" t="str">
        <f>IF((AND(BF415="3 Feb 2020",LEN(BF415)&gt;0)),"3 Feb 2020","")</f>
        <v/>
      </c>
      <c r="BI415" s="90">
        <v>215111</v>
      </c>
      <c r="BJ415" s="90" t="str">
        <f>L415</f>
        <v>6B50DR88815-17</v>
      </c>
      <c r="BK415" s="127">
        <v>43508</v>
      </c>
      <c r="BL415" s="127">
        <v>44239</v>
      </c>
      <c r="BM415" s="128">
        <f>P415*1.1</f>
        <v>2707977.8000000003</v>
      </c>
      <c r="BN415" s="129">
        <f>P415*0.9</f>
        <v>2215618.2000000002</v>
      </c>
      <c r="BO415" s="130">
        <f>P415*0.8</f>
        <v>1969438.4000000001</v>
      </c>
      <c r="BP415" s="90">
        <f>IF(Z415="Y",BM415*0.4,BM415*1.05)</f>
        <v>2843376.6900000004</v>
      </c>
      <c r="BQ415" s="90">
        <f>BP415*0.8</f>
        <v>2274701.3520000004</v>
      </c>
      <c r="BR415" s="90" t="str">
        <f>IF(ISNUMBER(SEARCH("subrecipient",AI411)),P415*0.6,"")</f>
        <v/>
      </c>
      <c r="BS415" s="90">
        <v>215111</v>
      </c>
      <c r="BT415" s="90" t="str">
        <f>BJ415</f>
        <v>6B50DR88815-17</v>
      </c>
      <c r="BU415" s="127">
        <f>BK415</f>
        <v>43508</v>
      </c>
      <c r="BV415" s="127">
        <f>BL415</f>
        <v>44239</v>
      </c>
      <c r="BW415" s="90" t="str">
        <f>H415</f>
        <v>NIH</v>
      </c>
      <c r="BX415" s="90" t="str">
        <f>IF(H415="NATIONAL HEMOPHILIA FOUNDATION","Non Federal","Federal")</f>
        <v>Federal</v>
      </c>
      <c r="BY415" s="128">
        <f>BM415</f>
        <v>2707977.8000000003</v>
      </c>
      <c r="BZ415" s="90" t="str">
        <f>IF(LEN(BR415)&gt;0,1,"")</f>
        <v/>
      </c>
      <c r="CA415" s="90" t="str">
        <f>IF(LEN(BR415)&gt;0,"VIRAL HEPATITIS PROJECT","")</f>
        <v/>
      </c>
      <c r="CB415" s="129" t="str">
        <f>IF(LEN(BR415)&gt;0,BM415*0.7,"")</f>
        <v/>
      </c>
      <c r="CC415" s="90">
        <f>BP415</f>
        <v>2843376.6900000004</v>
      </c>
      <c r="CD415" s="90" t="str">
        <f>IF(LEN(BR415)&gt;0,"70%","")</f>
        <v/>
      </c>
      <c r="CE415" s="90">
        <f>BS415</f>
        <v>215111</v>
      </c>
      <c r="CF415" s="90" t="str">
        <f>CA415</f>
        <v/>
      </c>
      <c r="CG415" s="90"/>
      <c r="CH415" s="90"/>
      <c r="CI415" s="90"/>
      <c r="CJ415" s="90"/>
      <c r="CK415" s="90"/>
      <c r="CL415" s="90"/>
      <c r="CM415" s="90"/>
      <c r="CN415" s="90"/>
      <c r="CO415" s="90"/>
      <c r="CP415" s="90"/>
      <c r="CQ415" s="90"/>
      <c r="CR415" s="90"/>
      <c r="CS415" s="90"/>
      <c r="CT415" s="137"/>
    </row>
    <row r="416" spans="1:98" ht="210">
      <c r="A416" s="89">
        <v>216140</v>
      </c>
      <c r="B416" s="90">
        <v>2020</v>
      </c>
      <c r="C416" s="90" t="s">
        <v>81</v>
      </c>
      <c r="D416" s="90" t="s">
        <v>1243</v>
      </c>
      <c r="E416" s="125" t="s">
        <v>790</v>
      </c>
      <c r="F416" s="24" t="s">
        <v>1244</v>
      </c>
      <c r="G416" s="90" t="s">
        <v>85</v>
      </c>
      <c r="H416" s="90" t="s">
        <v>132</v>
      </c>
      <c r="I416" s="90">
        <v>93</v>
      </c>
      <c r="J416" s="90">
        <v>157</v>
      </c>
      <c r="K416" s="90" t="s">
        <v>85</v>
      </c>
      <c r="L416" s="90" t="s">
        <v>1245</v>
      </c>
      <c r="M416" s="90" t="s">
        <v>85</v>
      </c>
      <c r="N416" s="24" t="s">
        <v>254</v>
      </c>
      <c r="O416" s="24" t="str">
        <f>IF(ISNUMBER(SEARCH("Cancer",N416)),"Cancer",IF(ISNUMBER(SEARCH("health",N416)),"Public health",IF(ISNUMBER(SEARCH("disabilities",N416)),"Disabilities","Other")))</f>
        <v>Other</v>
      </c>
      <c r="P416" s="126">
        <v>203019400</v>
      </c>
      <c r="Q416" s="90" t="s">
        <v>85</v>
      </c>
      <c r="R416" s="90" t="str">
        <f>IF(P416&gt;20000000,"B","A")</f>
        <v>B</v>
      </c>
      <c r="S416" s="90" t="s">
        <v>90</v>
      </c>
      <c r="T416" s="90">
        <v>2585696</v>
      </c>
      <c r="U416" s="90" t="s">
        <v>108</v>
      </c>
      <c r="V416" s="90" t="s">
        <v>85</v>
      </c>
      <c r="W416" s="90" t="s">
        <v>85</v>
      </c>
      <c r="X416" s="90" t="s">
        <v>87</v>
      </c>
      <c r="Y416" s="90" t="s">
        <v>87</v>
      </c>
      <c r="Z416" s="90" t="s">
        <v>85</v>
      </c>
      <c r="AA416" s="90" t="s">
        <v>85</v>
      </c>
      <c r="AB416" s="90" t="s">
        <v>85</v>
      </c>
      <c r="AC416" s="90" t="s">
        <v>87</v>
      </c>
      <c r="AD416" s="90" t="s">
        <v>1246</v>
      </c>
      <c r="AE416" s="24" t="s">
        <v>1247</v>
      </c>
      <c r="AF416" s="90" t="s">
        <v>108</v>
      </c>
      <c r="AG416" s="24" t="s">
        <v>1248</v>
      </c>
      <c r="AH416" s="90">
        <v>90836</v>
      </c>
      <c r="AI416" s="24" t="s">
        <v>94</v>
      </c>
      <c r="AJ416" s="24" t="s">
        <v>1249</v>
      </c>
      <c r="AK416" s="90" t="s">
        <v>87</v>
      </c>
      <c r="AL416" s="90">
        <v>216140</v>
      </c>
      <c r="AM416" s="90" t="s">
        <v>81</v>
      </c>
      <c r="AN416" s="90" t="s">
        <v>1243</v>
      </c>
      <c r="AO416" s="125" t="s">
        <v>790</v>
      </c>
      <c r="AP416" s="24" t="s">
        <v>254</v>
      </c>
      <c r="AQ416" s="90" t="s">
        <v>1245</v>
      </c>
      <c r="AR416" s="24" t="s">
        <v>254</v>
      </c>
      <c r="AS416" s="90">
        <v>2585696</v>
      </c>
      <c r="AT416" s="24" t="s">
        <v>94</v>
      </c>
      <c r="AU416" s="90" t="s">
        <v>85</v>
      </c>
      <c r="AV416" s="90" t="str">
        <f>IF(ISNUMBER(SEARCH("disagree",AE416)),"N","Y")</f>
        <v>Y</v>
      </c>
      <c r="AW416" s="90">
        <v>60665</v>
      </c>
      <c r="AX416" s="24" t="s">
        <v>96</v>
      </c>
      <c r="AY416" s="90" t="str">
        <f>CONCATENATE(AZ416,BA416,BB416,BC416)</f>
        <v>RM</v>
      </c>
      <c r="AZ416" s="90" t="str">
        <f>IF(ISNUMBER(SEARCH("Y",AC416)),"R","")</f>
        <v>R</v>
      </c>
      <c r="BA416" s="90" t="str">
        <f>IF(ISNUMBER(SEARCH("Y",Y416)),"M","")</f>
        <v>M</v>
      </c>
      <c r="BB416" s="90" t="str">
        <f>IF(ISNUMBER(SEARCH("Y",AB416)),"QC","")</f>
        <v/>
      </c>
      <c r="BC416" s="90" t="str">
        <f>IF(ISNUMBER(SEARCH("Y",Z416)),"S","")</f>
        <v/>
      </c>
      <c r="BD416" s="90"/>
      <c r="BE416" s="24" t="s">
        <v>97</v>
      </c>
      <c r="BF416" s="125" t="str">
        <f>IF(AND(AW416&gt;=56543,AW416&lt;=76543,LEN(AW416)&gt;0),"3 Feb 2020",IF(AND(AW416&gt;=66544,AW416&lt;=99999,LEN(AW416)&gt;0),"12 Sep 2020",""))</f>
        <v>3 Feb 2020</v>
      </c>
      <c r="BG416" s="125" t="str">
        <f>IF((AND(BF416="3 Feb 2020",LEN(BF416)&gt;0)),"Completed",IF((AND(BF416="12 Sep 2020",LEN(BF416)&gt;0)),"Pending",""))</f>
        <v>Completed</v>
      </c>
      <c r="BH416" s="90" t="str">
        <f>IF((AND(BF416="3 Feb 2020",LEN(BF416)&gt;0)),"3 Feb 2020","")</f>
        <v>3 Feb 2020</v>
      </c>
      <c r="BI416" s="90">
        <v>216140</v>
      </c>
      <c r="BJ416" s="90" t="str">
        <f>L416</f>
        <v>7D22CT90835-94</v>
      </c>
      <c r="BK416" s="127">
        <v>43508</v>
      </c>
      <c r="BL416" s="127">
        <v>44239</v>
      </c>
      <c r="BM416" s="128">
        <f>P416*1.1</f>
        <v>223321340.00000003</v>
      </c>
      <c r="BN416" s="129">
        <f>P416*0.9</f>
        <v>182717460</v>
      </c>
      <c r="BO416" s="130">
        <f>P416*0.8</f>
        <v>162415520</v>
      </c>
      <c r="BP416" s="90">
        <f>IF(Z416="Y",BM416*0.4,BM416*1.05)</f>
        <v>234487407.00000003</v>
      </c>
      <c r="BQ416" s="90">
        <f>BP416*0.8</f>
        <v>187589925.60000002</v>
      </c>
      <c r="BR416" s="90" t="str">
        <f>IF(ISNUMBER(SEARCH("subrecipient",AI412)),P416*0.6,"")</f>
        <v/>
      </c>
      <c r="BS416" s="90">
        <v>216140</v>
      </c>
      <c r="BT416" s="90" t="str">
        <f>BJ416</f>
        <v>7D22CT90835-94</v>
      </c>
      <c r="BU416" s="127">
        <f>BK416</f>
        <v>43508</v>
      </c>
      <c r="BV416" s="127">
        <f>BL416</f>
        <v>44239</v>
      </c>
      <c r="BW416" s="90" t="str">
        <f>H416</f>
        <v>FDA</v>
      </c>
      <c r="BX416" s="90" t="str">
        <f>IF(H416="NATIONAL HEMOPHILIA FOUNDATION","Non Federal","Federal")</f>
        <v>Federal</v>
      </c>
      <c r="BY416" s="128">
        <f>BM416</f>
        <v>223321340.00000003</v>
      </c>
      <c r="BZ416" s="90" t="str">
        <f>IF(LEN(BR416)&gt;0,1,"")</f>
        <v/>
      </c>
      <c r="CA416" s="90" t="str">
        <f>IF(LEN(BR416)&gt;0,"VIRAL HEPATITIS PROJECT","")</f>
        <v/>
      </c>
      <c r="CB416" s="129" t="str">
        <f>IF(LEN(BR416)&gt;0,BM416*0.7,"")</f>
        <v/>
      </c>
      <c r="CC416" s="90">
        <f>BP416</f>
        <v>234487407.00000003</v>
      </c>
      <c r="CD416" s="90" t="str">
        <f>IF(LEN(BR416)&gt;0,"70%","")</f>
        <v/>
      </c>
      <c r="CE416" s="90">
        <f>BS416</f>
        <v>216140</v>
      </c>
      <c r="CF416" s="90" t="str">
        <f>CA416</f>
        <v/>
      </c>
      <c r="CG416" s="90"/>
      <c r="CH416" s="90"/>
      <c r="CI416" s="90"/>
      <c r="CJ416" s="90"/>
      <c r="CK416" s="90"/>
      <c r="CL416" s="90"/>
      <c r="CM416" s="90"/>
      <c r="CN416" s="90"/>
      <c r="CO416" s="90"/>
      <c r="CP416" s="90"/>
      <c r="CQ416" s="90"/>
      <c r="CR416" s="90"/>
      <c r="CS416" s="90"/>
      <c r="CT416" s="137"/>
    </row>
    <row r="417" spans="1:98" ht="45">
      <c r="A417" s="89">
        <v>216140</v>
      </c>
      <c r="B417" s="90">
        <v>2020</v>
      </c>
      <c r="C417" s="90" t="s">
        <v>81</v>
      </c>
      <c r="D417" s="90" t="s">
        <v>1243</v>
      </c>
      <c r="E417" s="125" t="s">
        <v>791</v>
      </c>
      <c r="F417" s="24" t="s">
        <v>1244</v>
      </c>
      <c r="G417" s="90" t="s">
        <v>85</v>
      </c>
      <c r="H417" s="90" t="s">
        <v>132</v>
      </c>
      <c r="I417" s="90">
        <v>93</v>
      </c>
      <c r="J417" s="90">
        <v>157</v>
      </c>
      <c r="K417" s="90" t="s">
        <v>85</v>
      </c>
      <c r="L417" s="90" t="s">
        <v>1245</v>
      </c>
      <c r="M417" s="90" t="s">
        <v>85</v>
      </c>
      <c r="N417" s="24" t="s">
        <v>254</v>
      </c>
      <c r="O417" s="24" t="str">
        <f>IF(ISNUMBER(SEARCH("Cancer",N417)),"Cancer",IF(ISNUMBER(SEARCH("health",N417)),"Public health",IF(ISNUMBER(SEARCH("disabilities",N417)),"Disabilities","Other")))</f>
        <v>Other</v>
      </c>
      <c r="P417" s="126">
        <v>203019400</v>
      </c>
      <c r="Q417" s="90" t="s">
        <v>85</v>
      </c>
      <c r="R417" s="90" t="str">
        <f>IF(P417&gt;20000000,"B","A")</f>
        <v>B</v>
      </c>
      <c r="S417" s="90" t="s">
        <v>90</v>
      </c>
      <c r="T417" s="90">
        <v>2585696</v>
      </c>
      <c r="U417" s="90" t="s">
        <v>108</v>
      </c>
      <c r="V417" s="90" t="s">
        <v>85</v>
      </c>
      <c r="W417" s="90" t="s">
        <v>85</v>
      </c>
      <c r="X417" s="90" t="s">
        <v>87</v>
      </c>
      <c r="Y417" s="90" t="s">
        <v>87</v>
      </c>
      <c r="Z417" s="90" t="s">
        <v>85</v>
      </c>
      <c r="AA417" s="90" t="s">
        <v>85</v>
      </c>
      <c r="AB417" s="90" t="s">
        <v>85</v>
      </c>
      <c r="AC417" s="90" t="s">
        <v>87</v>
      </c>
      <c r="AD417" s="90" t="s">
        <v>1246</v>
      </c>
      <c r="AE417" s="24">
        <v>0</v>
      </c>
      <c r="AF417" s="90">
        <v>0</v>
      </c>
      <c r="AG417" s="24">
        <v>0</v>
      </c>
      <c r="AH417" s="90">
        <v>90835</v>
      </c>
      <c r="AI417" s="24" t="s">
        <v>102</v>
      </c>
      <c r="AJ417" s="24" t="s">
        <v>1250</v>
      </c>
      <c r="AK417" s="90" t="s">
        <v>85</v>
      </c>
      <c r="AL417" s="90">
        <v>216140</v>
      </c>
      <c r="AM417" s="90" t="s">
        <v>81</v>
      </c>
      <c r="AN417" s="90" t="s">
        <v>1243</v>
      </c>
      <c r="AO417" s="125" t="s">
        <v>791</v>
      </c>
      <c r="AP417" s="24" t="s">
        <v>254</v>
      </c>
      <c r="AQ417" s="90" t="s">
        <v>1245</v>
      </c>
      <c r="AR417" s="24" t="s">
        <v>254</v>
      </c>
      <c r="AS417" s="90">
        <v>2585696</v>
      </c>
      <c r="AT417" s="24" t="s">
        <v>102</v>
      </c>
      <c r="AU417" s="90" t="s">
        <v>85</v>
      </c>
      <c r="AV417" s="90" t="str">
        <f>IF(ISNUMBER(SEARCH("disagree",AE417)),"N","Y")</f>
        <v>Y</v>
      </c>
      <c r="AW417" s="90">
        <v>75075</v>
      </c>
      <c r="AX417" s="24" t="s">
        <v>104</v>
      </c>
      <c r="AY417" s="90" t="str">
        <f>CONCATENATE(AZ417,BA417,BB417,BC417)</f>
        <v>RM</v>
      </c>
      <c r="AZ417" s="90" t="str">
        <f>IF(ISNUMBER(SEARCH("Y",AC417)),"R","")</f>
        <v>R</v>
      </c>
      <c r="BA417" s="90" t="str">
        <f>IF(ISNUMBER(SEARCH("Y",Y417)),"M","")</f>
        <v>M</v>
      </c>
      <c r="BB417" s="90" t="str">
        <f>IF(ISNUMBER(SEARCH("Y",AB417)),"QC","")</f>
        <v/>
      </c>
      <c r="BC417" s="90" t="str">
        <f>IF(ISNUMBER(SEARCH("Y",Z417)),"S","")</f>
        <v/>
      </c>
      <c r="BD417" s="90"/>
      <c r="BE417" s="24" t="s">
        <v>327</v>
      </c>
      <c r="BF417" s="125" t="str">
        <f>IF(AND(AW417&gt;=56543,AW417&lt;=76543,LEN(AW417)&gt;0),"3 Feb 2020",IF(AND(AW417&gt;=66544,AW417&lt;=99999,LEN(AW417)&gt;0),"12 Sep 2020",""))</f>
        <v>3 Feb 2020</v>
      </c>
      <c r="BG417" s="125" t="str">
        <f>IF((AND(BF417="3 Feb 2020",LEN(BF417)&gt;0)),"Completed",IF((AND(BF417="12 Sep 2020",LEN(BF417)&gt;0)),"Pending",""))</f>
        <v>Completed</v>
      </c>
      <c r="BH417" s="90" t="str">
        <f>IF((AND(BF417="3 Feb 2020",LEN(BF417)&gt;0)),"3 Feb 2020","")</f>
        <v>3 Feb 2020</v>
      </c>
      <c r="BI417" s="90">
        <v>216140</v>
      </c>
      <c r="BJ417" s="90" t="str">
        <f>L417</f>
        <v>7D22CT90835-94</v>
      </c>
      <c r="BK417" s="127">
        <v>43508</v>
      </c>
      <c r="BL417" s="127">
        <v>44239</v>
      </c>
      <c r="BM417" s="128">
        <f>P417*1.1</f>
        <v>223321340.00000003</v>
      </c>
      <c r="BN417" s="129">
        <f>P417*0.9</f>
        <v>182717460</v>
      </c>
      <c r="BO417" s="130">
        <f>P417*0.8</f>
        <v>162415520</v>
      </c>
      <c r="BP417" s="90">
        <f>IF(Z417="Y",BM417*0.4,BM417*1.05)</f>
        <v>234487407.00000003</v>
      </c>
      <c r="BQ417" s="90">
        <f>BP417*0.8</f>
        <v>187589925.60000002</v>
      </c>
      <c r="BR417" s="90" t="str">
        <f>IF(ISNUMBER(SEARCH("subrecipient",AI413)),P417*0.6,"")</f>
        <v/>
      </c>
      <c r="BS417" s="90">
        <v>216140</v>
      </c>
      <c r="BT417" s="90" t="str">
        <f>BJ417</f>
        <v>7D22CT90835-94</v>
      </c>
      <c r="BU417" s="127">
        <f>BK417</f>
        <v>43508</v>
      </c>
      <c r="BV417" s="127">
        <f>BL417</f>
        <v>44239</v>
      </c>
      <c r="BW417" s="90" t="str">
        <f>H417</f>
        <v>FDA</v>
      </c>
      <c r="BX417" s="90" t="str">
        <f>IF(H417="NATIONAL HEMOPHILIA FOUNDATION","Non Federal","Federal")</f>
        <v>Federal</v>
      </c>
      <c r="BY417" s="128">
        <f>BM417</f>
        <v>223321340.00000003</v>
      </c>
      <c r="BZ417" s="90" t="str">
        <f>IF(LEN(BR417)&gt;0,1,"")</f>
        <v/>
      </c>
      <c r="CA417" s="90" t="str">
        <f>IF(LEN(BR417)&gt;0,"VIRAL HEPATITIS PROJECT","")</f>
        <v/>
      </c>
      <c r="CB417" s="129" t="str">
        <f>IF(LEN(BR417)&gt;0,BM417*0.7,"")</f>
        <v/>
      </c>
      <c r="CC417" s="90">
        <f>BP417</f>
        <v>234487407.00000003</v>
      </c>
      <c r="CD417" s="90" t="str">
        <f>IF(LEN(BR417)&gt;0,"70%","")</f>
        <v/>
      </c>
      <c r="CE417" s="90">
        <f>BS417</f>
        <v>216140</v>
      </c>
      <c r="CF417" s="90" t="str">
        <f>CA417</f>
        <v/>
      </c>
      <c r="CG417" s="90"/>
      <c r="CH417" s="90"/>
      <c r="CI417" s="90"/>
      <c r="CJ417" s="90"/>
      <c r="CK417" s="90"/>
      <c r="CL417" s="90"/>
      <c r="CM417" s="90"/>
      <c r="CN417" s="90"/>
      <c r="CO417" s="90"/>
      <c r="CP417" s="90"/>
      <c r="CQ417" s="90"/>
      <c r="CR417" s="90"/>
      <c r="CS417" s="90"/>
      <c r="CT417" s="137"/>
    </row>
    <row r="418" spans="1:98" ht="105">
      <c r="A418" s="89">
        <v>216140</v>
      </c>
      <c r="B418" s="90">
        <v>2020</v>
      </c>
      <c r="C418" s="90" t="s">
        <v>81</v>
      </c>
      <c r="D418" s="90" t="s">
        <v>1243</v>
      </c>
      <c r="E418" s="125" t="s">
        <v>793</v>
      </c>
      <c r="F418" s="24" t="s">
        <v>1244</v>
      </c>
      <c r="G418" s="90" t="s">
        <v>85</v>
      </c>
      <c r="H418" s="90" t="s">
        <v>132</v>
      </c>
      <c r="I418" s="90">
        <v>93</v>
      </c>
      <c r="J418" s="90">
        <v>157</v>
      </c>
      <c r="K418" s="90" t="s">
        <v>85</v>
      </c>
      <c r="L418" s="90" t="s">
        <v>1245</v>
      </c>
      <c r="M418" s="90" t="s">
        <v>85</v>
      </c>
      <c r="N418" s="24" t="s">
        <v>254</v>
      </c>
      <c r="O418" s="24" t="str">
        <f>IF(ISNUMBER(SEARCH("Cancer",N418)),"Cancer",IF(ISNUMBER(SEARCH("health",N418)),"Public health",IF(ISNUMBER(SEARCH("disabilities",N418)),"Disabilities","Other")))</f>
        <v>Other</v>
      </c>
      <c r="P418" s="126">
        <v>203019400</v>
      </c>
      <c r="Q418" s="90" t="s">
        <v>85</v>
      </c>
      <c r="R418" s="90" t="str">
        <f>IF(P418&gt;20000000,"B","A")</f>
        <v>B</v>
      </c>
      <c r="S418" s="90" t="s">
        <v>90</v>
      </c>
      <c r="T418" s="90">
        <v>2585696</v>
      </c>
      <c r="U418" s="90" t="s">
        <v>108</v>
      </c>
      <c r="V418" s="90" t="s">
        <v>85</v>
      </c>
      <c r="W418" s="90" t="s">
        <v>85</v>
      </c>
      <c r="X418" s="90" t="s">
        <v>87</v>
      </c>
      <c r="Y418" s="90" t="s">
        <v>87</v>
      </c>
      <c r="Z418" s="90" t="s">
        <v>85</v>
      </c>
      <c r="AA418" s="90" t="s">
        <v>85</v>
      </c>
      <c r="AB418" s="90" t="s">
        <v>85</v>
      </c>
      <c r="AC418" s="90" t="s">
        <v>87</v>
      </c>
      <c r="AD418" s="90" t="s">
        <v>1246</v>
      </c>
      <c r="AE418" s="24">
        <v>0</v>
      </c>
      <c r="AF418" s="90">
        <v>0</v>
      </c>
      <c r="AG418" s="24">
        <v>0</v>
      </c>
      <c r="AH418" s="90">
        <v>90834</v>
      </c>
      <c r="AI418" s="24" t="s">
        <v>186</v>
      </c>
      <c r="AJ418" s="24" t="s">
        <v>1251</v>
      </c>
      <c r="AK418" s="90" t="s">
        <v>85</v>
      </c>
      <c r="AL418" s="90">
        <v>216140</v>
      </c>
      <c r="AM418" s="90" t="s">
        <v>81</v>
      </c>
      <c r="AN418" s="90" t="s">
        <v>1243</v>
      </c>
      <c r="AO418" s="125" t="s">
        <v>793</v>
      </c>
      <c r="AP418" s="24" t="s">
        <v>254</v>
      </c>
      <c r="AQ418" s="90" t="s">
        <v>1245</v>
      </c>
      <c r="AR418" s="24" t="s">
        <v>254</v>
      </c>
      <c r="AS418" s="90">
        <v>2585696</v>
      </c>
      <c r="AT418" s="24" t="s">
        <v>186</v>
      </c>
      <c r="AU418" s="90" t="s">
        <v>85</v>
      </c>
      <c r="AV418" s="90" t="str">
        <f>IF(ISNUMBER(SEARCH("disagree",AE418)),"N","Y")</f>
        <v>Y</v>
      </c>
      <c r="AW418" s="90">
        <v>85758</v>
      </c>
      <c r="AX418" s="24" t="s">
        <v>811</v>
      </c>
      <c r="AY418" s="90" t="str">
        <f>CONCATENATE(AZ418,BA418,BB418,BC418)</f>
        <v>RM</v>
      </c>
      <c r="AZ418" s="90" t="str">
        <f>IF(ISNUMBER(SEARCH("Y",AC418)),"R","")</f>
        <v>R</v>
      </c>
      <c r="BA418" s="90" t="str">
        <f>IF(ISNUMBER(SEARCH("Y",Y418)),"M","")</f>
        <v>M</v>
      </c>
      <c r="BB418" s="90" t="str">
        <f>IF(ISNUMBER(SEARCH("Y",AB418)),"QC","")</f>
        <v/>
      </c>
      <c r="BC418" s="90" t="str">
        <f>IF(ISNUMBER(SEARCH("Y",Z418)),"S","")</f>
        <v/>
      </c>
      <c r="BD418" s="90"/>
      <c r="BE418" s="24" t="s">
        <v>812</v>
      </c>
      <c r="BF418" s="125" t="str">
        <f>IF(AND(AW418&gt;=56543,AW418&lt;=76543,LEN(AW418)&gt;0),"3 Feb 2020",IF(AND(AW418&gt;=66544,AW418&lt;=99999,LEN(AW418)&gt;0),"12 Sep 2020",""))</f>
        <v>12 Sep 2020</v>
      </c>
      <c r="BG418" s="125" t="str">
        <f>IF((AND(BF418="3 Feb 2020",LEN(BF418)&gt;0)),"Completed",IF((AND(BF418="12 Sep 2020",LEN(BF418)&gt;0)),"Pending",""))</f>
        <v>Pending</v>
      </c>
      <c r="BH418" s="90" t="str">
        <f>IF((AND(BF418="3 Feb 2020",LEN(BF418)&gt;0)),"3 Feb 2020","")</f>
        <v/>
      </c>
      <c r="BI418" s="90">
        <v>216140</v>
      </c>
      <c r="BJ418" s="90" t="str">
        <f>L418</f>
        <v>7D22CT90835-94</v>
      </c>
      <c r="BK418" s="127">
        <v>43508</v>
      </c>
      <c r="BL418" s="127">
        <v>44239</v>
      </c>
      <c r="BM418" s="128">
        <f>P418*1.1</f>
        <v>223321340.00000003</v>
      </c>
      <c r="BN418" s="129">
        <f>P418*0.9</f>
        <v>182717460</v>
      </c>
      <c r="BO418" s="130">
        <f>P418*0.8</f>
        <v>162415520</v>
      </c>
      <c r="BP418" s="90">
        <f>IF(Z418="Y",BM418*0.4,BM418*1.05)</f>
        <v>234487407.00000003</v>
      </c>
      <c r="BQ418" s="90">
        <f>BP418*0.8</f>
        <v>187589925.60000002</v>
      </c>
      <c r="BR418" s="90" t="str">
        <f>IF(ISNUMBER(SEARCH("subrecipient",AI414)),P418*0.6,"")</f>
        <v/>
      </c>
      <c r="BS418" s="90">
        <v>216140</v>
      </c>
      <c r="BT418" s="90" t="str">
        <f>BJ418</f>
        <v>7D22CT90835-94</v>
      </c>
      <c r="BU418" s="127">
        <f>BK418</f>
        <v>43508</v>
      </c>
      <c r="BV418" s="127">
        <f>BL418</f>
        <v>44239</v>
      </c>
      <c r="BW418" s="90" t="str">
        <f>H418</f>
        <v>FDA</v>
      </c>
      <c r="BX418" s="90" t="str">
        <f>IF(H418="NATIONAL HEMOPHILIA FOUNDATION","Non Federal","Federal")</f>
        <v>Federal</v>
      </c>
      <c r="BY418" s="128">
        <f>BM418</f>
        <v>223321340.00000003</v>
      </c>
      <c r="BZ418" s="90" t="str">
        <f>IF(LEN(BR418)&gt;0,1,"")</f>
        <v/>
      </c>
      <c r="CA418" s="90" t="str">
        <f>IF(LEN(BR418)&gt;0,"VIRAL HEPATITIS PROJECT","")</f>
        <v/>
      </c>
      <c r="CB418" s="129" t="str">
        <f>IF(LEN(BR418)&gt;0,BM418*0.7,"")</f>
        <v/>
      </c>
      <c r="CC418" s="90">
        <f>BP418</f>
        <v>234487407.00000003</v>
      </c>
      <c r="CD418" s="90" t="str">
        <f>IF(LEN(BR418)&gt;0,"70%","")</f>
        <v/>
      </c>
      <c r="CE418" s="90">
        <f>BS418</f>
        <v>216140</v>
      </c>
      <c r="CF418" s="90" t="str">
        <f>CA418</f>
        <v/>
      </c>
      <c r="CG418" s="90"/>
      <c r="CH418" s="90"/>
      <c r="CI418" s="90"/>
      <c r="CJ418" s="90"/>
      <c r="CK418" s="90"/>
      <c r="CL418" s="90"/>
      <c r="CM418" s="90"/>
      <c r="CN418" s="90"/>
      <c r="CO418" s="90"/>
      <c r="CP418" s="90"/>
      <c r="CQ418" s="90"/>
      <c r="CR418" s="90"/>
      <c r="CS418" s="90"/>
      <c r="CT418" s="137"/>
    </row>
    <row r="419" spans="1:98" ht="90">
      <c r="A419" s="89">
        <v>216274</v>
      </c>
      <c r="B419" s="90">
        <v>2020</v>
      </c>
      <c r="C419" s="90" t="s">
        <v>81</v>
      </c>
      <c r="D419" s="90" t="s">
        <v>1252</v>
      </c>
      <c r="E419" s="125" t="s">
        <v>780</v>
      </c>
      <c r="F419" s="24" t="s">
        <v>1253</v>
      </c>
      <c r="G419" s="90" t="s">
        <v>85</v>
      </c>
      <c r="H419" s="90" t="s">
        <v>150</v>
      </c>
      <c r="I419" s="90">
        <v>93</v>
      </c>
      <c r="J419" s="90">
        <v>157</v>
      </c>
      <c r="K419" s="90" t="s">
        <v>85</v>
      </c>
      <c r="L419" s="90" t="s">
        <v>1254</v>
      </c>
      <c r="M419" s="90" t="s">
        <v>119</v>
      </c>
      <c r="N419" s="24" t="s">
        <v>243</v>
      </c>
      <c r="O419" s="24" t="str">
        <f>IF(ISNUMBER(SEARCH("Cancer",N419)),"Cancer",IF(ISNUMBER(SEARCH("health",N419)),"Public health",IF(ISNUMBER(SEARCH("disabilities",N419)),"Disabilities","Other")))</f>
        <v>Other</v>
      </c>
      <c r="P419" s="126">
        <v>2330779</v>
      </c>
      <c r="Q419" s="90" t="s">
        <v>85</v>
      </c>
      <c r="R419" s="90" t="str">
        <f>IF(P419&gt;20000000,"B","A")</f>
        <v>A</v>
      </c>
      <c r="S419" s="90" t="s">
        <v>90</v>
      </c>
      <c r="T419" s="90" t="s">
        <v>119</v>
      </c>
      <c r="U419" s="90" t="s">
        <v>119</v>
      </c>
      <c r="V419" s="90" t="s">
        <v>119</v>
      </c>
      <c r="W419" s="90" t="s">
        <v>119</v>
      </c>
      <c r="X419" s="90" t="s">
        <v>119</v>
      </c>
      <c r="Y419" s="90" t="s">
        <v>119</v>
      </c>
      <c r="Z419" s="90" t="s">
        <v>119</v>
      </c>
      <c r="AA419" s="90" t="s">
        <v>119</v>
      </c>
      <c r="AB419" s="90" t="s">
        <v>119</v>
      </c>
      <c r="AC419" s="90" t="s">
        <v>119</v>
      </c>
      <c r="AD419" s="90" t="s">
        <v>119</v>
      </c>
      <c r="AE419" s="24">
        <v>0</v>
      </c>
      <c r="AF419" s="90">
        <v>0</v>
      </c>
      <c r="AG419" s="24">
        <v>0</v>
      </c>
      <c r="AH419" s="90">
        <v>87402</v>
      </c>
      <c r="AI419" s="24" t="s">
        <v>94</v>
      </c>
      <c r="AJ419" s="24" t="s">
        <v>448</v>
      </c>
      <c r="AK419" s="90" t="s">
        <v>85</v>
      </c>
      <c r="AL419" s="90">
        <v>216274</v>
      </c>
      <c r="AM419" s="90" t="s">
        <v>81</v>
      </c>
      <c r="AN419" s="90" t="s">
        <v>1252</v>
      </c>
      <c r="AO419" s="125" t="s">
        <v>780</v>
      </c>
      <c r="AP419" s="24" t="s">
        <v>243</v>
      </c>
      <c r="AQ419" s="90" t="s">
        <v>1254</v>
      </c>
      <c r="AR419" s="24" t="s">
        <v>243</v>
      </c>
      <c r="AS419" s="90" t="s">
        <v>119</v>
      </c>
      <c r="AT419" s="24" t="s">
        <v>94</v>
      </c>
      <c r="AU419" s="90" t="s">
        <v>119</v>
      </c>
      <c r="AV419" s="90" t="str">
        <f>IF(ISNUMBER(SEARCH("disagree",AE419)),"N","Y")</f>
        <v>Y</v>
      </c>
      <c r="AW419" s="90" t="s">
        <v>119</v>
      </c>
      <c r="AX419" s="24" t="s">
        <v>119</v>
      </c>
      <c r="AY419" s="90" t="str">
        <f>CONCATENATE(AZ419,BA419,BB419,BC419)</f>
        <v/>
      </c>
      <c r="AZ419" s="90" t="str">
        <f>IF(ISNUMBER(SEARCH("Y",AC419)),"R","")</f>
        <v/>
      </c>
      <c r="BA419" s="90" t="str">
        <f>IF(ISNUMBER(SEARCH("Y",Y419)),"M","")</f>
        <v/>
      </c>
      <c r="BB419" s="90" t="str">
        <f>IF(ISNUMBER(SEARCH("Y",AB419)),"QC","")</f>
        <v/>
      </c>
      <c r="BC419" s="90" t="str">
        <f>IF(ISNUMBER(SEARCH("Y",Z419)),"S","")</f>
        <v/>
      </c>
      <c r="BD419" s="90"/>
      <c r="BE419" s="24" t="s">
        <v>119</v>
      </c>
      <c r="BF419" s="125" t="str">
        <f>IF(AND(AW419&gt;=56543,AW419&lt;=76543,LEN(AW419)&gt;0),"3 Feb 2020",IF(AND(AW419&gt;=66544,AW419&lt;=99999,LEN(AW419)&gt;0),"12 Sep 2020",""))</f>
        <v/>
      </c>
      <c r="BG419" s="125" t="str">
        <f>IF((AND(BF419="3 Feb 2020",LEN(BF419)&gt;0)),"Completed",IF((AND(BF419="12 Sep 2020",LEN(BF419)&gt;0)),"Pending",""))</f>
        <v/>
      </c>
      <c r="BH419" s="90" t="str">
        <f>IF((AND(BF419="3 Feb 2020",LEN(BF419)&gt;0)),"3 Feb 2020","")</f>
        <v/>
      </c>
      <c r="BI419" s="90">
        <v>216274</v>
      </c>
      <c r="BJ419" s="90" t="str">
        <f>L419</f>
        <v>9D59ET87404-21</v>
      </c>
      <c r="BK419" s="127">
        <v>43508</v>
      </c>
      <c r="BL419" s="127">
        <v>44239</v>
      </c>
      <c r="BM419" s="128">
        <f>P419*1.1</f>
        <v>2563856.9000000004</v>
      </c>
      <c r="BN419" s="129">
        <f>P419*0.9</f>
        <v>2097701.1</v>
      </c>
      <c r="BO419" s="130">
        <f>P419*0.8</f>
        <v>1864623.2000000002</v>
      </c>
      <c r="BP419" s="90">
        <f>IF(Z419="Y",BM419*0.4,BM419*1.05)</f>
        <v>2692049.7450000006</v>
      </c>
      <c r="BQ419" s="90">
        <f>BP419*0.8</f>
        <v>2153639.7960000006</v>
      </c>
      <c r="BR419" s="90" t="str">
        <f>IF(ISNUMBER(SEARCH("subrecipient",AI415)),P419*0.6,"")</f>
        <v/>
      </c>
      <c r="BS419" s="90">
        <v>216274</v>
      </c>
      <c r="BT419" s="90" t="str">
        <f>BJ419</f>
        <v>9D59ET87404-21</v>
      </c>
      <c r="BU419" s="127">
        <f>BK419</f>
        <v>43508</v>
      </c>
      <c r="BV419" s="127">
        <f>BL419</f>
        <v>44239</v>
      </c>
      <c r="BW419" s="90" t="str">
        <f>H419</f>
        <v>ACF</v>
      </c>
      <c r="BX419" s="90" t="str">
        <f>IF(H419="NATIONAL HEMOPHILIA FOUNDATION","Non Federal","Federal")</f>
        <v>Federal</v>
      </c>
      <c r="BY419" s="128">
        <f>BM419</f>
        <v>2563856.9000000004</v>
      </c>
      <c r="BZ419" s="90" t="str">
        <f>IF(LEN(BR419)&gt;0,1,"")</f>
        <v/>
      </c>
      <c r="CA419" s="90" t="str">
        <f>IF(LEN(BR419)&gt;0,"VIRAL HEPATITIS PROJECT","")</f>
        <v/>
      </c>
      <c r="CB419" s="129" t="str">
        <f>IF(LEN(BR419)&gt;0,BM419*0.7,"")</f>
        <v/>
      </c>
      <c r="CC419" s="90">
        <f>BP419</f>
        <v>2692049.7450000006</v>
      </c>
      <c r="CD419" s="90" t="str">
        <f>IF(LEN(BR419)&gt;0,"70%","")</f>
        <v/>
      </c>
      <c r="CE419" s="90">
        <f>BS419</f>
        <v>216274</v>
      </c>
      <c r="CF419" s="90" t="str">
        <f>CA419</f>
        <v/>
      </c>
      <c r="CG419" s="90"/>
      <c r="CH419" s="90"/>
      <c r="CI419" s="90"/>
      <c r="CJ419" s="90"/>
      <c r="CK419" s="90"/>
      <c r="CL419" s="90"/>
      <c r="CM419" s="90"/>
      <c r="CN419" s="90"/>
      <c r="CO419" s="90"/>
      <c r="CP419" s="90"/>
      <c r="CQ419" s="90"/>
      <c r="CR419" s="90"/>
      <c r="CS419" s="90"/>
      <c r="CT419" s="137"/>
    </row>
    <row r="420" spans="1:98" ht="90">
      <c r="A420" s="89">
        <v>216274</v>
      </c>
      <c r="B420" s="90">
        <v>2020</v>
      </c>
      <c r="C420" s="90" t="s">
        <v>81</v>
      </c>
      <c r="D420" s="90" t="s">
        <v>1252</v>
      </c>
      <c r="E420" s="125" t="s">
        <v>781</v>
      </c>
      <c r="F420" s="24" t="s">
        <v>1253</v>
      </c>
      <c r="G420" s="90" t="s">
        <v>85</v>
      </c>
      <c r="H420" s="90" t="s">
        <v>150</v>
      </c>
      <c r="I420" s="90">
        <v>93</v>
      </c>
      <c r="J420" s="90">
        <v>157</v>
      </c>
      <c r="K420" s="90" t="s">
        <v>85</v>
      </c>
      <c r="L420" s="90" t="s">
        <v>1254</v>
      </c>
      <c r="M420" s="90" t="s">
        <v>119</v>
      </c>
      <c r="N420" s="24" t="s">
        <v>243</v>
      </c>
      <c r="O420" s="24" t="str">
        <f>IF(ISNUMBER(SEARCH("Cancer",N420)),"Cancer",IF(ISNUMBER(SEARCH("health",N420)),"Public health",IF(ISNUMBER(SEARCH("disabilities",N420)),"Disabilities","Other")))</f>
        <v>Other</v>
      </c>
      <c r="P420" s="126">
        <v>2330779</v>
      </c>
      <c r="Q420" s="90" t="s">
        <v>85</v>
      </c>
      <c r="R420" s="90" t="str">
        <f>IF(P420&gt;20000000,"B","A")</f>
        <v>A</v>
      </c>
      <c r="S420" s="90" t="s">
        <v>90</v>
      </c>
      <c r="T420" s="90" t="s">
        <v>119</v>
      </c>
      <c r="U420" s="90" t="s">
        <v>119</v>
      </c>
      <c r="V420" s="90" t="s">
        <v>119</v>
      </c>
      <c r="W420" s="90" t="s">
        <v>119</v>
      </c>
      <c r="X420" s="90" t="s">
        <v>119</v>
      </c>
      <c r="Y420" s="90" t="s">
        <v>119</v>
      </c>
      <c r="Z420" s="90" t="s">
        <v>119</v>
      </c>
      <c r="AA420" s="90" t="s">
        <v>119</v>
      </c>
      <c r="AB420" s="90" t="s">
        <v>119</v>
      </c>
      <c r="AC420" s="90" t="s">
        <v>119</v>
      </c>
      <c r="AD420" s="90" t="s">
        <v>119</v>
      </c>
      <c r="AE420" s="24">
        <v>0</v>
      </c>
      <c r="AF420" s="90">
        <v>0</v>
      </c>
      <c r="AG420" s="24">
        <v>0</v>
      </c>
      <c r="AH420" s="90">
        <v>87404</v>
      </c>
      <c r="AI420" s="24" t="s">
        <v>102</v>
      </c>
      <c r="AJ420" s="24" t="s">
        <v>103</v>
      </c>
      <c r="AK420" s="90" t="s">
        <v>85</v>
      </c>
      <c r="AL420" s="90">
        <v>216274</v>
      </c>
      <c r="AM420" s="90" t="s">
        <v>81</v>
      </c>
      <c r="AN420" s="90" t="s">
        <v>1252</v>
      </c>
      <c r="AO420" s="125" t="s">
        <v>781</v>
      </c>
      <c r="AP420" s="24" t="s">
        <v>243</v>
      </c>
      <c r="AQ420" s="90" t="s">
        <v>1254</v>
      </c>
      <c r="AR420" s="24" t="s">
        <v>243</v>
      </c>
      <c r="AS420" s="90" t="s">
        <v>119</v>
      </c>
      <c r="AT420" s="24" t="s">
        <v>102</v>
      </c>
      <c r="AU420" s="90" t="s">
        <v>119</v>
      </c>
      <c r="AV420" s="90" t="str">
        <f>IF(ISNUMBER(SEARCH("disagree",AE420)),"N","Y")</f>
        <v>Y</v>
      </c>
      <c r="AW420" s="90" t="s">
        <v>119</v>
      </c>
      <c r="AX420" s="24" t="s">
        <v>119</v>
      </c>
      <c r="AY420" s="90" t="str">
        <f>CONCATENATE(AZ420,BA420,BB420,BC420)</f>
        <v/>
      </c>
      <c r="AZ420" s="90" t="str">
        <f>IF(ISNUMBER(SEARCH("Y",AC420)),"R","")</f>
        <v/>
      </c>
      <c r="BA420" s="90" t="str">
        <f>IF(ISNUMBER(SEARCH("Y",Y420)),"M","")</f>
        <v/>
      </c>
      <c r="BB420" s="90" t="str">
        <f>IF(ISNUMBER(SEARCH("Y",AB420)),"QC","")</f>
        <v/>
      </c>
      <c r="BC420" s="90" t="str">
        <f>IF(ISNUMBER(SEARCH("Y",Z420)),"S","")</f>
        <v/>
      </c>
      <c r="BD420" s="90"/>
      <c r="BE420" s="24" t="s">
        <v>119</v>
      </c>
      <c r="BF420" s="125" t="str">
        <f>IF(AND(AW420&gt;=56543,AW420&lt;=76543,LEN(AW420)&gt;0),"3 Feb 2020",IF(AND(AW420&gt;=66544,AW420&lt;=99999,LEN(AW420)&gt;0),"12 Sep 2020",""))</f>
        <v/>
      </c>
      <c r="BG420" s="125" t="str">
        <f>IF((AND(BF420="3 Feb 2020",LEN(BF420)&gt;0)),"Completed",IF((AND(BF420="12 Sep 2020",LEN(BF420)&gt;0)),"Pending",""))</f>
        <v/>
      </c>
      <c r="BH420" s="90" t="str">
        <f>IF((AND(BF420="3 Feb 2020",LEN(BF420)&gt;0)),"3 Feb 2020","")</f>
        <v/>
      </c>
      <c r="BI420" s="90">
        <v>216274</v>
      </c>
      <c r="BJ420" s="90" t="str">
        <f>L420</f>
        <v>9D59ET87404-21</v>
      </c>
      <c r="BK420" s="127">
        <v>43508</v>
      </c>
      <c r="BL420" s="127">
        <v>44239</v>
      </c>
      <c r="BM420" s="128">
        <f>P420*1.1</f>
        <v>2563856.9000000004</v>
      </c>
      <c r="BN420" s="129">
        <f>P420*0.9</f>
        <v>2097701.1</v>
      </c>
      <c r="BO420" s="130">
        <f>P420*0.8</f>
        <v>1864623.2000000002</v>
      </c>
      <c r="BP420" s="90">
        <f>IF(Z420="Y",BM420*0.4,BM420*1.05)</f>
        <v>2692049.7450000006</v>
      </c>
      <c r="BQ420" s="90">
        <f>BP420*0.8</f>
        <v>2153639.7960000006</v>
      </c>
      <c r="BR420" s="90" t="str">
        <f>IF(ISNUMBER(SEARCH("subrecipient",AI416)),P420*0.6,"")</f>
        <v/>
      </c>
      <c r="BS420" s="90">
        <v>216274</v>
      </c>
      <c r="BT420" s="90" t="str">
        <f>BJ420</f>
        <v>9D59ET87404-21</v>
      </c>
      <c r="BU420" s="127">
        <f>BK420</f>
        <v>43508</v>
      </c>
      <c r="BV420" s="127">
        <f>BL420</f>
        <v>44239</v>
      </c>
      <c r="BW420" s="90" t="str">
        <f>H420</f>
        <v>ACF</v>
      </c>
      <c r="BX420" s="90" t="str">
        <f>IF(H420="NATIONAL HEMOPHILIA FOUNDATION","Non Federal","Federal")</f>
        <v>Federal</v>
      </c>
      <c r="BY420" s="128">
        <f>BM420</f>
        <v>2563856.9000000004</v>
      </c>
      <c r="BZ420" s="90" t="str">
        <f>IF(LEN(BR420)&gt;0,1,"")</f>
        <v/>
      </c>
      <c r="CA420" s="90" t="str">
        <f>IF(LEN(BR420)&gt;0,"VIRAL HEPATITIS PROJECT","")</f>
        <v/>
      </c>
      <c r="CB420" s="129" t="str">
        <f>IF(LEN(BR420)&gt;0,BM420*0.7,"")</f>
        <v/>
      </c>
      <c r="CC420" s="90">
        <f>BP420</f>
        <v>2692049.7450000006</v>
      </c>
      <c r="CD420" s="90" t="str">
        <f>IF(LEN(BR420)&gt;0,"70%","")</f>
        <v/>
      </c>
      <c r="CE420" s="90">
        <f>BS420</f>
        <v>216274</v>
      </c>
      <c r="CF420" s="90" t="str">
        <f>CA420</f>
        <v/>
      </c>
      <c r="CG420" s="90"/>
      <c r="CH420" s="90"/>
      <c r="CI420" s="90"/>
      <c r="CJ420" s="90"/>
      <c r="CK420" s="90"/>
      <c r="CL420" s="90"/>
      <c r="CM420" s="90"/>
      <c r="CN420" s="90"/>
      <c r="CO420" s="90"/>
      <c r="CP420" s="90"/>
      <c r="CQ420" s="90"/>
      <c r="CR420" s="90"/>
      <c r="CS420" s="90"/>
      <c r="CT420" s="137"/>
    </row>
    <row r="421" spans="1:98" ht="90">
      <c r="A421" s="89">
        <v>216274</v>
      </c>
      <c r="B421" s="90">
        <v>2020</v>
      </c>
      <c r="C421" s="90" t="s">
        <v>81</v>
      </c>
      <c r="D421" s="90" t="s">
        <v>1252</v>
      </c>
      <c r="E421" s="125" t="s">
        <v>784</v>
      </c>
      <c r="F421" s="24" t="s">
        <v>1253</v>
      </c>
      <c r="G421" s="90" t="s">
        <v>85</v>
      </c>
      <c r="H421" s="90" t="s">
        <v>150</v>
      </c>
      <c r="I421" s="90">
        <v>93</v>
      </c>
      <c r="J421" s="90">
        <v>157</v>
      </c>
      <c r="K421" s="90" t="s">
        <v>85</v>
      </c>
      <c r="L421" s="90" t="s">
        <v>1254</v>
      </c>
      <c r="M421" s="90" t="s">
        <v>119</v>
      </c>
      <c r="N421" s="24" t="s">
        <v>243</v>
      </c>
      <c r="O421" s="24" t="str">
        <f>IF(ISNUMBER(SEARCH("Cancer",N421)),"Cancer",IF(ISNUMBER(SEARCH("health",N421)),"Public health",IF(ISNUMBER(SEARCH("disabilities",N421)),"Disabilities","Other")))</f>
        <v>Other</v>
      </c>
      <c r="P421" s="126">
        <v>2330779</v>
      </c>
      <c r="Q421" s="90" t="s">
        <v>85</v>
      </c>
      <c r="R421" s="90" t="str">
        <f>IF(P421&gt;20000000,"B","A")</f>
        <v>A</v>
      </c>
      <c r="S421" s="90" t="s">
        <v>90</v>
      </c>
      <c r="T421" s="90" t="s">
        <v>119</v>
      </c>
      <c r="U421" s="90" t="s">
        <v>119</v>
      </c>
      <c r="V421" s="90" t="s">
        <v>119</v>
      </c>
      <c r="W421" s="90" t="s">
        <v>119</v>
      </c>
      <c r="X421" s="90" t="s">
        <v>119</v>
      </c>
      <c r="Y421" s="90" t="s">
        <v>119</v>
      </c>
      <c r="Z421" s="90" t="s">
        <v>119</v>
      </c>
      <c r="AA421" s="90" t="s">
        <v>119</v>
      </c>
      <c r="AB421" s="90" t="s">
        <v>119</v>
      </c>
      <c r="AC421" s="90" t="s">
        <v>119</v>
      </c>
      <c r="AD421" s="90" t="s">
        <v>119</v>
      </c>
      <c r="AE421" s="24">
        <v>0</v>
      </c>
      <c r="AF421" s="90">
        <v>0</v>
      </c>
      <c r="AG421" s="24">
        <v>0</v>
      </c>
      <c r="AH421" s="90">
        <v>87403</v>
      </c>
      <c r="AI421" s="24" t="s">
        <v>110</v>
      </c>
      <c r="AJ421" s="24" t="s">
        <v>1255</v>
      </c>
      <c r="AK421" s="90" t="s">
        <v>85</v>
      </c>
      <c r="AL421" s="90">
        <v>216274</v>
      </c>
      <c r="AM421" s="90" t="s">
        <v>81</v>
      </c>
      <c r="AN421" s="90" t="s">
        <v>1252</v>
      </c>
      <c r="AO421" s="125" t="s">
        <v>784</v>
      </c>
      <c r="AP421" s="24" t="s">
        <v>243</v>
      </c>
      <c r="AQ421" s="90" t="s">
        <v>1254</v>
      </c>
      <c r="AR421" s="24" t="s">
        <v>243</v>
      </c>
      <c r="AS421" s="90" t="s">
        <v>119</v>
      </c>
      <c r="AT421" s="24" t="s">
        <v>110</v>
      </c>
      <c r="AU421" s="90" t="s">
        <v>119</v>
      </c>
      <c r="AV421" s="90" t="str">
        <f>IF(ISNUMBER(SEARCH("disagree",AE421)),"N","Y")</f>
        <v>Y</v>
      </c>
      <c r="AW421" s="90" t="s">
        <v>119</v>
      </c>
      <c r="AX421" s="24" t="s">
        <v>119</v>
      </c>
      <c r="AY421" s="90" t="str">
        <f>CONCATENATE(AZ421,BA421,BB421,BC421)</f>
        <v/>
      </c>
      <c r="AZ421" s="90" t="str">
        <f>IF(ISNUMBER(SEARCH("Y",AC421)),"R","")</f>
        <v/>
      </c>
      <c r="BA421" s="90" t="str">
        <f>IF(ISNUMBER(SEARCH("Y",Y421)),"M","")</f>
        <v/>
      </c>
      <c r="BB421" s="90" t="str">
        <f>IF(ISNUMBER(SEARCH("Y",AB421)),"QC","")</f>
        <v/>
      </c>
      <c r="BC421" s="90" t="str">
        <f>IF(ISNUMBER(SEARCH("Y",Z421)),"S","")</f>
        <v/>
      </c>
      <c r="BD421" s="90"/>
      <c r="BE421" s="24" t="s">
        <v>119</v>
      </c>
      <c r="BF421" s="125" t="str">
        <f>IF(AND(AW421&gt;=56543,AW421&lt;=76543,LEN(AW421)&gt;0),"3 Feb 2020",IF(AND(AW421&gt;=66544,AW421&lt;=99999,LEN(AW421)&gt;0),"12 Sep 2020",""))</f>
        <v/>
      </c>
      <c r="BG421" s="125" t="str">
        <f>IF((AND(BF421="3 Feb 2020",LEN(BF421)&gt;0)),"Completed",IF((AND(BF421="12 Sep 2020",LEN(BF421)&gt;0)),"Pending",""))</f>
        <v/>
      </c>
      <c r="BH421" s="90" t="str">
        <f>IF((AND(BF421="3 Feb 2020",LEN(BF421)&gt;0)),"3 Feb 2020","")</f>
        <v/>
      </c>
      <c r="BI421" s="90">
        <v>216274</v>
      </c>
      <c r="BJ421" s="90" t="str">
        <f>L421</f>
        <v>9D59ET87404-21</v>
      </c>
      <c r="BK421" s="127">
        <v>43508</v>
      </c>
      <c r="BL421" s="127">
        <v>44239</v>
      </c>
      <c r="BM421" s="128">
        <f>P421*1.1</f>
        <v>2563856.9000000004</v>
      </c>
      <c r="BN421" s="129">
        <f>P421*0.9</f>
        <v>2097701.1</v>
      </c>
      <c r="BO421" s="130">
        <f>P421*0.8</f>
        <v>1864623.2000000002</v>
      </c>
      <c r="BP421" s="90">
        <f>IF(Z421="Y",BM421*0.4,BM421*1.05)</f>
        <v>2692049.7450000006</v>
      </c>
      <c r="BQ421" s="90">
        <f>BP421*0.8</f>
        <v>2153639.7960000006</v>
      </c>
      <c r="BR421" s="90" t="str">
        <f>IF(ISNUMBER(SEARCH("subrecipient",AI417)),P421*0.6,"")</f>
        <v/>
      </c>
      <c r="BS421" s="90">
        <v>216274</v>
      </c>
      <c r="BT421" s="90" t="str">
        <f>BJ421</f>
        <v>9D59ET87404-21</v>
      </c>
      <c r="BU421" s="127">
        <f>BK421</f>
        <v>43508</v>
      </c>
      <c r="BV421" s="127">
        <f>BL421</f>
        <v>44239</v>
      </c>
      <c r="BW421" s="90" t="str">
        <f>H421</f>
        <v>ACF</v>
      </c>
      <c r="BX421" s="90" t="str">
        <f>IF(H421="NATIONAL HEMOPHILIA FOUNDATION","Non Federal","Federal")</f>
        <v>Federal</v>
      </c>
      <c r="BY421" s="128">
        <f>BM421</f>
        <v>2563856.9000000004</v>
      </c>
      <c r="BZ421" s="90" t="str">
        <f>IF(LEN(BR421)&gt;0,1,"")</f>
        <v/>
      </c>
      <c r="CA421" s="90" t="str">
        <f>IF(LEN(BR421)&gt;0,"VIRAL HEPATITIS PROJECT","")</f>
        <v/>
      </c>
      <c r="CB421" s="129" t="str">
        <f>IF(LEN(BR421)&gt;0,BM421*0.7,"")</f>
        <v/>
      </c>
      <c r="CC421" s="90">
        <f>BP421</f>
        <v>2692049.7450000006</v>
      </c>
      <c r="CD421" s="90" t="str">
        <f>IF(LEN(BR421)&gt;0,"70%","")</f>
        <v/>
      </c>
      <c r="CE421" s="90">
        <f>BS421</f>
        <v>216274</v>
      </c>
      <c r="CF421" s="90" t="str">
        <f>CA421</f>
        <v/>
      </c>
      <c r="CG421" s="90"/>
      <c r="CH421" s="90"/>
      <c r="CI421" s="90"/>
      <c r="CJ421" s="90"/>
      <c r="CK421" s="90"/>
      <c r="CL421" s="90"/>
      <c r="CM421" s="90"/>
      <c r="CN421" s="90"/>
      <c r="CO421" s="90"/>
      <c r="CP421" s="90"/>
      <c r="CQ421" s="90"/>
      <c r="CR421" s="90"/>
      <c r="CS421" s="90"/>
      <c r="CT421" s="137"/>
    </row>
    <row r="422" spans="1:98" ht="75">
      <c r="A422" s="89">
        <v>217746</v>
      </c>
      <c r="B422" s="90">
        <v>2020</v>
      </c>
      <c r="C422" s="90" t="s">
        <v>81</v>
      </c>
      <c r="D422" s="90" t="s">
        <v>1256</v>
      </c>
      <c r="E422" s="125" t="s">
        <v>790</v>
      </c>
      <c r="F422" s="24" t="s">
        <v>1257</v>
      </c>
      <c r="G422" s="90" t="s">
        <v>85</v>
      </c>
      <c r="H422" s="90" t="s">
        <v>86</v>
      </c>
      <c r="I422" s="90">
        <v>93</v>
      </c>
      <c r="J422" s="90">
        <v>157</v>
      </c>
      <c r="K422" s="90" t="s">
        <v>85</v>
      </c>
      <c r="L422" s="90" t="s">
        <v>1258</v>
      </c>
      <c r="M422" s="90" t="s">
        <v>119</v>
      </c>
      <c r="N422" s="24" t="s">
        <v>1211</v>
      </c>
      <c r="O422" s="24" t="str">
        <f>IF(ISNUMBER(SEARCH("Cancer",N422)),"Cancer",IF(ISNUMBER(SEARCH("health",N422)),"Public health",IF(ISNUMBER(SEARCH("disabilities",N422)),"Disabilities","Other")))</f>
        <v>Other</v>
      </c>
      <c r="P422" s="126">
        <v>2484461</v>
      </c>
      <c r="Q422" s="90" t="s">
        <v>85</v>
      </c>
      <c r="R422" s="90" t="str">
        <f>IF(P422&gt;20000000,"B","A")</f>
        <v>A</v>
      </c>
      <c r="S422" s="90" t="s">
        <v>90</v>
      </c>
      <c r="T422" s="90" t="s">
        <v>119</v>
      </c>
      <c r="U422" s="90" t="s">
        <v>119</v>
      </c>
      <c r="V422" s="90" t="s">
        <v>119</v>
      </c>
      <c r="W422" s="90" t="s">
        <v>119</v>
      </c>
      <c r="X422" s="90" t="s">
        <v>119</v>
      </c>
      <c r="Y422" s="90" t="s">
        <v>119</v>
      </c>
      <c r="Z422" s="90" t="s">
        <v>119</v>
      </c>
      <c r="AA422" s="90" t="s">
        <v>119</v>
      </c>
      <c r="AB422" s="90" t="s">
        <v>119</v>
      </c>
      <c r="AC422" s="90" t="s">
        <v>119</v>
      </c>
      <c r="AD422" s="90" t="s">
        <v>119</v>
      </c>
      <c r="AE422" s="24">
        <v>0</v>
      </c>
      <c r="AF422" s="90">
        <v>0</v>
      </c>
      <c r="AG422" s="24">
        <v>0</v>
      </c>
      <c r="AH422" s="90">
        <v>83133</v>
      </c>
      <c r="AI422" s="24" t="s">
        <v>94</v>
      </c>
      <c r="AJ422" s="24" t="s">
        <v>1259</v>
      </c>
      <c r="AK422" s="90" t="s">
        <v>85</v>
      </c>
      <c r="AL422" s="90">
        <v>217746</v>
      </c>
      <c r="AM422" s="90" t="s">
        <v>81</v>
      </c>
      <c r="AN422" s="90" t="s">
        <v>1256</v>
      </c>
      <c r="AO422" s="125" t="s">
        <v>790</v>
      </c>
      <c r="AP422" s="24" t="s">
        <v>1211</v>
      </c>
      <c r="AQ422" s="90" t="s">
        <v>1258</v>
      </c>
      <c r="AR422" s="24" t="s">
        <v>1211</v>
      </c>
      <c r="AS422" s="90" t="s">
        <v>119</v>
      </c>
      <c r="AT422" s="24" t="s">
        <v>94</v>
      </c>
      <c r="AU422" s="90" t="s">
        <v>119</v>
      </c>
      <c r="AV422" s="90" t="str">
        <f>IF(ISNUMBER(SEARCH("disagree",AE422)),"N","Y")</f>
        <v>Y</v>
      </c>
      <c r="AW422" s="90" t="s">
        <v>119</v>
      </c>
      <c r="AX422" s="24" t="s">
        <v>119</v>
      </c>
      <c r="AY422" s="90" t="str">
        <f>CONCATENATE(AZ422,BA422,BB422,BC422)</f>
        <v/>
      </c>
      <c r="AZ422" s="90" t="str">
        <f>IF(ISNUMBER(SEARCH("Y",AC422)),"R","")</f>
        <v/>
      </c>
      <c r="BA422" s="90" t="str">
        <f>IF(ISNUMBER(SEARCH("Y",Y422)),"M","")</f>
        <v/>
      </c>
      <c r="BB422" s="90" t="str">
        <f>IF(ISNUMBER(SEARCH("Y",AB422)),"QC","")</f>
        <v/>
      </c>
      <c r="BC422" s="90" t="str">
        <f>IF(ISNUMBER(SEARCH("Y",Z422)),"S","")</f>
        <v/>
      </c>
      <c r="BD422" s="90"/>
      <c r="BE422" s="24" t="s">
        <v>119</v>
      </c>
      <c r="BF422" s="125" t="str">
        <f>IF(AND(AW422&gt;=56543,AW422&lt;=76543,LEN(AW422)&gt;0),"3 Feb 2020",IF(AND(AW422&gt;=66544,AW422&lt;=99999,LEN(AW422)&gt;0),"12 Sep 2020",""))</f>
        <v/>
      </c>
      <c r="BG422" s="125" t="str">
        <f>IF((AND(BF422="3 Feb 2020",LEN(BF422)&gt;0)),"Completed",IF((AND(BF422="12 Sep 2020",LEN(BF422)&gt;0)),"Pending",""))</f>
        <v/>
      </c>
      <c r="BH422" s="90" t="str">
        <f>IF((AND(BF422="3 Feb 2020",LEN(BF422)&gt;0)),"3 Feb 2020","")</f>
        <v/>
      </c>
      <c r="BI422" s="90">
        <v>217746</v>
      </c>
      <c r="BJ422" s="90" t="str">
        <f>L422</f>
        <v>4D19BT83134-21</v>
      </c>
      <c r="BK422" s="127">
        <v>43508</v>
      </c>
      <c r="BL422" s="127">
        <v>44239</v>
      </c>
      <c r="BM422" s="128">
        <f>P422*1.1</f>
        <v>2732907.1</v>
      </c>
      <c r="BN422" s="129">
        <f>P422*0.9</f>
        <v>2236014.9</v>
      </c>
      <c r="BO422" s="130">
        <f>P422*0.8</f>
        <v>1987568.8</v>
      </c>
      <c r="BP422" s="90">
        <f>IF(Z422="Y",BM422*0.4,BM422*1.05)</f>
        <v>2869552.4550000001</v>
      </c>
      <c r="BQ422" s="90">
        <f>BP422*0.8</f>
        <v>2295641.9640000002</v>
      </c>
      <c r="BR422" s="90" t="str">
        <f>IF(ISNUMBER(SEARCH("subrecipient",AI418)),P422*0.6,"")</f>
        <v/>
      </c>
      <c r="BS422" s="90">
        <v>217746</v>
      </c>
      <c r="BT422" s="90" t="str">
        <f>BJ422</f>
        <v>4D19BT83134-21</v>
      </c>
      <c r="BU422" s="127">
        <f>BK422</f>
        <v>43508</v>
      </c>
      <c r="BV422" s="127">
        <f>BL422</f>
        <v>44239</v>
      </c>
      <c r="BW422" s="90" t="str">
        <f>H422</f>
        <v>CDC</v>
      </c>
      <c r="BX422" s="90" t="str">
        <f>IF(H422="NATIONAL HEMOPHILIA FOUNDATION","Non Federal","Federal")</f>
        <v>Federal</v>
      </c>
      <c r="BY422" s="128">
        <f>BM422</f>
        <v>2732907.1</v>
      </c>
      <c r="BZ422" s="90" t="str">
        <f>IF(LEN(BR422)&gt;0,1,"")</f>
        <v/>
      </c>
      <c r="CA422" s="90" t="str">
        <f>IF(LEN(BR422)&gt;0,"VIRAL HEPATITIS PROJECT","")</f>
        <v/>
      </c>
      <c r="CB422" s="129" t="str">
        <f>IF(LEN(BR422)&gt;0,BM422*0.7,"")</f>
        <v/>
      </c>
      <c r="CC422" s="90">
        <f>BP422</f>
        <v>2869552.4550000001</v>
      </c>
      <c r="CD422" s="90" t="str">
        <f>IF(LEN(BR422)&gt;0,"70%","")</f>
        <v/>
      </c>
      <c r="CE422" s="90">
        <f>BS422</f>
        <v>217746</v>
      </c>
      <c r="CF422" s="90" t="str">
        <f>CA422</f>
        <v/>
      </c>
      <c r="CG422" s="90"/>
      <c r="CH422" s="90"/>
      <c r="CI422" s="90"/>
      <c r="CJ422" s="90"/>
      <c r="CK422" s="90"/>
      <c r="CL422" s="90"/>
      <c r="CM422" s="90"/>
      <c r="CN422" s="90"/>
      <c r="CO422" s="90"/>
      <c r="CP422" s="90"/>
      <c r="CQ422" s="90"/>
      <c r="CR422" s="90"/>
      <c r="CS422" s="90"/>
      <c r="CT422" s="137"/>
    </row>
    <row r="423" spans="1:98" ht="60">
      <c r="A423" s="89">
        <v>217746</v>
      </c>
      <c r="B423" s="90">
        <v>2020</v>
      </c>
      <c r="C423" s="90" t="s">
        <v>81</v>
      </c>
      <c r="D423" s="90" t="s">
        <v>1256</v>
      </c>
      <c r="E423" s="125" t="s">
        <v>791</v>
      </c>
      <c r="F423" s="24" t="s">
        <v>1257</v>
      </c>
      <c r="G423" s="90" t="s">
        <v>85</v>
      </c>
      <c r="H423" s="90" t="s">
        <v>86</v>
      </c>
      <c r="I423" s="90">
        <v>93</v>
      </c>
      <c r="J423" s="90">
        <v>157</v>
      </c>
      <c r="K423" s="90" t="s">
        <v>85</v>
      </c>
      <c r="L423" s="90" t="s">
        <v>1258</v>
      </c>
      <c r="M423" s="90" t="s">
        <v>119</v>
      </c>
      <c r="N423" s="24" t="s">
        <v>1211</v>
      </c>
      <c r="O423" s="24" t="str">
        <f>IF(ISNUMBER(SEARCH("Cancer",N423)),"Cancer",IF(ISNUMBER(SEARCH("health",N423)),"Public health",IF(ISNUMBER(SEARCH("disabilities",N423)),"Disabilities","Other")))</f>
        <v>Other</v>
      </c>
      <c r="P423" s="126">
        <v>2484461</v>
      </c>
      <c r="Q423" s="90" t="s">
        <v>85</v>
      </c>
      <c r="R423" s="90" t="str">
        <f>IF(P423&gt;20000000,"B","A")</f>
        <v>A</v>
      </c>
      <c r="S423" s="90" t="s">
        <v>90</v>
      </c>
      <c r="T423" s="90" t="s">
        <v>119</v>
      </c>
      <c r="U423" s="90" t="s">
        <v>119</v>
      </c>
      <c r="V423" s="90" t="s">
        <v>119</v>
      </c>
      <c r="W423" s="90" t="s">
        <v>119</v>
      </c>
      <c r="X423" s="90" t="s">
        <v>119</v>
      </c>
      <c r="Y423" s="90" t="s">
        <v>119</v>
      </c>
      <c r="Z423" s="90" t="s">
        <v>119</v>
      </c>
      <c r="AA423" s="90" t="s">
        <v>119</v>
      </c>
      <c r="AB423" s="90" t="s">
        <v>119</v>
      </c>
      <c r="AC423" s="90" t="s">
        <v>119</v>
      </c>
      <c r="AD423" s="90" t="s">
        <v>119</v>
      </c>
      <c r="AE423" s="24">
        <v>0</v>
      </c>
      <c r="AF423" s="90">
        <v>0</v>
      </c>
      <c r="AG423" s="24">
        <v>0</v>
      </c>
      <c r="AH423" s="90">
        <v>83134</v>
      </c>
      <c r="AI423" s="24" t="s">
        <v>102</v>
      </c>
      <c r="AJ423" s="24" t="s">
        <v>103</v>
      </c>
      <c r="AK423" s="90" t="s">
        <v>85</v>
      </c>
      <c r="AL423" s="90">
        <v>217746</v>
      </c>
      <c r="AM423" s="90" t="s">
        <v>81</v>
      </c>
      <c r="AN423" s="90" t="s">
        <v>1256</v>
      </c>
      <c r="AO423" s="125" t="s">
        <v>791</v>
      </c>
      <c r="AP423" s="24" t="s">
        <v>1211</v>
      </c>
      <c r="AQ423" s="90" t="s">
        <v>1258</v>
      </c>
      <c r="AR423" s="24" t="s">
        <v>1211</v>
      </c>
      <c r="AS423" s="90" t="s">
        <v>119</v>
      </c>
      <c r="AT423" s="24" t="s">
        <v>102</v>
      </c>
      <c r="AU423" s="90" t="s">
        <v>119</v>
      </c>
      <c r="AV423" s="90" t="str">
        <f>IF(ISNUMBER(SEARCH("disagree",AE423)),"N","Y")</f>
        <v>Y</v>
      </c>
      <c r="AW423" s="90" t="s">
        <v>119</v>
      </c>
      <c r="AX423" s="24" t="s">
        <v>119</v>
      </c>
      <c r="AY423" s="90" t="str">
        <f>CONCATENATE(AZ423,BA423,BB423,BC423)</f>
        <v/>
      </c>
      <c r="AZ423" s="90" t="str">
        <f>IF(ISNUMBER(SEARCH("Y",AC423)),"R","")</f>
        <v/>
      </c>
      <c r="BA423" s="90" t="str">
        <f>IF(ISNUMBER(SEARCH("Y",Y423)),"M","")</f>
        <v/>
      </c>
      <c r="BB423" s="90" t="str">
        <f>IF(ISNUMBER(SEARCH("Y",AB423)),"QC","")</f>
        <v/>
      </c>
      <c r="BC423" s="90" t="str">
        <f>IF(ISNUMBER(SEARCH("Y",Z423)),"S","")</f>
        <v/>
      </c>
      <c r="BD423" s="90"/>
      <c r="BE423" s="24" t="s">
        <v>119</v>
      </c>
      <c r="BF423" s="125" t="str">
        <f>IF(AND(AW423&gt;=56543,AW423&lt;=76543,LEN(AW423)&gt;0),"3 Feb 2020",IF(AND(AW423&gt;=66544,AW423&lt;=99999,LEN(AW423)&gt;0),"12 Sep 2020",""))</f>
        <v/>
      </c>
      <c r="BG423" s="125" t="str">
        <f>IF((AND(BF423="3 Feb 2020",LEN(BF423)&gt;0)),"Completed",IF((AND(BF423="12 Sep 2020",LEN(BF423)&gt;0)),"Pending",""))</f>
        <v/>
      </c>
      <c r="BH423" s="90" t="str">
        <f>IF((AND(BF423="3 Feb 2020",LEN(BF423)&gt;0)),"3 Feb 2020","")</f>
        <v/>
      </c>
      <c r="BI423" s="90">
        <v>217746</v>
      </c>
      <c r="BJ423" s="90" t="str">
        <f>L423</f>
        <v>4D19BT83134-21</v>
      </c>
      <c r="BK423" s="127">
        <v>43508</v>
      </c>
      <c r="BL423" s="127">
        <v>44239</v>
      </c>
      <c r="BM423" s="128">
        <f>P423*1.1</f>
        <v>2732907.1</v>
      </c>
      <c r="BN423" s="129">
        <f>P423*0.9</f>
        <v>2236014.9</v>
      </c>
      <c r="BO423" s="130">
        <f>P423*0.8</f>
        <v>1987568.8</v>
      </c>
      <c r="BP423" s="90">
        <f>IF(Z423="Y",BM423*0.4,BM423*1.05)</f>
        <v>2869552.4550000001</v>
      </c>
      <c r="BQ423" s="90">
        <f>BP423*0.8</f>
        <v>2295641.9640000002</v>
      </c>
      <c r="BR423" s="90" t="str">
        <f>IF(ISNUMBER(SEARCH("subrecipient",AI419)),P423*0.6,"")</f>
        <v/>
      </c>
      <c r="BS423" s="90">
        <v>217746</v>
      </c>
      <c r="BT423" s="90" t="str">
        <f>BJ423</f>
        <v>4D19BT83134-21</v>
      </c>
      <c r="BU423" s="127">
        <f>BK423</f>
        <v>43508</v>
      </c>
      <c r="BV423" s="127">
        <f>BL423</f>
        <v>44239</v>
      </c>
      <c r="BW423" s="90" t="str">
        <f>H423</f>
        <v>CDC</v>
      </c>
      <c r="BX423" s="90" t="str">
        <f>IF(H423="NATIONAL HEMOPHILIA FOUNDATION","Non Federal","Federal")</f>
        <v>Federal</v>
      </c>
      <c r="BY423" s="128">
        <f>BM423</f>
        <v>2732907.1</v>
      </c>
      <c r="BZ423" s="90" t="str">
        <f>IF(LEN(BR423)&gt;0,1,"")</f>
        <v/>
      </c>
      <c r="CA423" s="90" t="str">
        <f>IF(LEN(BR423)&gt;0,"VIRAL HEPATITIS PROJECT","")</f>
        <v/>
      </c>
      <c r="CB423" s="129" t="str">
        <f>IF(LEN(BR423)&gt;0,BM423*0.7,"")</f>
        <v/>
      </c>
      <c r="CC423" s="90">
        <f>BP423</f>
        <v>2869552.4550000001</v>
      </c>
      <c r="CD423" s="90" t="str">
        <f>IF(LEN(BR423)&gt;0,"70%","")</f>
        <v/>
      </c>
      <c r="CE423" s="90">
        <f>BS423</f>
        <v>217746</v>
      </c>
      <c r="CF423" s="90" t="str">
        <f>CA423</f>
        <v/>
      </c>
      <c r="CG423" s="90"/>
      <c r="CH423" s="90"/>
      <c r="CI423" s="90"/>
      <c r="CJ423" s="90"/>
      <c r="CK423" s="90"/>
      <c r="CL423" s="90"/>
      <c r="CM423" s="90"/>
      <c r="CN423" s="90"/>
      <c r="CO423" s="90"/>
      <c r="CP423" s="90"/>
      <c r="CQ423" s="90"/>
      <c r="CR423" s="90"/>
      <c r="CS423" s="90"/>
      <c r="CT423" s="137"/>
    </row>
    <row r="424" spans="1:98" ht="60">
      <c r="A424" s="89">
        <v>217750</v>
      </c>
      <c r="B424" s="90">
        <v>2020</v>
      </c>
      <c r="C424" s="90" t="s">
        <v>81</v>
      </c>
      <c r="D424" s="90" t="s">
        <v>1260</v>
      </c>
      <c r="E424" s="125" t="s">
        <v>793</v>
      </c>
      <c r="F424" s="24" t="s">
        <v>1261</v>
      </c>
      <c r="G424" s="90" t="s">
        <v>85</v>
      </c>
      <c r="H424" s="90" t="s">
        <v>117</v>
      </c>
      <c r="I424" s="90">
        <v>93</v>
      </c>
      <c r="J424" s="90">
        <v>157</v>
      </c>
      <c r="K424" s="90" t="s">
        <v>85</v>
      </c>
      <c r="L424" s="90" t="s">
        <v>1262</v>
      </c>
      <c r="M424" s="90" t="s">
        <v>119</v>
      </c>
      <c r="N424" s="24" t="s">
        <v>254</v>
      </c>
      <c r="O424" s="24" t="str">
        <f>IF(ISNUMBER(SEARCH("Cancer",N424)),"Cancer",IF(ISNUMBER(SEARCH("health",N424)),"Public health",IF(ISNUMBER(SEARCH("disabilities",N424)),"Disabilities","Other")))</f>
        <v>Other</v>
      </c>
      <c r="P424" s="126">
        <v>2329671</v>
      </c>
      <c r="Q424" s="90" t="s">
        <v>85</v>
      </c>
      <c r="R424" s="90" t="str">
        <f>IF(P424&gt;20000000,"B","A")</f>
        <v>A</v>
      </c>
      <c r="S424" s="90" t="s">
        <v>90</v>
      </c>
      <c r="T424" s="90" t="s">
        <v>119</v>
      </c>
      <c r="U424" s="90" t="s">
        <v>119</v>
      </c>
      <c r="V424" s="90" t="s">
        <v>119</v>
      </c>
      <c r="W424" s="90" t="s">
        <v>119</v>
      </c>
      <c r="X424" s="90" t="s">
        <v>119</v>
      </c>
      <c r="Y424" s="90" t="s">
        <v>119</v>
      </c>
      <c r="Z424" s="90" t="s">
        <v>119</v>
      </c>
      <c r="AA424" s="90" t="s">
        <v>119</v>
      </c>
      <c r="AB424" s="90" t="s">
        <v>119</v>
      </c>
      <c r="AC424" s="90" t="s">
        <v>119</v>
      </c>
      <c r="AD424" s="90" t="s">
        <v>119</v>
      </c>
      <c r="AE424" s="24">
        <v>0</v>
      </c>
      <c r="AF424" s="90">
        <v>0</v>
      </c>
      <c r="AG424" s="24">
        <v>0</v>
      </c>
      <c r="AH424" s="90">
        <v>87416</v>
      </c>
      <c r="AI424" s="24" t="s">
        <v>94</v>
      </c>
      <c r="AJ424" s="24" t="s">
        <v>448</v>
      </c>
      <c r="AK424" s="90" t="s">
        <v>85</v>
      </c>
      <c r="AL424" s="90">
        <v>217750</v>
      </c>
      <c r="AM424" s="90" t="s">
        <v>81</v>
      </c>
      <c r="AN424" s="90" t="s">
        <v>1260</v>
      </c>
      <c r="AO424" s="125" t="s">
        <v>793</v>
      </c>
      <c r="AP424" s="24" t="s">
        <v>254</v>
      </c>
      <c r="AQ424" s="90" t="s">
        <v>1262</v>
      </c>
      <c r="AR424" s="24" t="s">
        <v>254</v>
      </c>
      <c r="AS424" s="90" t="s">
        <v>119</v>
      </c>
      <c r="AT424" s="24" t="s">
        <v>94</v>
      </c>
      <c r="AU424" s="90" t="s">
        <v>119</v>
      </c>
      <c r="AV424" s="90" t="str">
        <f>IF(ISNUMBER(SEARCH("disagree",AE424)),"N","Y")</f>
        <v>Y</v>
      </c>
      <c r="AW424" s="90" t="s">
        <v>119</v>
      </c>
      <c r="AX424" s="24" t="s">
        <v>119</v>
      </c>
      <c r="AY424" s="90" t="str">
        <f>CONCATENATE(AZ424,BA424,BB424,BC424)</f>
        <v/>
      </c>
      <c r="AZ424" s="90" t="str">
        <f>IF(ISNUMBER(SEARCH("Y",AC424)),"R","")</f>
        <v/>
      </c>
      <c r="BA424" s="90" t="str">
        <f>IF(ISNUMBER(SEARCH("Y",Y424)),"M","")</f>
        <v/>
      </c>
      <c r="BB424" s="90" t="str">
        <f>IF(ISNUMBER(SEARCH("Y",AB424)),"QC","")</f>
        <v/>
      </c>
      <c r="BC424" s="90" t="str">
        <f>IF(ISNUMBER(SEARCH("Y",Z424)),"S","")</f>
        <v/>
      </c>
      <c r="BD424" s="90"/>
      <c r="BE424" s="24" t="s">
        <v>119</v>
      </c>
      <c r="BF424" s="125" t="str">
        <f>IF(AND(AW424&gt;=56543,AW424&lt;=76543,LEN(AW424)&gt;0),"3 Feb 2020",IF(AND(AW424&gt;=66544,AW424&lt;=99999,LEN(AW424)&gt;0),"12 Sep 2020",""))</f>
        <v/>
      </c>
      <c r="BG424" s="125" t="str">
        <f>IF((AND(BF424="3 Feb 2020",LEN(BF424)&gt;0)),"Completed",IF((AND(BF424="12 Sep 2020",LEN(BF424)&gt;0)),"Pending",""))</f>
        <v/>
      </c>
      <c r="BH424" s="90" t="str">
        <f>IF((AND(BF424="3 Feb 2020",LEN(BF424)&gt;0)),"3 Feb 2020","")</f>
        <v/>
      </c>
      <c r="BI424" s="90">
        <v>217750</v>
      </c>
      <c r="BJ424" s="90" t="str">
        <f>L424</f>
        <v>8D91DT87415-87</v>
      </c>
      <c r="BK424" s="127">
        <v>43508</v>
      </c>
      <c r="BL424" s="127">
        <v>44239</v>
      </c>
      <c r="BM424" s="128">
        <f>P424*1.1</f>
        <v>2562638.1</v>
      </c>
      <c r="BN424" s="129">
        <f>P424*0.9</f>
        <v>2096703.9000000001</v>
      </c>
      <c r="BO424" s="130">
        <f>P424*0.8</f>
        <v>1863736.8</v>
      </c>
      <c r="BP424" s="90">
        <f>IF(Z424="Y",BM424*0.4,BM424*1.05)</f>
        <v>2690770.0050000004</v>
      </c>
      <c r="BQ424" s="90">
        <f>BP424*0.8</f>
        <v>2152616.0040000002</v>
      </c>
      <c r="BR424" s="90" t="str">
        <f>IF(ISNUMBER(SEARCH("subrecipient",AI420)),P424*0.6,"")</f>
        <v/>
      </c>
      <c r="BS424" s="90">
        <v>217750</v>
      </c>
      <c r="BT424" s="90" t="str">
        <f>BJ424</f>
        <v>8D91DT87415-87</v>
      </c>
      <c r="BU424" s="127">
        <f>BK424</f>
        <v>43508</v>
      </c>
      <c r="BV424" s="127">
        <f>BL424</f>
        <v>44239</v>
      </c>
      <c r="BW424" s="90" t="str">
        <f>H424</f>
        <v>NIH</v>
      </c>
      <c r="BX424" s="90" t="str">
        <f>IF(H424="NATIONAL HEMOPHILIA FOUNDATION","Non Federal","Federal")</f>
        <v>Federal</v>
      </c>
      <c r="BY424" s="128">
        <f>BM424</f>
        <v>2562638.1</v>
      </c>
      <c r="BZ424" s="90" t="str">
        <f>IF(LEN(BR424)&gt;0,1,"")</f>
        <v/>
      </c>
      <c r="CA424" s="90" t="str">
        <f>IF(LEN(BR424)&gt;0,"VIRAL HEPATITIS PROJECT","")</f>
        <v/>
      </c>
      <c r="CB424" s="129" t="str">
        <f>IF(LEN(BR424)&gt;0,BM424*0.7,"")</f>
        <v/>
      </c>
      <c r="CC424" s="90">
        <f>BP424</f>
        <v>2690770.0050000004</v>
      </c>
      <c r="CD424" s="90" t="str">
        <f>IF(LEN(BR424)&gt;0,"70%","")</f>
        <v/>
      </c>
      <c r="CE424" s="90">
        <f>BS424</f>
        <v>217750</v>
      </c>
      <c r="CF424" s="90" t="str">
        <f>CA424</f>
        <v/>
      </c>
      <c r="CG424" s="90"/>
      <c r="CH424" s="90"/>
      <c r="CI424" s="90"/>
      <c r="CJ424" s="90"/>
      <c r="CK424" s="90"/>
      <c r="CL424" s="90"/>
      <c r="CM424" s="90"/>
      <c r="CN424" s="90"/>
      <c r="CO424" s="90"/>
      <c r="CP424" s="90"/>
      <c r="CQ424" s="90"/>
      <c r="CR424" s="90"/>
      <c r="CS424" s="90"/>
      <c r="CT424" s="137"/>
    </row>
    <row r="425" spans="1:98" ht="30">
      <c r="A425" s="89">
        <v>217750</v>
      </c>
      <c r="B425" s="90">
        <v>2020</v>
      </c>
      <c r="C425" s="90" t="s">
        <v>81</v>
      </c>
      <c r="D425" s="90" t="s">
        <v>1260</v>
      </c>
      <c r="E425" s="125" t="s">
        <v>780</v>
      </c>
      <c r="F425" s="24" t="s">
        <v>1261</v>
      </c>
      <c r="G425" s="90" t="s">
        <v>85</v>
      </c>
      <c r="H425" s="90" t="s">
        <v>117</v>
      </c>
      <c r="I425" s="90">
        <v>93</v>
      </c>
      <c r="J425" s="90">
        <v>157</v>
      </c>
      <c r="K425" s="90" t="s">
        <v>85</v>
      </c>
      <c r="L425" s="90" t="s">
        <v>1262</v>
      </c>
      <c r="M425" s="90" t="s">
        <v>119</v>
      </c>
      <c r="N425" s="24" t="s">
        <v>254</v>
      </c>
      <c r="O425" s="24" t="str">
        <f>IF(ISNUMBER(SEARCH("Cancer",N425)),"Cancer",IF(ISNUMBER(SEARCH("health",N425)),"Public health",IF(ISNUMBER(SEARCH("disabilities",N425)),"Disabilities","Other")))</f>
        <v>Other</v>
      </c>
      <c r="P425" s="126">
        <v>2329671</v>
      </c>
      <c r="Q425" s="90" t="s">
        <v>85</v>
      </c>
      <c r="R425" s="90" t="str">
        <f>IF(P425&gt;20000000,"B","A")</f>
        <v>A</v>
      </c>
      <c r="S425" s="90" t="s">
        <v>90</v>
      </c>
      <c r="T425" s="90" t="s">
        <v>119</v>
      </c>
      <c r="U425" s="90" t="s">
        <v>119</v>
      </c>
      <c r="V425" s="90" t="s">
        <v>119</v>
      </c>
      <c r="W425" s="90" t="s">
        <v>119</v>
      </c>
      <c r="X425" s="90" t="s">
        <v>119</v>
      </c>
      <c r="Y425" s="90" t="s">
        <v>119</v>
      </c>
      <c r="Z425" s="90" t="s">
        <v>119</v>
      </c>
      <c r="AA425" s="90" t="s">
        <v>119</v>
      </c>
      <c r="AB425" s="90" t="s">
        <v>119</v>
      </c>
      <c r="AC425" s="90" t="s">
        <v>119</v>
      </c>
      <c r="AD425" s="90" t="s">
        <v>119</v>
      </c>
      <c r="AE425" s="24">
        <v>0</v>
      </c>
      <c r="AF425" s="90">
        <v>0</v>
      </c>
      <c r="AG425" s="24">
        <v>0</v>
      </c>
      <c r="AH425" s="90">
        <v>87414</v>
      </c>
      <c r="AI425" s="24" t="s">
        <v>102</v>
      </c>
      <c r="AJ425" s="24" t="s">
        <v>103</v>
      </c>
      <c r="AK425" s="90" t="s">
        <v>85</v>
      </c>
      <c r="AL425" s="90">
        <v>217750</v>
      </c>
      <c r="AM425" s="90" t="s">
        <v>81</v>
      </c>
      <c r="AN425" s="90" t="s">
        <v>1260</v>
      </c>
      <c r="AO425" s="125" t="s">
        <v>780</v>
      </c>
      <c r="AP425" s="24" t="s">
        <v>254</v>
      </c>
      <c r="AQ425" s="90" t="s">
        <v>1262</v>
      </c>
      <c r="AR425" s="24" t="s">
        <v>254</v>
      </c>
      <c r="AS425" s="90" t="s">
        <v>119</v>
      </c>
      <c r="AT425" s="24" t="s">
        <v>102</v>
      </c>
      <c r="AU425" s="90" t="s">
        <v>119</v>
      </c>
      <c r="AV425" s="90" t="str">
        <f>IF(ISNUMBER(SEARCH("disagree",AE425)),"N","Y")</f>
        <v>Y</v>
      </c>
      <c r="AW425" s="90" t="s">
        <v>119</v>
      </c>
      <c r="AX425" s="24" t="s">
        <v>119</v>
      </c>
      <c r="AY425" s="90" t="str">
        <f>CONCATENATE(AZ425,BA425,BB425,BC425)</f>
        <v/>
      </c>
      <c r="AZ425" s="90" t="str">
        <f>IF(ISNUMBER(SEARCH("Y",AC425)),"R","")</f>
        <v/>
      </c>
      <c r="BA425" s="90" t="str">
        <f>IF(ISNUMBER(SEARCH("Y",Y425)),"M","")</f>
        <v/>
      </c>
      <c r="BB425" s="90" t="str">
        <f>IF(ISNUMBER(SEARCH("Y",AB425)),"QC","")</f>
        <v/>
      </c>
      <c r="BC425" s="90" t="str">
        <f>IF(ISNUMBER(SEARCH("Y",Z425)),"S","")</f>
        <v/>
      </c>
      <c r="BD425" s="90"/>
      <c r="BE425" s="24" t="s">
        <v>119</v>
      </c>
      <c r="BF425" s="125" t="str">
        <f>IF(AND(AW425&gt;=56543,AW425&lt;=76543,LEN(AW425)&gt;0),"3 Feb 2020",IF(AND(AW425&gt;=66544,AW425&lt;=99999,LEN(AW425)&gt;0),"12 Sep 2020",""))</f>
        <v/>
      </c>
      <c r="BG425" s="125" t="str">
        <f>IF((AND(BF425="3 Feb 2020",LEN(BF425)&gt;0)),"Completed",IF((AND(BF425="12 Sep 2020",LEN(BF425)&gt;0)),"Pending",""))</f>
        <v/>
      </c>
      <c r="BH425" s="90" t="str">
        <f>IF((AND(BF425="3 Feb 2020",LEN(BF425)&gt;0)),"3 Feb 2020","")</f>
        <v/>
      </c>
      <c r="BI425" s="90">
        <v>217750</v>
      </c>
      <c r="BJ425" s="90" t="str">
        <f>L425</f>
        <v>8D91DT87415-87</v>
      </c>
      <c r="BK425" s="127">
        <v>43508</v>
      </c>
      <c r="BL425" s="127">
        <v>44239</v>
      </c>
      <c r="BM425" s="128">
        <f>P425*1.1</f>
        <v>2562638.1</v>
      </c>
      <c r="BN425" s="129">
        <f>P425*0.9</f>
        <v>2096703.9000000001</v>
      </c>
      <c r="BO425" s="130">
        <f>P425*0.8</f>
        <v>1863736.8</v>
      </c>
      <c r="BP425" s="90">
        <f>IF(Z425="Y",BM425*0.4,BM425*1.05)</f>
        <v>2690770.0050000004</v>
      </c>
      <c r="BQ425" s="90">
        <f>BP425*0.8</f>
        <v>2152616.0040000002</v>
      </c>
      <c r="BR425" s="90" t="str">
        <f>IF(ISNUMBER(SEARCH("subrecipient",AI421)),P425*0.6,"")</f>
        <v/>
      </c>
      <c r="BS425" s="90">
        <v>217750</v>
      </c>
      <c r="BT425" s="90" t="str">
        <f>BJ425</f>
        <v>8D91DT87415-87</v>
      </c>
      <c r="BU425" s="127">
        <f>BK425</f>
        <v>43508</v>
      </c>
      <c r="BV425" s="127">
        <f>BL425</f>
        <v>44239</v>
      </c>
      <c r="BW425" s="90" t="str">
        <f>H425</f>
        <v>NIH</v>
      </c>
      <c r="BX425" s="90" t="str">
        <f>IF(H425="NATIONAL HEMOPHILIA FOUNDATION","Non Federal","Federal")</f>
        <v>Federal</v>
      </c>
      <c r="BY425" s="128">
        <f>BM425</f>
        <v>2562638.1</v>
      </c>
      <c r="BZ425" s="90" t="str">
        <f>IF(LEN(BR425)&gt;0,1,"")</f>
        <v/>
      </c>
      <c r="CA425" s="90" t="str">
        <f>IF(LEN(BR425)&gt;0,"VIRAL HEPATITIS PROJECT","")</f>
        <v/>
      </c>
      <c r="CB425" s="129" t="str">
        <f>IF(LEN(BR425)&gt;0,BM425*0.7,"")</f>
        <v/>
      </c>
      <c r="CC425" s="90">
        <f>BP425</f>
        <v>2690770.0050000004</v>
      </c>
      <c r="CD425" s="90" t="str">
        <f>IF(LEN(BR425)&gt;0,"70%","")</f>
        <v/>
      </c>
      <c r="CE425" s="90">
        <f>BS425</f>
        <v>217750</v>
      </c>
      <c r="CF425" s="90" t="str">
        <f>CA425</f>
        <v/>
      </c>
      <c r="CG425" s="90"/>
      <c r="CH425" s="90"/>
      <c r="CI425" s="90"/>
      <c r="CJ425" s="90"/>
      <c r="CK425" s="90"/>
      <c r="CL425" s="90"/>
      <c r="CM425" s="90"/>
      <c r="CN425" s="90"/>
      <c r="CO425" s="90"/>
      <c r="CP425" s="90"/>
      <c r="CQ425" s="90"/>
      <c r="CR425" s="90"/>
      <c r="CS425" s="90"/>
      <c r="CT425" s="137"/>
    </row>
    <row r="426" spans="1:98" ht="30">
      <c r="A426" s="89">
        <v>217750</v>
      </c>
      <c r="B426" s="90">
        <v>2020</v>
      </c>
      <c r="C426" s="90" t="s">
        <v>81</v>
      </c>
      <c r="D426" s="90" t="s">
        <v>1260</v>
      </c>
      <c r="E426" s="125" t="s">
        <v>781</v>
      </c>
      <c r="F426" s="24" t="s">
        <v>1261</v>
      </c>
      <c r="G426" s="90" t="s">
        <v>85</v>
      </c>
      <c r="H426" s="90" t="s">
        <v>117</v>
      </c>
      <c r="I426" s="90">
        <v>93</v>
      </c>
      <c r="J426" s="90">
        <v>157</v>
      </c>
      <c r="K426" s="90" t="s">
        <v>85</v>
      </c>
      <c r="L426" s="90" t="s">
        <v>1262</v>
      </c>
      <c r="M426" s="90" t="s">
        <v>119</v>
      </c>
      <c r="N426" s="24" t="s">
        <v>254</v>
      </c>
      <c r="O426" s="24" t="str">
        <f>IF(ISNUMBER(SEARCH("Cancer",N426)),"Cancer",IF(ISNUMBER(SEARCH("health",N426)),"Public health",IF(ISNUMBER(SEARCH("disabilities",N426)),"Disabilities","Other")))</f>
        <v>Other</v>
      </c>
      <c r="P426" s="126">
        <v>2329671</v>
      </c>
      <c r="Q426" s="90" t="s">
        <v>85</v>
      </c>
      <c r="R426" s="90" t="str">
        <f>IF(P426&gt;20000000,"B","A")</f>
        <v>A</v>
      </c>
      <c r="S426" s="90" t="s">
        <v>90</v>
      </c>
      <c r="T426" s="90" t="s">
        <v>119</v>
      </c>
      <c r="U426" s="90" t="s">
        <v>119</v>
      </c>
      <c r="V426" s="90" t="s">
        <v>119</v>
      </c>
      <c r="W426" s="90" t="s">
        <v>119</v>
      </c>
      <c r="X426" s="90" t="s">
        <v>119</v>
      </c>
      <c r="Y426" s="90" t="s">
        <v>119</v>
      </c>
      <c r="Z426" s="90" t="s">
        <v>119</v>
      </c>
      <c r="AA426" s="90" t="s">
        <v>119</v>
      </c>
      <c r="AB426" s="90" t="s">
        <v>119</v>
      </c>
      <c r="AC426" s="90" t="s">
        <v>119</v>
      </c>
      <c r="AD426" s="90" t="s">
        <v>119</v>
      </c>
      <c r="AE426" s="24">
        <v>0</v>
      </c>
      <c r="AF426" s="90">
        <v>0</v>
      </c>
      <c r="AG426" s="24">
        <v>0</v>
      </c>
      <c r="AH426" s="90">
        <v>87415</v>
      </c>
      <c r="AI426" s="24" t="s">
        <v>110</v>
      </c>
      <c r="AJ426" s="24" t="s">
        <v>1263</v>
      </c>
      <c r="AK426" s="90" t="s">
        <v>85</v>
      </c>
      <c r="AL426" s="90">
        <v>217750</v>
      </c>
      <c r="AM426" s="90" t="s">
        <v>81</v>
      </c>
      <c r="AN426" s="90" t="s">
        <v>1260</v>
      </c>
      <c r="AO426" s="125" t="s">
        <v>781</v>
      </c>
      <c r="AP426" s="24" t="s">
        <v>254</v>
      </c>
      <c r="AQ426" s="90" t="s">
        <v>1262</v>
      </c>
      <c r="AR426" s="24" t="s">
        <v>254</v>
      </c>
      <c r="AS426" s="90" t="s">
        <v>119</v>
      </c>
      <c r="AT426" s="24" t="s">
        <v>110</v>
      </c>
      <c r="AU426" s="90" t="s">
        <v>119</v>
      </c>
      <c r="AV426" s="90" t="str">
        <f>IF(ISNUMBER(SEARCH("disagree",AE426)),"N","Y")</f>
        <v>Y</v>
      </c>
      <c r="AW426" s="90" t="s">
        <v>119</v>
      </c>
      <c r="AX426" s="24" t="s">
        <v>119</v>
      </c>
      <c r="AY426" s="90" t="str">
        <f>CONCATENATE(AZ426,BA426,BB426,BC426)</f>
        <v/>
      </c>
      <c r="AZ426" s="90" t="str">
        <f>IF(ISNUMBER(SEARCH("Y",AC426)),"R","")</f>
        <v/>
      </c>
      <c r="BA426" s="90" t="str">
        <f>IF(ISNUMBER(SEARCH("Y",Y426)),"M","")</f>
        <v/>
      </c>
      <c r="BB426" s="90" t="str">
        <f>IF(ISNUMBER(SEARCH("Y",AB426)),"QC","")</f>
        <v/>
      </c>
      <c r="BC426" s="90" t="str">
        <f>IF(ISNUMBER(SEARCH("Y",Z426)),"S","")</f>
        <v/>
      </c>
      <c r="BD426" s="90"/>
      <c r="BE426" s="24" t="s">
        <v>119</v>
      </c>
      <c r="BF426" s="125" t="str">
        <f>IF(AND(AW426&gt;=56543,AW426&lt;=76543,LEN(AW426)&gt;0),"3 Feb 2020",IF(AND(AW426&gt;=66544,AW426&lt;=99999,LEN(AW426)&gt;0),"12 Sep 2020",""))</f>
        <v/>
      </c>
      <c r="BG426" s="125" t="str">
        <f>IF((AND(BF426="3 Feb 2020",LEN(BF426)&gt;0)),"Completed",IF((AND(BF426="12 Sep 2020",LEN(BF426)&gt;0)),"Pending",""))</f>
        <v/>
      </c>
      <c r="BH426" s="90" t="str">
        <f>IF((AND(BF426="3 Feb 2020",LEN(BF426)&gt;0)),"3 Feb 2020","")</f>
        <v/>
      </c>
      <c r="BI426" s="90">
        <v>217750</v>
      </c>
      <c r="BJ426" s="90" t="str">
        <f>L426</f>
        <v>8D91DT87415-87</v>
      </c>
      <c r="BK426" s="127">
        <v>43508</v>
      </c>
      <c r="BL426" s="127">
        <v>44239</v>
      </c>
      <c r="BM426" s="128">
        <f>P426*1.1</f>
        <v>2562638.1</v>
      </c>
      <c r="BN426" s="129">
        <f>P426*0.9</f>
        <v>2096703.9000000001</v>
      </c>
      <c r="BO426" s="130">
        <f>P426*0.8</f>
        <v>1863736.8</v>
      </c>
      <c r="BP426" s="90">
        <f>IF(Z426="Y",BM426*0.4,BM426*1.05)</f>
        <v>2690770.0050000004</v>
      </c>
      <c r="BQ426" s="90">
        <f>BP426*0.8</f>
        <v>2152616.0040000002</v>
      </c>
      <c r="BR426" s="90" t="str">
        <f>IF(ISNUMBER(SEARCH("subrecipient",AI422)),P426*0.6,"")</f>
        <v/>
      </c>
      <c r="BS426" s="90">
        <v>217750</v>
      </c>
      <c r="BT426" s="90" t="str">
        <f>BJ426</f>
        <v>8D91DT87415-87</v>
      </c>
      <c r="BU426" s="127">
        <f>BK426</f>
        <v>43508</v>
      </c>
      <c r="BV426" s="127">
        <f>BL426</f>
        <v>44239</v>
      </c>
      <c r="BW426" s="90" t="str">
        <f>H426</f>
        <v>NIH</v>
      </c>
      <c r="BX426" s="90" t="str">
        <f>IF(H426="NATIONAL HEMOPHILIA FOUNDATION","Non Federal","Federal")</f>
        <v>Federal</v>
      </c>
      <c r="BY426" s="128">
        <f>BM426</f>
        <v>2562638.1</v>
      </c>
      <c r="BZ426" s="90" t="str">
        <f>IF(LEN(BR426)&gt;0,1,"")</f>
        <v/>
      </c>
      <c r="CA426" s="90" t="str">
        <f>IF(LEN(BR426)&gt;0,"VIRAL HEPATITIS PROJECT","")</f>
        <v/>
      </c>
      <c r="CB426" s="129" t="str">
        <f>IF(LEN(BR426)&gt;0,BM426*0.7,"")</f>
        <v/>
      </c>
      <c r="CC426" s="90">
        <f>BP426</f>
        <v>2690770.0050000004</v>
      </c>
      <c r="CD426" s="90" t="str">
        <f>IF(LEN(BR426)&gt;0,"70%","")</f>
        <v/>
      </c>
      <c r="CE426" s="90">
        <f>BS426</f>
        <v>217750</v>
      </c>
      <c r="CF426" s="90" t="str">
        <f>CA426</f>
        <v/>
      </c>
      <c r="CG426" s="90"/>
      <c r="CH426" s="90"/>
      <c r="CI426" s="90"/>
      <c r="CJ426" s="90"/>
      <c r="CK426" s="90"/>
      <c r="CL426" s="90"/>
      <c r="CM426" s="90"/>
      <c r="CN426" s="90"/>
      <c r="CO426" s="90"/>
      <c r="CP426" s="90"/>
      <c r="CQ426" s="90"/>
      <c r="CR426" s="90"/>
      <c r="CS426" s="90"/>
      <c r="CT426" s="137"/>
    </row>
    <row r="427" spans="1:98" ht="90">
      <c r="A427" s="89">
        <v>217783</v>
      </c>
      <c r="B427" s="90">
        <v>2020</v>
      </c>
      <c r="C427" s="90" t="s">
        <v>81</v>
      </c>
      <c r="D427" s="90" t="s">
        <v>1264</v>
      </c>
      <c r="E427" s="125" t="s">
        <v>784</v>
      </c>
      <c r="F427" s="24" t="s">
        <v>1265</v>
      </c>
      <c r="G427" s="90" t="s">
        <v>85</v>
      </c>
      <c r="H427" s="90" t="s">
        <v>132</v>
      </c>
      <c r="I427" s="90">
        <v>93</v>
      </c>
      <c r="J427" s="90">
        <v>157</v>
      </c>
      <c r="K427" s="90" t="s">
        <v>85</v>
      </c>
      <c r="L427" s="90" t="s">
        <v>1266</v>
      </c>
      <c r="M427" s="90" t="s">
        <v>119</v>
      </c>
      <c r="N427" s="24" t="s">
        <v>243</v>
      </c>
      <c r="O427" s="24" t="str">
        <f>IF(ISNUMBER(SEARCH("Cancer",N427)),"Cancer",IF(ISNUMBER(SEARCH("health",N427)),"Public health",IF(ISNUMBER(SEARCH("disabilities",N427)),"Disabilities","Other")))</f>
        <v>Other</v>
      </c>
      <c r="P427" s="126">
        <v>2633965</v>
      </c>
      <c r="Q427" s="90" t="s">
        <v>85</v>
      </c>
      <c r="R427" s="90" t="str">
        <f>IF(P427&gt;20000000,"B","A")</f>
        <v>A</v>
      </c>
      <c r="S427" s="90" t="s">
        <v>90</v>
      </c>
      <c r="T427" s="90" t="s">
        <v>119</v>
      </c>
      <c r="U427" s="90" t="s">
        <v>119</v>
      </c>
      <c r="V427" s="90" t="s">
        <v>119</v>
      </c>
      <c r="W427" s="90" t="s">
        <v>119</v>
      </c>
      <c r="X427" s="90" t="s">
        <v>119</v>
      </c>
      <c r="Y427" s="90" t="s">
        <v>119</v>
      </c>
      <c r="Z427" s="90" t="s">
        <v>119</v>
      </c>
      <c r="AA427" s="90" t="s">
        <v>119</v>
      </c>
      <c r="AB427" s="90" t="s">
        <v>119</v>
      </c>
      <c r="AC427" s="90" t="s">
        <v>119</v>
      </c>
      <c r="AD427" s="90" t="s">
        <v>119</v>
      </c>
      <c r="AE427" s="24">
        <v>0</v>
      </c>
      <c r="AF427" s="90">
        <v>0</v>
      </c>
      <c r="AG427" s="24">
        <v>0</v>
      </c>
      <c r="AH427" s="90">
        <v>76987</v>
      </c>
      <c r="AI427" s="24" t="s">
        <v>94</v>
      </c>
      <c r="AJ427" s="24" t="s">
        <v>95</v>
      </c>
      <c r="AK427" s="90" t="s">
        <v>85</v>
      </c>
      <c r="AL427" s="90">
        <v>217783</v>
      </c>
      <c r="AM427" s="90" t="s">
        <v>81</v>
      </c>
      <c r="AN427" s="90" t="s">
        <v>1264</v>
      </c>
      <c r="AO427" s="125" t="s">
        <v>784</v>
      </c>
      <c r="AP427" s="24" t="s">
        <v>243</v>
      </c>
      <c r="AQ427" s="90" t="s">
        <v>1266</v>
      </c>
      <c r="AR427" s="24" t="s">
        <v>243</v>
      </c>
      <c r="AS427" s="90" t="s">
        <v>119</v>
      </c>
      <c r="AT427" s="24" t="s">
        <v>94</v>
      </c>
      <c r="AU427" s="90" t="s">
        <v>119</v>
      </c>
      <c r="AV427" s="90" t="str">
        <f>IF(ISNUMBER(SEARCH("disagree",AE427)),"N","Y")</f>
        <v>Y</v>
      </c>
      <c r="AW427" s="90" t="s">
        <v>119</v>
      </c>
      <c r="AX427" s="24" t="s">
        <v>119</v>
      </c>
      <c r="AY427" s="90" t="str">
        <f>CONCATENATE(AZ427,BA427,BB427,BC427)</f>
        <v/>
      </c>
      <c r="AZ427" s="90" t="str">
        <f>IF(ISNUMBER(SEARCH("Y",AC427)),"R","")</f>
        <v/>
      </c>
      <c r="BA427" s="90" t="str">
        <f>IF(ISNUMBER(SEARCH("Y",Y427)),"M","")</f>
        <v/>
      </c>
      <c r="BB427" s="90" t="str">
        <f>IF(ISNUMBER(SEARCH("Y",AB427)),"QC","")</f>
        <v/>
      </c>
      <c r="BC427" s="90" t="str">
        <f>IF(ISNUMBER(SEARCH("Y",Z427)),"S","")</f>
        <v/>
      </c>
      <c r="BD427" s="90"/>
      <c r="BE427" s="24" t="s">
        <v>119</v>
      </c>
      <c r="BF427" s="125" t="str">
        <f>IF(AND(AW427&gt;=56543,AW427&lt;=76543,LEN(AW427)&gt;0),"3 Feb 2020",IF(AND(AW427&gt;=66544,AW427&lt;=99999,LEN(AW427)&gt;0),"12 Sep 2020",""))</f>
        <v/>
      </c>
      <c r="BG427" s="125" t="str">
        <f>IF((AND(BF427="3 Feb 2020",LEN(BF427)&gt;0)),"Completed",IF((AND(BF427="12 Sep 2020",LEN(BF427)&gt;0)),"Pending",""))</f>
        <v/>
      </c>
      <c r="BH427" s="90" t="str">
        <f>IF((AND(BF427="3 Feb 2020",LEN(BF427)&gt;0)),"3 Feb 2020","")</f>
        <v/>
      </c>
      <c r="BI427" s="90">
        <v>217783</v>
      </c>
      <c r="BJ427" s="90" t="str">
        <f>L427</f>
        <v>5D56AT76988-71</v>
      </c>
      <c r="BK427" s="127">
        <v>43508</v>
      </c>
      <c r="BL427" s="127">
        <v>44239</v>
      </c>
      <c r="BM427" s="128">
        <f>P427*1.1</f>
        <v>2897361.5000000005</v>
      </c>
      <c r="BN427" s="129">
        <f>P427*0.9</f>
        <v>2370568.5</v>
      </c>
      <c r="BO427" s="130">
        <f>P427*0.8</f>
        <v>2107172</v>
      </c>
      <c r="BP427" s="90">
        <f>IF(Z427="Y",BM427*0.4,BM427*1.05)</f>
        <v>3042229.5750000007</v>
      </c>
      <c r="BQ427" s="90">
        <f>BP427*0.8</f>
        <v>2433783.6600000006</v>
      </c>
      <c r="BR427" s="90" t="str">
        <f>IF(ISNUMBER(SEARCH("subrecipient",AI423)),P427*0.6,"")</f>
        <v/>
      </c>
      <c r="BS427" s="90">
        <v>217783</v>
      </c>
      <c r="BT427" s="90" t="str">
        <f>BJ427</f>
        <v>5D56AT76988-71</v>
      </c>
      <c r="BU427" s="127">
        <f>BK427</f>
        <v>43508</v>
      </c>
      <c r="BV427" s="127">
        <f>BL427</f>
        <v>44239</v>
      </c>
      <c r="BW427" s="90" t="str">
        <f>H427</f>
        <v>FDA</v>
      </c>
      <c r="BX427" s="90" t="str">
        <f>IF(H427="NATIONAL HEMOPHILIA FOUNDATION","Non Federal","Federal")</f>
        <v>Federal</v>
      </c>
      <c r="BY427" s="128">
        <f>BM427</f>
        <v>2897361.5000000005</v>
      </c>
      <c r="BZ427" s="90" t="str">
        <f>IF(LEN(BR427)&gt;0,1,"")</f>
        <v/>
      </c>
      <c r="CA427" s="90" t="str">
        <f>IF(LEN(BR427)&gt;0,"VIRAL HEPATITIS PROJECT","")</f>
        <v/>
      </c>
      <c r="CB427" s="129" t="str">
        <f>IF(LEN(BR427)&gt;0,BM427*0.7,"")</f>
        <v/>
      </c>
      <c r="CC427" s="90">
        <f>BP427</f>
        <v>3042229.5750000007</v>
      </c>
      <c r="CD427" s="90" t="str">
        <f>IF(LEN(BR427)&gt;0,"70%","")</f>
        <v/>
      </c>
      <c r="CE427" s="90">
        <f>BS427</f>
        <v>217783</v>
      </c>
      <c r="CF427" s="90" t="str">
        <f>CA427</f>
        <v/>
      </c>
      <c r="CG427" s="90"/>
      <c r="CH427" s="90"/>
      <c r="CI427" s="90"/>
      <c r="CJ427" s="90"/>
      <c r="CK427" s="90"/>
      <c r="CL427" s="90"/>
      <c r="CM427" s="90"/>
      <c r="CN427" s="90"/>
      <c r="CO427" s="90"/>
      <c r="CP427" s="90"/>
      <c r="CQ427" s="90"/>
      <c r="CR427" s="90"/>
      <c r="CS427" s="90"/>
      <c r="CT427" s="137"/>
    </row>
    <row r="428" spans="1:98" ht="90">
      <c r="A428" s="89">
        <v>217783</v>
      </c>
      <c r="B428" s="90">
        <v>2020</v>
      </c>
      <c r="C428" s="90" t="s">
        <v>81</v>
      </c>
      <c r="D428" s="90" t="s">
        <v>1264</v>
      </c>
      <c r="E428" s="125" t="s">
        <v>790</v>
      </c>
      <c r="F428" s="24" t="s">
        <v>1265</v>
      </c>
      <c r="G428" s="90" t="s">
        <v>85</v>
      </c>
      <c r="H428" s="90" t="s">
        <v>132</v>
      </c>
      <c r="I428" s="90">
        <v>93</v>
      </c>
      <c r="J428" s="90">
        <v>157</v>
      </c>
      <c r="K428" s="90" t="s">
        <v>85</v>
      </c>
      <c r="L428" s="90" t="s">
        <v>1266</v>
      </c>
      <c r="M428" s="90" t="s">
        <v>119</v>
      </c>
      <c r="N428" s="24" t="s">
        <v>243</v>
      </c>
      <c r="O428" s="24" t="str">
        <f>IF(ISNUMBER(SEARCH("Cancer",N428)),"Cancer",IF(ISNUMBER(SEARCH("health",N428)),"Public health",IF(ISNUMBER(SEARCH("disabilities",N428)),"Disabilities","Other")))</f>
        <v>Other</v>
      </c>
      <c r="P428" s="126">
        <v>2633965</v>
      </c>
      <c r="Q428" s="90" t="s">
        <v>85</v>
      </c>
      <c r="R428" s="90" t="str">
        <f>IF(P428&gt;20000000,"B","A")</f>
        <v>A</v>
      </c>
      <c r="S428" s="90" t="s">
        <v>90</v>
      </c>
      <c r="T428" s="90" t="s">
        <v>119</v>
      </c>
      <c r="U428" s="90" t="s">
        <v>119</v>
      </c>
      <c r="V428" s="90" t="s">
        <v>119</v>
      </c>
      <c r="W428" s="90" t="s">
        <v>119</v>
      </c>
      <c r="X428" s="90" t="s">
        <v>119</v>
      </c>
      <c r="Y428" s="90" t="s">
        <v>119</v>
      </c>
      <c r="Z428" s="90" t="s">
        <v>119</v>
      </c>
      <c r="AA428" s="90" t="s">
        <v>119</v>
      </c>
      <c r="AB428" s="90" t="s">
        <v>119</v>
      </c>
      <c r="AC428" s="90" t="s">
        <v>119</v>
      </c>
      <c r="AD428" s="90" t="s">
        <v>119</v>
      </c>
      <c r="AE428" s="24">
        <v>0</v>
      </c>
      <c r="AF428" s="90">
        <v>0</v>
      </c>
      <c r="AG428" s="24">
        <v>0</v>
      </c>
      <c r="AH428" s="90">
        <v>76989</v>
      </c>
      <c r="AI428" s="24" t="s">
        <v>102</v>
      </c>
      <c r="AJ428" s="24" t="s">
        <v>103</v>
      </c>
      <c r="AK428" s="90" t="s">
        <v>85</v>
      </c>
      <c r="AL428" s="90">
        <v>217783</v>
      </c>
      <c r="AM428" s="90" t="s">
        <v>81</v>
      </c>
      <c r="AN428" s="90" t="s">
        <v>1264</v>
      </c>
      <c r="AO428" s="125" t="s">
        <v>790</v>
      </c>
      <c r="AP428" s="24" t="s">
        <v>243</v>
      </c>
      <c r="AQ428" s="90" t="s">
        <v>1266</v>
      </c>
      <c r="AR428" s="24" t="s">
        <v>243</v>
      </c>
      <c r="AS428" s="90" t="s">
        <v>119</v>
      </c>
      <c r="AT428" s="24" t="s">
        <v>102</v>
      </c>
      <c r="AU428" s="90" t="s">
        <v>119</v>
      </c>
      <c r="AV428" s="90" t="str">
        <f>IF(ISNUMBER(SEARCH("disagree",AE428)),"N","Y")</f>
        <v>Y</v>
      </c>
      <c r="AW428" s="90" t="s">
        <v>119</v>
      </c>
      <c r="AX428" s="24" t="s">
        <v>119</v>
      </c>
      <c r="AY428" s="90" t="str">
        <f>CONCATENATE(AZ428,BA428,BB428,BC428)</f>
        <v/>
      </c>
      <c r="AZ428" s="90" t="str">
        <f>IF(ISNUMBER(SEARCH("Y",AC428)),"R","")</f>
        <v/>
      </c>
      <c r="BA428" s="90" t="str">
        <f>IF(ISNUMBER(SEARCH("Y",Y428)),"M","")</f>
        <v/>
      </c>
      <c r="BB428" s="90" t="str">
        <f>IF(ISNUMBER(SEARCH("Y",AB428)),"QC","")</f>
        <v/>
      </c>
      <c r="BC428" s="90" t="str">
        <f>IF(ISNUMBER(SEARCH("Y",Z428)),"S","")</f>
        <v/>
      </c>
      <c r="BD428" s="90"/>
      <c r="BE428" s="24" t="s">
        <v>119</v>
      </c>
      <c r="BF428" s="125" t="str">
        <f>IF(AND(AW428&gt;=56543,AW428&lt;=76543,LEN(AW428)&gt;0),"3 Feb 2020",IF(AND(AW428&gt;=66544,AW428&lt;=99999,LEN(AW428)&gt;0),"12 Sep 2020",""))</f>
        <v/>
      </c>
      <c r="BG428" s="125" t="str">
        <f>IF((AND(BF428="3 Feb 2020",LEN(BF428)&gt;0)),"Completed",IF((AND(BF428="12 Sep 2020",LEN(BF428)&gt;0)),"Pending",""))</f>
        <v/>
      </c>
      <c r="BH428" s="90" t="str">
        <f>IF((AND(BF428="3 Feb 2020",LEN(BF428)&gt;0)),"3 Feb 2020","")</f>
        <v/>
      </c>
      <c r="BI428" s="90">
        <v>217783</v>
      </c>
      <c r="BJ428" s="90" t="str">
        <f>L428</f>
        <v>5D56AT76988-71</v>
      </c>
      <c r="BK428" s="127">
        <v>43508</v>
      </c>
      <c r="BL428" s="127">
        <v>44239</v>
      </c>
      <c r="BM428" s="128">
        <f>P428*1.1</f>
        <v>2897361.5000000005</v>
      </c>
      <c r="BN428" s="129">
        <f>P428*0.9</f>
        <v>2370568.5</v>
      </c>
      <c r="BO428" s="130">
        <f>P428*0.8</f>
        <v>2107172</v>
      </c>
      <c r="BP428" s="90">
        <f>IF(Z428="Y",BM428*0.4,BM428*1.05)</f>
        <v>3042229.5750000007</v>
      </c>
      <c r="BQ428" s="90">
        <f>BP428*0.8</f>
        <v>2433783.6600000006</v>
      </c>
      <c r="BR428" s="90" t="str">
        <f>IF(ISNUMBER(SEARCH("subrecipient",AI424)),P428*0.6,"")</f>
        <v/>
      </c>
      <c r="BS428" s="90">
        <v>217783</v>
      </c>
      <c r="BT428" s="90" t="str">
        <f>BJ428</f>
        <v>5D56AT76988-71</v>
      </c>
      <c r="BU428" s="127">
        <f>BK428</f>
        <v>43508</v>
      </c>
      <c r="BV428" s="127">
        <f>BL428</f>
        <v>44239</v>
      </c>
      <c r="BW428" s="90" t="str">
        <f>H428</f>
        <v>FDA</v>
      </c>
      <c r="BX428" s="90" t="str">
        <f>IF(H428="NATIONAL HEMOPHILIA FOUNDATION","Non Federal","Federal")</f>
        <v>Federal</v>
      </c>
      <c r="BY428" s="128">
        <f>BM428</f>
        <v>2897361.5000000005</v>
      </c>
      <c r="BZ428" s="90" t="str">
        <f>IF(LEN(BR428)&gt;0,1,"")</f>
        <v/>
      </c>
      <c r="CA428" s="90" t="str">
        <f>IF(LEN(BR428)&gt;0,"VIRAL HEPATITIS PROJECT","")</f>
        <v/>
      </c>
      <c r="CB428" s="129" t="str">
        <f>IF(LEN(BR428)&gt;0,BM428*0.7,"")</f>
        <v/>
      </c>
      <c r="CC428" s="90">
        <f>BP428</f>
        <v>3042229.5750000007</v>
      </c>
      <c r="CD428" s="90" t="str">
        <f>IF(LEN(BR428)&gt;0,"70%","")</f>
        <v/>
      </c>
      <c r="CE428" s="90">
        <f>BS428</f>
        <v>217783</v>
      </c>
      <c r="CF428" s="90" t="str">
        <f>CA428</f>
        <v/>
      </c>
      <c r="CG428" s="90"/>
      <c r="CH428" s="90"/>
      <c r="CI428" s="90"/>
      <c r="CJ428" s="90"/>
      <c r="CK428" s="90"/>
      <c r="CL428" s="90"/>
      <c r="CM428" s="90"/>
      <c r="CN428" s="90"/>
      <c r="CO428" s="90"/>
      <c r="CP428" s="90"/>
      <c r="CQ428" s="90"/>
      <c r="CR428" s="90"/>
      <c r="CS428" s="90"/>
      <c r="CT428" s="137"/>
    </row>
    <row r="429" spans="1:98" ht="90">
      <c r="A429" s="89">
        <v>217783</v>
      </c>
      <c r="B429" s="90">
        <v>2020</v>
      </c>
      <c r="C429" s="90" t="s">
        <v>81</v>
      </c>
      <c r="D429" s="90" t="s">
        <v>1264</v>
      </c>
      <c r="E429" s="125" t="s">
        <v>791</v>
      </c>
      <c r="F429" s="24" t="s">
        <v>1265</v>
      </c>
      <c r="G429" s="90" t="s">
        <v>85</v>
      </c>
      <c r="H429" s="90" t="s">
        <v>132</v>
      </c>
      <c r="I429" s="90">
        <v>93</v>
      </c>
      <c r="J429" s="90">
        <v>157</v>
      </c>
      <c r="K429" s="90" t="s">
        <v>85</v>
      </c>
      <c r="L429" s="90" t="s">
        <v>1266</v>
      </c>
      <c r="M429" s="90" t="s">
        <v>119</v>
      </c>
      <c r="N429" s="24" t="s">
        <v>243</v>
      </c>
      <c r="O429" s="24" t="str">
        <f>IF(ISNUMBER(SEARCH("Cancer",N429)),"Cancer",IF(ISNUMBER(SEARCH("health",N429)),"Public health",IF(ISNUMBER(SEARCH("disabilities",N429)),"Disabilities","Other")))</f>
        <v>Other</v>
      </c>
      <c r="P429" s="126">
        <v>2633965</v>
      </c>
      <c r="Q429" s="90" t="s">
        <v>85</v>
      </c>
      <c r="R429" s="90" t="str">
        <f>IF(P429&gt;20000000,"B","A")</f>
        <v>A</v>
      </c>
      <c r="S429" s="90" t="s">
        <v>90</v>
      </c>
      <c r="T429" s="90" t="s">
        <v>119</v>
      </c>
      <c r="U429" s="90" t="s">
        <v>119</v>
      </c>
      <c r="V429" s="90" t="s">
        <v>119</v>
      </c>
      <c r="W429" s="90" t="s">
        <v>119</v>
      </c>
      <c r="X429" s="90" t="s">
        <v>119</v>
      </c>
      <c r="Y429" s="90" t="s">
        <v>119</v>
      </c>
      <c r="Z429" s="90" t="s">
        <v>119</v>
      </c>
      <c r="AA429" s="90" t="s">
        <v>119</v>
      </c>
      <c r="AB429" s="90" t="s">
        <v>119</v>
      </c>
      <c r="AC429" s="90" t="s">
        <v>119</v>
      </c>
      <c r="AD429" s="90" t="s">
        <v>119</v>
      </c>
      <c r="AE429" s="24">
        <v>0</v>
      </c>
      <c r="AF429" s="90">
        <v>0</v>
      </c>
      <c r="AG429" s="24">
        <v>0</v>
      </c>
      <c r="AH429" s="90">
        <v>76988</v>
      </c>
      <c r="AI429" s="24" t="s">
        <v>110</v>
      </c>
      <c r="AJ429" s="24" t="s">
        <v>1267</v>
      </c>
      <c r="AK429" s="90" t="s">
        <v>85</v>
      </c>
      <c r="AL429" s="90">
        <v>217783</v>
      </c>
      <c r="AM429" s="90" t="s">
        <v>81</v>
      </c>
      <c r="AN429" s="90" t="s">
        <v>1264</v>
      </c>
      <c r="AO429" s="125" t="s">
        <v>791</v>
      </c>
      <c r="AP429" s="24" t="s">
        <v>243</v>
      </c>
      <c r="AQ429" s="90" t="s">
        <v>1266</v>
      </c>
      <c r="AR429" s="24" t="s">
        <v>243</v>
      </c>
      <c r="AS429" s="90" t="s">
        <v>119</v>
      </c>
      <c r="AT429" s="24" t="s">
        <v>110</v>
      </c>
      <c r="AU429" s="90" t="s">
        <v>119</v>
      </c>
      <c r="AV429" s="90" t="str">
        <f>IF(ISNUMBER(SEARCH("disagree",AE429)),"N","Y")</f>
        <v>Y</v>
      </c>
      <c r="AW429" s="90" t="s">
        <v>119</v>
      </c>
      <c r="AX429" s="24" t="s">
        <v>119</v>
      </c>
      <c r="AY429" s="90" t="str">
        <f>CONCATENATE(AZ429,BA429,BB429,BC429)</f>
        <v/>
      </c>
      <c r="AZ429" s="90" t="str">
        <f>IF(ISNUMBER(SEARCH("Y",AC429)),"R","")</f>
        <v/>
      </c>
      <c r="BA429" s="90" t="str">
        <f>IF(ISNUMBER(SEARCH("Y",Y429)),"M","")</f>
        <v/>
      </c>
      <c r="BB429" s="90" t="str">
        <f>IF(ISNUMBER(SEARCH("Y",AB429)),"QC","")</f>
        <v/>
      </c>
      <c r="BC429" s="90" t="str">
        <f>IF(ISNUMBER(SEARCH("Y",Z429)),"S","")</f>
        <v/>
      </c>
      <c r="BD429" s="90"/>
      <c r="BE429" s="24" t="s">
        <v>119</v>
      </c>
      <c r="BF429" s="125" t="str">
        <f>IF(AND(AW429&gt;=56543,AW429&lt;=76543,LEN(AW429)&gt;0),"3 Feb 2020",IF(AND(AW429&gt;=66544,AW429&lt;=99999,LEN(AW429)&gt;0),"12 Sep 2020",""))</f>
        <v/>
      </c>
      <c r="BG429" s="125" t="str">
        <f>IF((AND(BF429="3 Feb 2020",LEN(BF429)&gt;0)),"Completed",IF((AND(BF429="12 Sep 2020",LEN(BF429)&gt;0)),"Pending",""))</f>
        <v/>
      </c>
      <c r="BH429" s="90" t="str">
        <f>IF((AND(BF429="3 Feb 2020",LEN(BF429)&gt;0)),"3 Feb 2020","")</f>
        <v/>
      </c>
      <c r="BI429" s="90">
        <v>217783</v>
      </c>
      <c r="BJ429" s="90" t="str">
        <f>L429</f>
        <v>5D56AT76988-71</v>
      </c>
      <c r="BK429" s="127">
        <v>43508</v>
      </c>
      <c r="BL429" s="127">
        <v>44239</v>
      </c>
      <c r="BM429" s="128">
        <f>P429*1.1</f>
        <v>2897361.5000000005</v>
      </c>
      <c r="BN429" s="129">
        <f>P429*0.9</f>
        <v>2370568.5</v>
      </c>
      <c r="BO429" s="130">
        <f>P429*0.8</f>
        <v>2107172</v>
      </c>
      <c r="BP429" s="90">
        <f>IF(Z429="Y",BM429*0.4,BM429*1.05)</f>
        <v>3042229.5750000007</v>
      </c>
      <c r="BQ429" s="90">
        <f>BP429*0.8</f>
        <v>2433783.6600000006</v>
      </c>
      <c r="BR429" s="90" t="str">
        <f>IF(ISNUMBER(SEARCH("subrecipient",AI425)),P429*0.6,"")</f>
        <v/>
      </c>
      <c r="BS429" s="90">
        <v>217783</v>
      </c>
      <c r="BT429" s="90" t="str">
        <f>BJ429</f>
        <v>5D56AT76988-71</v>
      </c>
      <c r="BU429" s="127">
        <f>BK429</f>
        <v>43508</v>
      </c>
      <c r="BV429" s="127">
        <f>BL429</f>
        <v>44239</v>
      </c>
      <c r="BW429" s="90" t="str">
        <f>H429</f>
        <v>FDA</v>
      </c>
      <c r="BX429" s="90" t="str">
        <f>IF(H429="NATIONAL HEMOPHILIA FOUNDATION","Non Federal","Federal")</f>
        <v>Federal</v>
      </c>
      <c r="BY429" s="128">
        <f>BM429</f>
        <v>2897361.5000000005</v>
      </c>
      <c r="BZ429" s="90" t="str">
        <f>IF(LEN(BR429)&gt;0,1,"")</f>
        <v/>
      </c>
      <c r="CA429" s="90" t="str">
        <f>IF(LEN(BR429)&gt;0,"VIRAL HEPATITIS PROJECT","")</f>
        <v/>
      </c>
      <c r="CB429" s="129" t="str">
        <f>IF(LEN(BR429)&gt;0,BM429*0.7,"")</f>
        <v/>
      </c>
      <c r="CC429" s="90">
        <f>BP429</f>
        <v>3042229.5750000007</v>
      </c>
      <c r="CD429" s="90" t="str">
        <f>IF(LEN(BR429)&gt;0,"70%","")</f>
        <v/>
      </c>
      <c r="CE429" s="90">
        <f>BS429</f>
        <v>217783</v>
      </c>
      <c r="CF429" s="90" t="str">
        <f>CA429</f>
        <v/>
      </c>
      <c r="CG429" s="90"/>
      <c r="CH429" s="90"/>
      <c r="CI429" s="90"/>
      <c r="CJ429" s="90"/>
      <c r="CK429" s="90"/>
      <c r="CL429" s="90"/>
      <c r="CM429" s="90"/>
      <c r="CN429" s="90"/>
      <c r="CO429" s="90"/>
      <c r="CP429" s="90"/>
      <c r="CQ429" s="90"/>
      <c r="CR429" s="90"/>
      <c r="CS429" s="90"/>
      <c r="CT429" s="137"/>
    </row>
    <row r="430" spans="1:98" ht="90">
      <c r="A430" s="89">
        <v>217868</v>
      </c>
      <c r="B430" s="90">
        <v>2020</v>
      </c>
      <c r="C430" s="90" t="s">
        <v>81</v>
      </c>
      <c r="D430" s="90" t="s">
        <v>1268</v>
      </c>
      <c r="E430" s="125" t="s">
        <v>793</v>
      </c>
      <c r="F430" s="24" t="s">
        <v>1269</v>
      </c>
      <c r="G430" s="90" t="s">
        <v>85</v>
      </c>
      <c r="H430" s="90" t="s">
        <v>150</v>
      </c>
      <c r="I430" s="90">
        <v>93</v>
      </c>
      <c r="J430" s="90">
        <v>157</v>
      </c>
      <c r="K430" s="90" t="s">
        <v>85</v>
      </c>
      <c r="L430" s="90" t="s">
        <v>1270</v>
      </c>
      <c r="M430" s="90" t="s">
        <v>119</v>
      </c>
      <c r="N430" s="24" t="s">
        <v>1211</v>
      </c>
      <c r="O430" s="24" t="str">
        <f>IF(ISNUMBER(SEARCH("Cancer",N430)),"Cancer",IF(ISNUMBER(SEARCH("health",N430)),"Public health",IF(ISNUMBER(SEARCH("disabilities",N430)),"Disabilities","Other")))</f>
        <v>Other</v>
      </c>
      <c r="P430" s="126">
        <v>2592302</v>
      </c>
      <c r="Q430" s="90" t="s">
        <v>85</v>
      </c>
      <c r="R430" s="90" t="str">
        <f>IF(P430&gt;20000000,"B","A")</f>
        <v>A</v>
      </c>
      <c r="S430" s="90" t="s">
        <v>90</v>
      </c>
      <c r="T430" s="90" t="s">
        <v>119</v>
      </c>
      <c r="U430" s="90" t="s">
        <v>119</v>
      </c>
      <c r="V430" s="90" t="s">
        <v>119</v>
      </c>
      <c r="W430" s="90" t="s">
        <v>119</v>
      </c>
      <c r="X430" s="90" t="s">
        <v>119</v>
      </c>
      <c r="Y430" s="90" t="s">
        <v>119</v>
      </c>
      <c r="Z430" s="90" t="s">
        <v>119</v>
      </c>
      <c r="AA430" s="90" t="s">
        <v>119</v>
      </c>
      <c r="AB430" s="90" t="s">
        <v>119</v>
      </c>
      <c r="AC430" s="90" t="s">
        <v>119</v>
      </c>
      <c r="AD430" s="90" t="s">
        <v>119</v>
      </c>
      <c r="AE430" s="24">
        <v>0</v>
      </c>
      <c r="AF430" s="90">
        <v>0</v>
      </c>
      <c r="AG430" s="24">
        <v>0</v>
      </c>
      <c r="AH430" s="90">
        <v>87155</v>
      </c>
      <c r="AI430" s="24" t="s">
        <v>94</v>
      </c>
      <c r="AJ430" s="24" t="s">
        <v>1271</v>
      </c>
      <c r="AK430" s="90" t="s">
        <v>85</v>
      </c>
      <c r="AL430" s="90">
        <v>217868</v>
      </c>
      <c r="AM430" s="90" t="s">
        <v>81</v>
      </c>
      <c r="AN430" s="90" t="s">
        <v>1268</v>
      </c>
      <c r="AO430" s="125" t="s">
        <v>793</v>
      </c>
      <c r="AP430" s="24" t="s">
        <v>1211</v>
      </c>
      <c r="AQ430" s="90" t="s">
        <v>1270</v>
      </c>
      <c r="AR430" s="24" t="s">
        <v>1211</v>
      </c>
      <c r="AS430" s="90" t="s">
        <v>119</v>
      </c>
      <c r="AT430" s="24" t="s">
        <v>94</v>
      </c>
      <c r="AU430" s="90" t="s">
        <v>119</v>
      </c>
      <c r="AV430" s="90" t="str">
        <f>IF(ISNUMBER(SEARCH("disagree",AE430)),"N","Y")</f>
        <v>Y</v>
      </c>
      <c r="AW430" s="90" t="s">
        <v>119</v>
      </c>
      <c r="AX430" s="24" t="s">
        <v>119</v>
      </c>
      <c r="AY430" s="90" t="str">
        <f>CONCATENATE(AZ430,BA430,BB430,BC430)</f>
        <v/>
      </c>
      <c r="AZ430" s="90" t="str">
        <f>IF(ISNUMBER(SEARCH("Y",AC430)),"R","")</f>
        <v/>
      </c>
      <c r="BA430" s="90" t="str">
        <f>IF(ISNUMBER(SEARCH("Y",Y430)),"M","")</f>
        <v/>
      </c>
      <c r="BB430" s="90" t="str">
        <f>IF(ISNUMBER(SEARCH("Y",AB430)),"QC","")</f>
        <v/>
      </c>
      <c r="BC430" s="90" t="str">
        <f>IF(ISNUMBER(SEARCH("Y",Z430)),"S","")</f>
        <v/>
      </c>
      <c r="BD430" s="90"/>
      <c r="BE430" s="24" t="s">
        <v>119</v>
      </c>
      <c r="BF430" s="125" t="str">
        <f>IF(AND(AW430&gt;=56543,AW430&lt;=76543,LEN(AW430)&gt;0),"3 Feb 2020",IF(AND(AW430&gt;=66544,AW430&lt;=99999,LEN(AW430)&gt;0),"12 Sep 2020",""))</f>
        <v/>
      </c>
      <c r="BG430" s="125" t="str">
        <f>IF((AND(BF430="3 Feb 2020",LEN(BF430)&gt;0)),"Completed",IF((AND(BF430="12 Sep 2020",LEN(BF430)&gt;0)),"Pending",""))</f>
        <v/>
      </c>
      <c r="BH430" s="90" t="str">
        <f>IF((AND(BF430="3 Feb 2020",LEN(BF430)&gt;0)),"3 Feb 2020","")</f>
        <v/>
      </c>
      <c r="BI430" s="90">
        <v>217868</v>
      </c>
      <c r="BJ430" s="90" t="str">
        <f>L430</f>
        <v>4D34FT86530-15</v>
      </c>
      <c r="BK430" s="127">
        <v>43508</v>
      </c>
      <c r="BL430" s="127">
        <v>44239</v>
      </c>
      <c r="BM430" s="128">
        <f>P430*1.1</f>
        <v>2851532.2</v>
      </c>
      <c r="BN430" s="129">
        <f>P430*0.9</f>
        <v>2333071.8000000003</v>
      </c>
      <c r="BO430" s="130">
        <f>P430*0.8</f>
        <v>2073841.6</v>
      </c>
      <c r="BP430" s="90">
        <f>IF(Z430="Y",BM430*0.4,BM430*1.05)</f>
        <v>2994108.8100000005</v>
      </c>
      <c r="BQ430" s="90">
        <f>BP430*0.8</f>
        <v>2395287.0480000004</v>
      </c>
      <c r="BR430" s="90" t="str">
        <f>IF(ISNUMBER(SEARCH("subrecipient",AI426)),P430*0.6,"")</f>
        <v/>
      </c>
      <c r="BS430" s="90">
        <v>217868</v>
      </c>
      <c r="BT430" s="90" t="str">
        <f>BJ430</f>
        <v>4D34FT86530-15</v>
      </c>
      <c r="BU430" s="127">
        <f>BK430</f>
        <v>43508</v>
      </c>
      <c r="BV430" s="127">
        <f>BL430</f>
        <v>44239</v>
      </c>
      <c r="BW430" s="90" t="str">
        <f>H430</f>
        <v>ACF</v>
      </c>
      <c r="BX430" s="90" t="str">
        <f>IF(H430="NATIONAL HEMOPHILIA FOUNDATION","Non Federal","Federal")</f>
        <v>Federal</v>
      </c>
      <c r="BY430" s="128">
        <f>BM430</f>
        <v>2851532.2</v>
      </c>
      <c r="BZ430" s="90" t="str">
        <f>IF(LEN(BR430)&gt;0,1,"")</f>
        <v/>
      </c>
      <c r="CA430" s="90" t="str">
        <f>IF(LEN(BR430)&gt;0,"VIRAL HEPATITIS PROJECT","")</f>
        <v/>
      </c>
      <c r="CB430" s="129" t="str">
        <f>IF(LEN(BR430)&gt;0,BM430*0.7,"")</f>
        <v/>
      </c>
      <c r="CC430" s="90">
        <f>BP430</f>
        <v>2994108.8100000005</v>
      </c>
      <c r="CD430" s="90" t="str">
        <f>IF(LEN(BR430)&gt;0,"70%","")</f>
        <v/>
      </c>
      <c r="CE430" s="90">
        <f>BS430</f>
        <v>217868</v>
      </c>
      <c r="CF430" s="90" t="str">
        <f>CA430</f>
        <v/>
      </c>
      <c r="CG430" s="90"/>
      <c r="CH430" s="90"/>
      <c r="CI430" s="90"/>
      <c r="CJ430" s="90"/>
      <c r="CK430" s="90"/>
      <c r="CL430" s="90"/>
      <c r="CM430" s="90"/>
      <c r="CN430" s="90"/>
      <c r="CO430" s="90"/>
      <c r="CP430" s="90"/>
      <c r="CQ430" s="90"/>
      <c r="CR430" s="90"/>
      <c r="CS430" s="90"/>
      <c r="CT430" s="137"/>
    </row>
    <row r="431" spans="1:98" ht="60">
      <c r="A431" s="89">
        <v>217868</v>
      </c>
      <c r="B431" s="90">
        <v>2020</v>
      </c>
      <c r="C431" s="90" t="s">
        <v>81</v>
      </c>
      <c r="D431" s="90" t="s">
        <v>1268</v>
      </c>
      <c r="E431" s="125" t="s">
        <v>780</v>
      </c>
      <c r="F431" s="24" t="s">
        <v>1269</v>
      </c>
      <c r="G431" s="90" t="s">
        <v>85</v>
      </c>
      <c r="H431" s="90" t="s">
        <v>150</v>
      </c>
      <c r="I431" s="90">
        <v>93</v>
      </c>
      <c r="J431" s="90">
        <v>157</v>
      </c>
      <c r="K431" s="90" t="s">
        <v>85</v>
      </c>
      <c r="L431" s="90" t="s">
        <v>1270</v>
      </c>
      <c r="M431" s="90" t="s">
        <v>119</v>
      </c>
      <c r="N431" s="24" t="s">
        <v>1211</v>
      </c>
      <c r="O431" s="24" t="str">
        <f>IF(ISNUMBER(SEARCH("Cancer",N431)),"Cancer",IF(ISNUMBER(SEARCH("health",N431)),"Public health",IF(ISNUMBER(SEARCH("disabilities",N431)),"Disabilities","Other")))</f>
        <v>Other</v>
      </c>
      <c r="P431" s="126">
        <v>2592302</v>
      </c>
      <c r="Q431" s="90" t="s">
        <v>85</v>
      </c>
      <c r="R431" s="90" t="str">
        <f>IF(P431&gt;20000000,"B","A")</f>
        <v>A</v>
      </c>
      <c r="S431" s="90" t="s">
        <v>90</v>
      </c>
      <c r="T431" s="90" t="s">
        <v>119</v>
      </c>
      <c r="U431" s="90" t="s">
        <v>119</v>
      </c>
      <c r="V431" s="90" t="s">
        <v>119</v>
      </c>
      <c r="W431" s="90" t="s">
        <v>119</v>
      </c>
      <c r="X431" s="90" t="s">
        <v>119</v>
      </c>
      <c r="Y431" s="90" t="s">
        <v>119</v>
      </c>
      <c r="Z431" s="90" t="s">
        <v>119</v>
      </c>
      <c r="AA431" s="90" t="s">
        <v>119</v>
      </c>
      <c r="AB431" s="90" t="s">
        <v>119</v>
      </c>
      <c r="AC431" s="90" t="s">
        <v>119</v>
      </c>
      <c r="AD431" s="90" t="s">
        <v>119</v>
      </c>
      <c r="AE431" s="24">
        <v>0</v>
      </c>
      <c r="AF431" s="90">
        <v>0</v>
      </c>
      <c r="AG431" s="24">
        <v>0</v>
      </c>
      <c r="AH431" s="90">
        <v>87154</v>
      </c>
      <c r="AI431" s="24" t="s">
        <v>102</v>
      </c>
      <c r="AJ431" s="24" t="s">
        <v>103</v>
      </c>
      <c r="AK431" s="90" t="s">
        <v>85</v>
      </c>
      <c r="AL431" s="90">
        <v>217868</v>
      </c>
      <c r="AM431" s="90" t="s">
        <v>81</v>
      </c>
      <c r="AN431" s="90" t="s">
        <v>1268</v>
      </c>
      <c r="AO431" s="125" t="s">
        <v>780</v>
      </c>
      <c r="AP431" s="24" t="s">
        <v>1211</v>
      </c>
      <c r="AQ431" s="90" t="s">
        <v>1270</v>
      </c>
      <c r="AR431" s="24" t="s">
        <v>1211</v>
      </c>
      <c r="AS431" s="90" t="s">
        <v>119</v>
      </c>
      <c r="AT431" s="24" t="s">
        <v>102</v>
      </c>
      <c r="AU431" s="90" t="s">
        <v>119</v>
      </c>
      <c r="AV431" s="90" t="str">
        <f>IF(ISNUMBER(SEARCH("disagree",AE431)),"N","Y")</f>
        <v>Y</v>
      </c>
      <c r="AW431" s="90" t="s">
        <v>119</v>
      </c>
      <c r="AX431" s="24" t="s">
        <v>119</v>
      </c>
      <c r="AY431" s="90" t="str">
        <f>CONCATENATE(AZ431,BA431,BB431,BC431)</f>
        <v/>
      </c>
      <c r="AZ431" s="90" t="str">
        <f>IF(ISNUMBER(SEARCH("Y",AC431)),"R","")</f>
        <v/>
      </c>
      <c r="BA431" s="90" t="str">
        <f>IF(ISNUMBER(SEARCH("Y",Y431)),"M","")</f>
        <v/>
      </c>
      <c r="BB431" s="90" t="str">
        <f>IF(ISNUMBER(SEARCH("Y",AB431)),"QC","")</f>
        <v/>
      </c>
      <c r="BC431" s="90" t="str">
        <f>IF(ISNUMBER(SEARCH("Y",Z431)),"S","")</f>
        <v/>
      </c>
      <c r="BD431" s="90"/>
      <c r="BE431" s="24" t="s">
        <v>119</v>
      </c>
      <c r="BF431" s="125" t="str">
        <f>IF(AND(AW431&gt;=56543,AW431&lt;=76543,LEN(AW431)&gt;0),"3 Feb 2020",IF(AND(AW431&gt;=66544,AW431&lt;=99999,LEN(AW431)&gt;0),"12 Sep 2020",""))</f>
        <v/>
      </c>
      <c r="BG431" s="125" t="str">
        <f>IF((AND(BF431="3 Feb 2020",LEN(BF431)&gt;0)),"Completed",IF((AND(BF431="12 Sep 2020",LEN(BF431)&gt;0)),"Pending",""))</f>
        <v/>
      </c>
      <c r="BH431" s="90" t="str">
        <f>IF((AND(BF431="3 Feb 2020",LEN(BF431)&gt;0)),"3 Feb 2020","")</f>
        <v/>
      </c>
      <c r="BI431" s="90">
        <v>217868</v>
      </c>
      <c r="BJ431" s="90" t="str">
        <f>L431</f>
        <v>4D34FT86530-15</v>
      </c>
      <c r="BK431" s="127">
        <v>43508</v>
      </c>
      <c r="BL431" s="127">
        <v>44239</v>
      </c>
      <c r="BM431" s="128">
        <f>P431*1.1</f>
        <v>2851532.2</v>
      </c>
      <c r="BN431" s="129">
        <f>P431*0.9</f>
        <v>2333071.8000000003</v>
      </c>
      <c r="BO431" s="130">
        <f>P431*0.8</f>
        <v>2073841.6</v>
      </c>
      <c r="BP431" s="90">
        <f>IF(Z431="Y",BM431*0.4,BM431*1.05)</f>
        <v>2994108.8100000005</v>
      </c>
      <c r="BQ431" s="90">
        <f>BP431*0.8</f>
        <v>2395287.0480000004</v>
      </c>
      <c r="BR431" s="90" t="str">
        <f>IF(ISNUMBER(SEARCH("subrecipient",AI427)),P431*0.6,"")</f>
        <v/>
      </c>
      <c r="BS431" s="90">
        <v>217868</v>
      </c>
      <c r="BT431" s="90" t="str">
        <f>BJ431</f>
        <v>4D34FT86530-15</v>
      </c>
      <c r="BU431" s="127">
        <f>BK431</f>
        <v>43508</v>
      </c>
      <c r="BV431" s="127">
        <f>BL431</f>
        <v>44239</v>
      </c>
      <c r="BW431" s="90" t="str">
        <f>H431</f>
        <v>ACF</v>
      </c>
      <c r="BX431" s="90" t="str">
        <f>IF(H431="NATIONAL HEMOPHILIA FOUNDATION","Non Federal","Federal")</f>
        <v>Federal</v>
      </c>
      <c r="BY431" s="128">
        <f>BM431</f>
        <v>2851532.2</v>
      </c>
      <c r="BZ431" s="90" t="str">
        <f>IF(LEN(BR431)&gt;0,1,"")</f>
        <v/>
      </c>
      <c r="CA431" s="90" t="str">
        <f>IF(LEN(BR431)&gt;0,"VIRAL HEPATITIS PROJECT","")</f>
        <v/>
      </c>
      <c r="CB431" s="129" t="str">
        <f>IF(LEN(BR431)&gt;0,BM431*0.7,"")</f>
        <v/>
      </c>
      <c r="CC431" s="90">
        <f>BP431</f>
        <v>2994108.8100000005</v>
      </c>
      <c r="CD431" s="90" t="str">
        <f>IF(LEN(BR431)&gt;0,"70%","")</f>
        <v/>
      </c>
      <c r="CE431" s="90">
        <f>BS431</f>
        <v>217868</v>
      </c>
      <c r="CF431" s="90" t="str">
        <f>CA431</f>
        <v/>
      </c>
      <c r="CG431" s="90"/>
      <c r="CH431" s="90"/>
      <c r="CI431" s="90"/>
      <c r="CJ431" s="90"/>
      <c r="CK431" s="90"/>
      <c r="CL431" s="90"/>
      <c r="CM431" s="90"/>
      <c r="CN431" s="90"/>
      <c r="CO431" s="90"/>
      <c r="CP431" s="90"/>
      <c r="CQ431" s="90"/>
      <c r="CR431" s="90"/>
      <c r="CS431" s="90"/>
      <c r="CT431" s="137"/>
    </row>
    <row r="432" spans="1:98" ht="45">
      <c r="A432" s="89">
        <v>220211</v>
      </c>
      <c r="B432" s="90">
        <v>2020</v>
      </c>
      <c r="C432" s="90" t="s">
        <v>81</v>
      </c>
      <c r="D432" s="90" t="s">
        <v>1272</v>
      </c>
      <c r="E432" s="125" t="s">
        <v>781</v>
      </c>
      <c r="F432" s="24" t="s">
        <v>1273</v>
      </c>
      <c r="G432" s="90" t="s">
        <v>85</v>
      </c>
      <c r="H432" s="90" t="s">
        <v>86</v>
      </c>
      <c r="I432" s="90">
        <v>93</v>
      </c>
      <c r="J432" s="90">
        <v>157</v>
      </c>
      <c r="K432" s="90" t="s">
        <v>85</v>
      </c>
      <c r="L432" s="90" t="s">
        <v>1274</v>
      </c>
      <c r="M432" s="90" t="s">
        <v>119</v>
      </c>
      <c r="N432" s="24" t="s">
        <v>254</v>
      </c>
      <c r="O432" s="24" t="str">
        <f>IF(ISNUMBER(SEARCH("Cancer",N432)),"Cancer",IF(ISNUMBER(SEARCH("health",N432)),"Public health",IF(ISNUMBER(SEARCH("disabilities",N432)),"Disabilities","Other")))</f>
        <v>Other</v>
      </c>
      <c r="P432" s="126">
        <v>2849527</v>
      </c>
      <c r="Q432" s="90" t="s">
        <v>85</v>
      </c>
      <c r="R432" s="90" t="str">
        <f>IF(P432&gt;20000000,"B","A")</f>
        <v>A</v>
      </c>
      <c r="S432" s="90" t="s">
        <v>90</v>
      </c>
      <c r="T432" s="90" t="s">
        <v>119</v>
      </c>
      <c r="U432" s="90" t="s">
        <v>119</v>
      </c>
      <c r="V432" s="90" t="s">
        <v>119</v>
      </c>
      <c r="W432" s="90" t="s">
        <v>119</v>
      </c>
      <c r="X432" s="90" t="s">
        <v>119</v>
      </c>
      <c r="Y432" s="90" t="s">
        <v>119</v>
      </c>
      <c r="Z432" s="90" t="s">
        <v>119</v>
      </c>
      <c r="AA432" s="90" t="s">
        <v>119</v>
      </c>
      <c r="AB432" s="90" t="s">
        <v>119</v>
      </c>
      <c r="AC432" s="90" t="s">
        <v>119</v>
      </c>
      <c r="AD432" s="90" t="s">
        <v>119</v>
      </c>
      <c r="AE432" s="24">
        <v>0</v>
      </c>
      <c r="AF432" s="90">
        <v>0</v>
      </c>
      <c r="AG432" s="24">
        <v>0</v>
      </c>
      <c r="AH432" s="90">
        <v>86530</v>
      </c>
      <c r="AI432" s="24" t="s">
        <v>94</v>
      </c>
      <c r="AJ432" s="24" t="s">
        <v>95</v>
      </c>
      <c r="AK432" s="90" t="s">
        <v>85</v>
      </c>
      <c r="AL432" s="90">
        <v>220211</v>
      </c>
      <c r="AM432" s="90" t="s">
        <v>81</v>
      </c>
      <c r="AN432" s="90" t="s">
        <v>1272</v>
      </c>
      <c r="AO432" s="125" t="s">
        <v>781</v>
      </c>
      <c r="AP432" s="24" t="s">
        <v>254</v>
      </c>
      <c r="AQ432" s="90" t="s">
        <v>1274</v>
      </c>
      <c r="AR432" s="24" t="s">
        <v>254</v>
      </c>
      <c r="AS432" s="90" t="s">
        <v>119</v>
      </c>
      <c r="AT432" s="24" t="s">
        <v>94</v>
      </c>
      <c r="AU432" s="90" t="s">
        <v>119</v>
      </c>
      <c r="AV432" s="90" t="str">
        <f>IF(ISNUMBER(SEARCH("disagree",AE432)),"N","Y")</f>
        <v>Y</v>
      </c>
      <c r="AW432" s="90" t="s">
        <v>119</v>
      </c>
      <c r="AX432" s="24" t="s">
        <v>119</v>
      </c>
      <c r="AY432" s="90" t="str">
        <f>CONCATENATE(AZ432,BA432,BB432,BC432)</f>
        <v/>
      </c>
      <c r="AZ432" s="90" t="str">
        <f>IF(ISNUMBER(SEARCH("Y",AC432)),"R","")</f>
        <v/>
      </c>
      <c r="BA432" s="90" t="str">
        <f>IF(ISNUMBER(SEARCH("Y",Y432)),"M","")</f>
        <v/>
      </c>
      <c r="BB432" s="90" t="str">
        <f>IF(ISNUMBER(SEARCH("Y",AB432)),"QC","")</f>
        <v/>
      </c>
      <c r="BC432" s="90" t="str">
        <f>IF(ISNUMBER(SEARCH("Y",Z432)),"S","")</f>
        <v/>
      </c>
      <c r="BD432" s="90"/>
      <c r="BE432" s="24" t="s">
        <v>119</v>
      </c>
      <c r="BF432" s="125" t="str">
        <f>IF(AND(AW432&gt;=56543,AW432&lt;=76543,LEN(AW432)&gt;0),"3 Feb 2020",IF(AND(AW432&gt;=66544,AW432&lt;=99999,LEN(AW432)&gt;0),"12 Sep 2020",""))</f>
        <v/>
      </c>
      <c r="BG432" s="125" t="str">
        <f>IF((AND(BF432="3 Feb 2020",LEN(BF432)&gt;0)),"Completed",IF((AND(BF432="12 Sep 2020",LEN(BF432)&gt;0)),"Pending",""))</f>
        <v/>
      </c>
      <c r="BH432" s="90" t="str">
        <f>IF((AND(BF432="3 Feb 2020",LEN(BF432)&gt;0)),"3 Feb 2020","")</f>
        <v/>
      </c>
      <c r="BI432" s="90">
        <v>220211</v>
      </c>
      <c r="BJ432" s="90" t="str">
        <f>L432</f>
        <v>6D57GT90255-93</v>
      </c>
      <c r="BK432" s="127">
        <v>43508</v>
      </c>
      <c r="BL432" s="127">
        <v>44239</v>
      </c>
      <c r="BM432" s="128">
        <f>P432*1.1</f>
        <v>3134479.7</v>
      </c>
      <c r="BN432" s="129">
        <f>P432*0.9</f>
        <v>2564574.3000000003</v>
      </c>
      <c r="BO432" s="130">
        <f>P432*0.8</f>
        <v>2279621.6</v>
      </c>
      <c r="BP432" s="90">
        <f>IF(Z432="Y",BM432*0.4,BM432*1.05)</f>
        <v>3291203.6850000005</v>
      </c>
      <c r="BQ432" s="90">
        <f>BP432*0.8</f>
        <v>2632962.9480000008</v>
      </c>
      <c r="BR432" s="90" t="str">
        <f>IF(ISNUMBER(SEARCH("subrecipient",AI428)),P432*0.6,"")</f>
        <v/>
      </c>
      <c r="BS432" s="90">
        <v>220211</v>
      </c>
      <c r="BT432" s="90" t="str">
        <f>BJ432</f>
        <v>6D57GT90255-93</v>
      </c>
      <c r="BU432" s="127">
        <f>BK432</f>
        <v>43508</v>
      </c>
      <c r="BV432" s="127">
        <f>BL432</f>
        <v>44239</v>
      </c>
      <c r="BW432" s="90" t="str">
        <f>H432</f>
        <v>CDC</v>
      </c>
      <c r="BX432" s="90" t="str">
        <f>IF(H432="NATIONAL HEMOPHILIA FOUNDATION","Non Federal","Federal")</f>
        <v>Federal</v>
      </c>
      <c r="BY432" s="128">
        <f>BM432</f>
        <v>3134479.7</v>
      </c>
      <c r="BZ432" s="90" t="str">
        <f>IF(LEN(BR432)&gt;0,1,"")</f>
        <v/>
      </c>
      <c r="CA432" s="90" t="str">
        <f>IF(LEN(BR432)&gt;0,"VIRAL HEPATITIS PROJECT","")</f>
        <v/>
      </c>
      <c r="CB432" s="129" t="str">
        <f>IF(LEN(BR432)&gt;0,BM432*0.7,"")</f>
        <v/>
      </c>
      <c r="CC432" s="90">
        <f>BP432</f>
        <v>3291203.6850000005</v>
      </c>
      <c r="CD432" s="90" t="str">
        <f>IF(LEN(BR432)&gt;0,"70%","")</f>
        <v/>
      </c>
      <c r="CE432" s="90">
        <f>BS432</f>
        <v>220211</v>
      </c>
      <c r="CF432" s="90" t="str">
        <f>CA432</f>
        <v/>
      </c>
      <c r="CG432" s="90"/>
      <c r="CH432" s="90"/>
      <c r="CI432" s="90"/>
      <c r="CJ432" s="90"/>
      <c r="CK432" s="90"/>
      <c r="CL432" s="90"/>
      <c r="CM432" s="90"/>
      <c r="CN432" s="90"/>
      <c r="CO432" s="90"/>
      <c r="CP432" s="90"/>
      <c r="CQ432" s="90"/>
      <c r="CR432" s="90"/>
      <c r="CS432" s="90"/>
      <c r="CT432" s="137"/>
    </row>
    <row r="433" spans="1:98" ht="30">
      <c r="A433" s="89">
        <v>220211</v>
      </c>
      <c r="B433" s="90">
        <v>2020</v>
      </c>
      <c r="C433" s="90" t="s">
        <v>81</v>
      </c>
      <c r="D433" s="90" t="s">
        <v>1272</v>
      </c>
      <c r="E433" s="125" t="s">
        <v>784</v>
      </c>
      <c r="F433" s="24" t="s">
        <v>1273</v>
      </c>
      <c r="G433" s="90" t="s">
        <v>85</v>
      </c>
      <c r="H433" s="90" t="s">
        <v>86</v>
      </c>
      <c r="I433" s="90">
        <v>93</v>
      </c>
      <c r="J433" s="90">
        <v>157</v>
      </c>
      <c r="K433" s="90" t="s">
        <v>85</v>
      </c>
      <c r="L433" s="90" t="s">
        <v>1274</v>
      </c>
      <c r="M433" s="90" t="s">
        <v>119</v>
      </c>
      <c r="N433" s="24" t="s">
        <v>254</v>
      </c>
      <c r="O433" s="24" t="str">
        <f>IF(ISNUMBER(SEARCH("Cancer",N433)),"Cancer",IF(ISNUMBER(SEARCH("health",N433)),"Public health",IF(ISNUMBER(SEARCH("disabilities",N433)),"Disabilities","Other")))</f>
        <v>Other</v>
      </c>
      <c r="P433" s="126">
        <v>2849527</v>
      </c>
      <c r="Q433" s="90" t="s">
        <v>85</v>
      </c>
      <c r="R433" s="90" t="str">
        <f>IF(P433&gt;20000000,"B","A")</f>
        <v>A</v>
      </c>
      <c r="S433" s="90" t="s">
        <v>90</v>
      </c>
      <c r="T433" s="90" t="s">
        <v>119</v>
      </c>
      <c r="U433" s="90" t="s">
        <v>119</v>
      </c>
      <c r="V433" s="90" t="s">
        <v>119</v>
      </c>
      <c r="W433" s="90" t="s">
        <v>119</v>
      </c>
      <c r="X433" s="90" t="s">
        <v>119</v>
      </c>
      <c r="Y433" s="90" t="s">
        <v>119</v>
      </c>
      <c r="Z433" s="90" t="s">
        <v>119</v>
      </c>
      <c r="AA433" s="90" t="s">
        <v>119</v>
      </c>
      <c r="AB433" s="90" t="s">
        <v>119</v>
      </c>
      <c r="AC433" s="90" t="s">
        <v>119</v>
      </c>
      <c r="AD433" s="90" t="s">
        <v>119</v>
      </c>
      <c r="AE433" s="24">
        <v>0</v>
      </c>
      <c r="AF433" s="90">
        <v>0</v>
      </c>
      <c r="AG433" s="24">
        <v>0</v>
      </c>
      <c r="AH433" s="90">
        <v>86531</v>
      </c>
      <c r="AI433" s="24" t="s">
        <v>102</v>
      </c>
      <c r="AJ433" s="24" t="s">
        <v>103</v>
      </c>
      <c r="AK433" s="90" t="s">
        <v>85</v>
      </c>
      <c r="AL433" s="90">
        <v>220211</v>
      </c>
      <c r="AM433" s="90" t="s">
        <v>81</v>
      </c>
      <c r="AN433" s="90" t="s">
        <v>1272</v>
      </c>
      <c r="AO433" s="125" t="s">
        <v>784</v>
      </c>
      <c r="AP433" s="24" t="s">
        <v>254</v>
      </c>
      <c r="AQ433" s="90" t="s">
        <v>1274</v>
      </c>
      <c r="AR433" s="24" t="s">
        <v>254</v>
      </c>
      <c r="AS433" s="90" t="s">
        <v>119</v>
      </c>
      <c r="AT433" s="24" t="s">
        <v>102</v>
      </c>
      <c r="AU433" s="90" t="s">
        <v>119</v>
      </c>
      <c r="AV433" s="90" t="str">
        <f>IF(ISNUMBER(SEARCH("disagree",AE433)),"N","Y")</f>
        <v>Y</v>
      </c>
      <c r="AW433" s="90" t="s">
        <v>119</v>
      </c>
      <c r="AX433" s="24" t="s">
        <v>119</v>
      </c>
      <c r="AY433" s="90" t="str">
        <f>CONCATENATE(AZ433,BA433,BB433,BC433)</f>
        <v/>
      </c>
      <c r="AZ433" s="90" t="str">
        <f>IF(ISNUMBER(SEARCH("Y",AC433)),"R","")</f>
        <v/>
      </c>
      <c r="BA433" s="90" t="str">
        <f>IF(ISNUMBER(SEARCH("Y",Y433)),"M","")</f>
        <v/>
      </c>
      <c r="BB433" s="90" t="str">
        <f>IF(ISNUMBER(SEARCH("Y",AB433)),"QC","")</f>
        <v/>
      </c>
      <c r="BC433" s="90" t="str">
        <f>IF(ISNUMBER(SEARCH("Y",Z433)),"S","")</f>
        <v/>
      </c>
      <c r="BD433" s="90"/>
      <c r="BE433" s="24" t="s">
        <v>119</v>
      </c>
      <c r="BF433" s="125" t="str">
        <f>IF(AND(AW433&gt;=56543,AW433&lt;=76543,LEN(AW433)&gt;0),"3 Feb 2020",IF(AND(AW433&gt;=66544,AW433&lt;=99999,LEN(AW433)&gt;0),"12 Sep 2020",""))</f>
        <v/>
      </c>
      <c r="BG433" s="125" t="str">
        <f>IF((AND(BF433="3 Feb 2020",LEN(BF433)&gt;0)),"Completed",IF((AND(BF433="12 Sep 2020",LEN(BF433)&gt;0)),"Pending",""))</f>
        <v/>
      </c>
      <c r="BH433" s="90" t="str">
        <f>IF((AND(BF433="3 Feb 2020",LEN(BF433)&gt;0)),"3 Feb 2020","")</f>
        <v/>
      </c>
      <c r="BI433" s="90">
        <v>220211</v>
      </c>
      <c r="BJ433" s="90" t="str">
        <f>L433</f>
        <v>6D57GT90255-93</v>
      </c>
      <c r="BK433" s="127">
        <v>43508</v>
      </c>
      <c r="BL433" s="127">
        <v>44239</v>
      </c>
      <c r="BM433" s="128">
        <f>P433*1.1</f>
        <v>3134479.7</v>
      </c>
      <c r="BN433" s="129">
        <f>P433*0.9</f>
        <v>2564574.3000000003</v>
      </c>
      <c r="BO433" s="130">
        <f>P433*0.8</f>
        <v>2279621.6</v>
      </c>
      <c r="BP433" s="90">
        <f>IF(Z433="Y",BM433*0.4,BM433*1.05)</f>
        <v>3291203.6850000005</v>
      </c>
      <c r="BQ433" s="90">
        <f>BP433*0.8</f>
        <v>2632962.9480000008</v>
      </c>
      <c r="BR433" s="90" t="str">
        <f>IF(ISNUMBER(SEARCH("subrecipient",AI429)),P433*0.6,"")</f>
        <v/>
      </c>
      <c r="BS433" s="90">
        <v>220211</v>
      </c>
      <c r="BT433" s="90" t="str">
        <f>BJ433</f>
        <v>6D57GT90255-93</v>
      </c>
      <c r="BU433" s="127">
        <f>BK433</f>
        <v>43508</v>
      </c>
      <c r="BV433" s="127">
        <f>BL433</f>
        <v>44239</v>
      </c>
      <c r="BW433" s="90" t="str">
        <f>H433</f>
        <v>CDC</v>
      </c>
      <c r="BX433" s="90" t="str">
        <f>IF(H433="NATIONAL HEMOPHILIA FOUNDATION","Non Federal","Federal")</f>
        <v>Federal</v>
      </c>
      <c r="BY433" s="128">
        <f>BM433</f>
        <v>3134479.7</v>
      </c>
      <c r="BZ433" s="90" t="str">
        <f>IF(LEN(BR433)&gt;0,1,"")</f>
        <v/>
      </c>
      <c r="CA433" s="90" t="str">
        <f>IF(LEN(BR433)&gt;0,"VIRAL HEPATITIS PROJECT","")</f>
        <v/>
      </c>
      <c r="CB433" s="129" t="str">
        <f>IF(LEN(BR433)&gt;0,BM433*0.7,"")</f>
        <v/>
      </c>
      <c r="CC433" s="90">
        <f>BP433</f>
        <v>3291203.6850000005</v>
      </c>
      <c r="CD433" s="90" t="str">
        <f>IF(LEN(BR433)&gt;0,"70%","")</f>
        <v/>
      </c>
      <c r="CE433" s="90">
        <f>BS433</f>
        <v>220211</v>
      </c>
      <c r="CF433" s="90" t="str">
        <f>CA433</f>
        <v/>
      </c>
      <c r="CG433" s="90"/>
      <c r="CH433" s="90"/>
      <c r="CI433" s="90"/>
      <c r="CJ433" s="90"/>
      <c r="CK433" s="90"/>
      <c r="CL433" s="90"/>
      <c r="CM433" s="90"/>
      <c r="CN433" s="90"/>
      <c r="CO433" s="90"/>
      <c r="CP433" s="90"/>
      <c r="CQ433" s="90"/>
      <c r="CR433" s="90"/>
      <c r="CS433" s="90"/>
      <c r="CT433" s="137"/>
    </row>
    <row r="434" spans="1:98" ht="30">
      <c r="A434" s="89">
        <v>220211</v>
      </c>
      <c r="B434" s="90">
        <v>2020</v>
      </c>
      <c r="C434" s="90" t="s">
        <v>81</v>
      </c>
      <c r="D434" s="90" t="s">
        <v>1272</v>
      </c>
      <c r="E434" s="125" t="s">
        <v>790</v>
      </c>
      <c r="F434" s="24" t="s">
        <v>1273</v>
      </c>
      <c r="G434" s="90" t="s">
        <v>85</v>
      </c>
      <c r="H434" s="90" t="s">
        <v>86</v>
      </c>
      <c r="I434" s="90">
        <v>93</v>
      </c>
      <c r="J434" s="90">
        <v>157</v>
      </c>
      <c r="K434" s="90" t="s">
        <v>85</v>
      </c>
      <c r="L434" s="90" t="s">
        <v>1274</v>
      </c>
      <c r="M434" s="90" t="s">
        <v>119</v>
      </c>
      <c r="N434" s="24" t="s">
        <v>254</v>
      </c>
      <c r="O434" s="24" t="str">
        <f>IF(ISNUMBER(SEARCH("Cancer",N434)),"Cancer",IF(ISNUMBER(SEARCH("health",N434)),"Public health",IF(ISNUMBER(SEARCH("disabilities",N434)),"Disabilities","Other")))</f>
        <v>Other</v>
      </c>
      <c r="P434" s="126">
        <v>2849527</v>
      </c>
      <c r="Q434" s="90" t="s">
        <v>85</v>
      </c>
      <c r="R434" s="90" t="str">
        <f>IF(P434&gt;20000000,"B","A")</f>
        <v>A</v>
      </c>
      <c r="S434" s="90" t="s">
        <v>90</v>
      </c>
      <c r="T434" s="90" t="s">
        <v>119</v>
      </c>
      <c r="U434" s="90" t="s">
        <v>119</v>
      </c>
      <c r="V434" s="90" t="s">
        <v>119</v>
      </c>
      <c r="W434" s="90" t="s">
        <v>119</v>
      </c>
      <c r="X434" s="90" t="s">
        <v>119</v>
      </c>
      <c r="Y434" s="90" t="s">
        <v>119</v>
      </c>
      <c r="Z434" s="90" t="s">
        <v>119</v>
      </c>
      <c r="AA434" s="90" t="s">
        <v>119</v>
      </c>
      <c r="AB434" s="90" t="s">
        <v>119</v>
      </c>
      <c r="AC434" s="90" t="s">
        <v>119</v>
      </c>
      <c r="AD434" s="90" t="s">
        <v>119</v>
      </c>
      <c r="AE434" s="24">
        <v>0</v>
      </c>
      <c r="AF434" s="90">
        <v>0</v>
      </c>
      <c r="AG434" s="24">
        <v>0</v>
      </c>
      <c r="AH434" s="90">
        <v>86532</v>
      </c>
      <c r="AI434" s="24" t="s">
        <v>110</v>
      </c>
      <c r="AJ434" s="24" t="s">
        <v>1275</v>
      </c>
      <c r="AK434" s="90" t="s">
        <v>85</v>
      </c>
      <c r="AL434" s="90">
        <v>220211</v>
      </c>
      <c r="AM434" s="90" t="s">
        <v>81</v>
      </c>
      <c r="AN434" s="90" t="s">
        <v>1272</v>
      </c>
      <c r="AO434" s="125" t="s">
        <v>790</v>
      </c>
      <c r="AP434" s="24" t="s">
        <v>254</v>
      </c>
      <c r="AQ434" s="90" t="s">
        <v>1274</v>
      </c>
      <c r="AR434" s="24" t="s">
        <v>254</v>
      </c>
      <c r="AS434" s="90" t="s">
        <v>119</v>
      </c>
      <c r="AT434" s="24" t="s">
        <v>110</v>
      </c>
      <c r="AU434" s="90" t="s">
        <v>119</v>
      </c>
      <c r="AV434" s="90" t="str">
        <f>IF(ISNUMBER(SEARCH("disagree",AE434)),"N","Y")</f>
        <v>Y</v>
      </c>
      <c r="AW434" s="90" t="s">
        <v>119</v>
      </c>
      <c r="AX434" s="24" t="s">
        <v>119</v>
      </c>
      <c r="AY434" s="90" t="str">
        <f>CONCATENATE(AZ434,BA434,BB434,BC434)</f>
        <v/>
      </c>
      <c r="AZ434" s="90" t="str">
        <f>IF(ISNUMBER(SEARCH("Y",AC434)),"R","")</f>
        <v/>
      </c>
      <c r="BA434" s="90" t="str">
        <f>IF(ISNUMBER(SEARCH("Y",Y434)),"M","")</f>
        <v/>
      </c>
      <c r="BB434" s="90" t="str">
        <f>IF(ISNUMBER(SEARCH("Y",AB434)),"QC","")</f>
        <v/>
      </c>
      <c r="BC434" s="90" t="str">
        <f>IF(ISNUMBER(SEARCH("Y",Z434)),"S","")</f>
        <v/>
      </c>
      <c r="BD434" s="90"/>
      <c r="BE434" s="24" t="s">
        <v>119</v>
      </c>
      <c r="BF434" s="125" t="str">
        <f>IF(AND(AW434&gt;=56543,AW434&lt;=76543,LEN(AW434)&gt;0),"3 Feb 2020",IF(AND(AW434&gt;=66544,AW434&lt;=99999,LEN(AW434)&gt;0),"12 Sep 2020",""))</f>
        <v/>
      </c>
      <c r="BG434" s="125" t="str">
        <f>IF((AND(BF434="3 Feb 2020",LEN(BF434)&gt;0)),"Completed",IF((AND(BF434="12 Sep 2020",LEN(BF434)&gt;0)),"Pending",""))</f>
        <v/>
      </c>
      <c r="BH434" s="90" t="str">
        <f>IF((AND(BF434="3 Feb 2020",LEN(BF434)&gt;0)),"3 Feb 2020","")</f>
        <v/>
      </c>
      <c r="BI434" s="90">
        <v>220211</v>
      </c>
      <c r="BJ434" s="90" t="str">
        <f>L434</f>
        <v>6D57GT90255-93</v>
      </c>
      <c r="BK434" s="127">
        <v>43508</v>
      </c>
      <c r="BL434" s="127">
        <v>44239</v>
      </c>
      <c r="BM434" s="128">
        <f>P434*1.1</f>
        <v>3134479.7</v>
      </c>
      <c r="BN434" s="129">
        <f>P434*0.9</f>
        <v>2564574.3000000003</v>
      </c>
      <c r="BO434" s="130">
        <f>P434*0.8</f>
        <v>2279621.6</v>
      </c>
      <c r="BP434" s="90">
        <f>IF(Z434="Y",BM434*0.4,BM434*1.05)</f>
        <v>3291203.6850000005</v>
      </c>
      <c r="BQ434" s="90">
        <f>BP434*0.8</f>
        <v>2632962.9480000008</v>
      </c>
      <c r="BR434" s="90" t="str">
        <f>IF(ISNUMBER(SEARCH("subrecipient",AI430)),P434*0.6,"")</f>
        <v/>
      </c>
      <c r="BS434" s="90">
        <v>220211</v>
      </c>
      <c r="BT434" s="90" t="str">
        <f>BJ434</f>
        <v>6D57GT90255-93</v>
      </c>
      <c r="BU434" s="127">
        <f>BK434</f>
        <v>43508</v>
      </c>
      <c r="BV434" s="127">
        <f>BL434</f>
        <v>44239</v>
      </c>
      <c r="BW434" s="90" t="str">
        <f>H434</f>
        <v>CDC</v>
      </c>
      <c r="BX434" s="90" t="str">
        <f>IF(H434="NATIONAL HEMOPHILIA FOUNDATION","Non Federal","Federal")</f>
        <v>Federal</v>
      </c>
      <c r="BY434" s="128">
        <f>BM434</f>
        <v>3134479.7</v>
      </c>
      <c r="BZ434" s="90" t="str">
        <f>IF(LEN(BR434)&gt;0,1,"")</f>
        <v/>
      </c>
      <c r="CA434" s="90" t="str">
        <f>IF(LEN(BR434)&gt;0,"VIRAL HEPATITIS PROJECT","")</f>
        <v/>
      </c>
      <c r="CB434" s="129" t="str">
        <f>IF(LEN(BR434)&gt;0,BM434*0.7,"")</f>
        <v/>
      </c>
      <c r="CC434" s="90">
        <f>BP434</f>
        <v>3291203.6850000005</v>
      </c>
      <c r="CD434" s="90" t="str">
        <f>IF(LEN(BR434)&gt;0,"70%","")</f>
        <v/>
      </c>
      <c r="CE434" s="90">
        <f>BS434</f>
        <v>220211</v>
      </c>
      <c r="CF434" s="90" t="str">
        <f>CA434</f>
        <v/>
      </c>
      <c r="CG434" s="90"/>
      <c r="CH434" s="90"/>
      <c r="CI434" s="90"/>
      <c r="CJ434" s="90"/>
      <c r="CK434" s="90"/>
      <c r="CL434" s="90"/>
      <c r="CM434" s="90"/>
      <c r="CN434" s="90"/>
      <c r="CO434" s="90"/>
      <c r="CP434" s="90"/>
      <c r="CQ434" s="90"/>
      <c r="CR434" s="90"/>
      <c r="CS434" s="90"/>
      <c r="CT434" s="137"/>
    </row>
    <row r="435" spans="1:98" ht="150">
      <c r="A435" s="89">
        <v>220268</v>
      </c>
      <c r="B435" s="90">
        <v>2020</v>
      </c>
      <c r="C435" s="90" t="s">
        <v>81</v>
      </c>
      <c r="D435" s="90" t="s">
        <v>1276</v>
      </c>
      <c r="E435" s="125" t="s">
        <v>791</v>
      </c>
      <c r="F435" s="24" t="s">
        <v>1277</v>
      </c>
      <c r="G435" s="90" t="s">
        <v>85</v>
      </c>
      <c r="H435" s="90" t="s">
        <v>117</v>
      </c>
      <c r="I435" s="90">
        <v>93</v>
      </c>
      <c r="J435" s="90">
        <v>157</v>
      </c>
      <c r="K435" s="90" t="s">
        <v>85</v>
      </c>
      <c r="L435" s="90" t="s">
        <v>1278</v>
      </c>
      <c r="M435" s="90" t="s">
        <v>119</v>
      </c>
      <c r="N435" s="24" t="s">
        <v>1211</v>
      </c>
      <c r="O435" s="24" t="str">
        <f>IF(ISNUMBER(SEARCH("Cancer",N435)),"Cancer",IF(ISNUMBER(SEARCH("health",N435)),"Public health",IF(ISNUMBER(SEARCH("disabilities",N435)),"Disabilities","Other")))</f>
        <v>Other</v>
      </c>
      <c r="P435" s="126">
        <v>2319051</v>
      </c>
      <c r="Q435" s="90" t="s">
        <v>85</v>
      </c>
      <c r="R435" s="90" t="str">
        <f>IF(P435&gt;20000000,"B","A")</f>
        <v>A</v>
      </c>
      <c r="S435" s="90" t="s">
        <v>90</v>
      </c>
      <c r="T435" s="90" t="s">
        <v>119</v>
      </c>
      <c r="U435" s="90" t="s">
        <v>119</v>
      </c>
      <c r="V435" s="90" t="s">
        <v>119</v>
      </c>
      <c r="W435" s="90" t="s">
        <v>119</v>
      </c>
      <c r="X435" s="90" t="s">
        <v>119</v>
      </c>
      <c r="Y435" s="90" t="s">
        <v>119</v>
      </c>
      <c r="Z435" s="90" t="s">
        <v>119</v>
      </c>
      <c r="AA435" s="90" t="s">
        <v>119</v>
      </c>
      <c r="AB435" s="90" t="s">
        <v>119</v>
      </c>
      <c r="AC435" s="90" t="s">
        <v>119</v>
      </c>
      <c r="AD435" s="90" t="s">
        <v>119</v>
      </c>
      <c r="AE435" s="24">
        <v>0</v>
      </c>
      <c r="AF435" s="90">
        <v>0</v>
      </c>
      <c r="AG435" s="24">
        <v>0</v>
      </c>
      <c r="AH435" s="90">
        <v>90255</v>
      </c>
      <c r="AI435" s="24" t="s">
        <v>94</v>
      </c>
      <c r="AJ435" s="24" t="s">
        <v>1279</v>
      </c>
      <c r="AK435" s="90" t="s">
        <v>85</v>
      </c>
      <c r="AL435" s="90">
        <v>220268</v>
      </c>
      <c r="AM435" s="90" t="s">
        <v>81</v>
      </c>
      <c r="AN435" s="90" t="s">
        <v>1276</v>
      </c>
      <c r="AO435" s="125" t="s">
        <v>791</v>
      </c>
      <c r="AP435" s="24" t="s">
        <v>1211</v>
      </c>
      <c r="AQ435" s="90" t="s">
        <v>1278</v>
      </c>
      <c r="AR435" s="24" t="s">
        <v>1211</v>
      </c>
      <c r="AS435" s="90" t="s">
        <v>119</v>
      </c>
      <c r="AT435" s="24" t="s">
        <v>94</v>
      </c>
      <c r="AU435" s="90" t="s">
        <v>119</v>
      </c>
      <c r="AV435" s="90" t="str">
        <f>IF(ISNUMBER(SEARCH("disagree",AE435)),"N","Y")</f>
        <v>Y</v>
      </c>
      <c r="AW435" s="90" t="s">
        <v>119</v>
      </c>
      <c r="AX435" s="24" t="s">
        <v>119</v>
      </c>
      <c r="AY435" s="90" t="str">
        <f>CONCATENATE(AZ435,BA435,BB435,BC435)</f>
        <v/>
      </c>
      <c r="AZ435" s="90" t="str">
        <f>IF(ISNUMBER(SEARCH("Y",AC435)),"R","")</f>
        <v/>
      </c>
      <c r="BA435" s="90" t="str">
        <f>IF(ISNUMBER(SEARCH("Y",Y435)),"M","")</f>
        <v/>
      </c>
      <c r="BB435" s="90" t="str">
        <f>IF(ISNUMBER(SEARCH("Y",AB435)),"QC","")</f>
        <v/>
      </c>
      <c r="BC435" s="90" t="str">
        <f>IF(ISNUMBER(SEARCH("Y",Z435)),"S","")</f>
        <v/>
      </c>
      <c r="BD435" s="90"/>
      <c r="BE435" s="24" t="s">
        <v>119</v>
      </c>
      <c r="BF435" s="125" t="str">
        <f>IF(AND(AW435&gt;=56543,AW435&lt;=76543,LEN(AW435)&gt;0),"3 Feb 2020",IF(AND(AW435&gt;=66544,AW435&lt;=99999,LEN(AW435)&gt;0),"12 Sep 2020",""))</f>
        <v/>
      </c>
      <c r="BG435" s="125" t="str">
        <f>IF((AND(BF435="3 Feb 2020",LEN(BF435)&gt;0)),"Completed",IF((AND(BF435="12 Sep 2020",LEN(BF435)&gt;0)),"Pending",""))</f>
        <v/>
      </c>
      <c r="BH435" s="90" t="str">
        <f>IF((AND(BF435="3 Feb 2020",LEN(BF435)&gt;0)),"3 Feb 2020","")</f>
        <v/>
      </c>
      <c r="BI435" s="90">
        <v>220268</v>
      </c>
      <c r="BJ435" s="90" t="str">
        <f>L435</f>
        <v>4C93HS90253-84</v>
      </c>
      <c r="BK435" s="127">
        <v>43508</v>
      </c>
      <c r="BL435" s="127">
        <v>44239</v>
      </c>
      <c r="BM435" s="128">
        <f>P435*1.1</f>
        <v>2550956.1</v>
      </c>
      <c r="BN435" s="129">
        <f>P435*0.9</f>
        <v>2087145.9000000001</v>
      </c>
      <c r="BO435" s="130">
        <f>P435*0.8</f>
        <v>1855240.8</v>
      </c>
      <c r="BP435" s="90">
        <f>IF(Z435="Y",BM435*0.4,BM435*1.05)</f>
        <v>2678503.9050000003</v>
      </c>
      <c r="BQ435" s="90">
        <f>BP435*0.8</f>
        <v>2142803.1240000003</v>
      </c>
      <c r="BR435" s="90" t="str">
        <f>IF(ISNUMBER(SEARCH("subrecipient",AI431)),P435*0.6,"")</f>
        <v/>
      </c>
      <c r="BS435" s="90">
        <v>220268</v>
      </c>
      <c r="BT435" s="90" t="str">
        <f>BJ435</f>
        <v>4C93HS90253-84</v>
      </c>
      <c r="BU435" s="127">
        <f>BK435</f>
        <v>43508</v>
      </c>
      <c r="BV435" s="127">
        <f>BL435</f>
        <v>44239</v>
      </c>
      <c r="BW435" s="90" t="str">
        <f>H435</f>
        <v>NIH</v>
      </c>
      <c r="BX435" s="90" t="str">
        <f>IF(H435="NATIONAL HEMOPHILIA FOUNDATION","Non Federal","Federal")</f>
        <v>Federal</v>
      </c>
      <c r="BY435" s="128">
        <f>BM435</f>
        <v>2550956.1</v>
      </c>
      <c r="BZ435" s="90" t="str">
        <f>IF(LEN(BR435)&gt;0,1,"")</f>
        <v/>
      </c>
      <c r="CA435" s="90" t="str">
        <f>IF(LEN(BR435)&gt;0,"VIRAL HEPATITIS PROJECT","")</f>
        <v/>
      </c>
      <c r="CB435" s="129" t="str">
        <f>IF(LEN(BR435)&gt;0,BM435*0.7,"")</f>
        <v/>
      </c>
      <c r="CC435" s="90">
        <f>BP435</f>
        <v>2678503.9050000003</v>
      </c>
      <c r="CD435" s="90" t="str">
        <f>IF(LEN(BR435)&gt;0,"70%","")</f>
        <v/>
      </c>
      <c r="CE435" s="90">
        <f>BS435</f>
        <v>220268</v>
      </c>
      <c r="CF435" s="90" t="str">
        <f>CA435</f>
        <v/>
      </c>
      <c r="CG435" s="90"/>
      <c r="CH435" s="90"/>
      <c r="CI435" s="90"/>
      <c r="CJ435" s="90"/>
      <c r="CK435" s="90"/>
      <c r="CL435" s="90"/>
      <c r="CM435" s="90"/>
      <c r="CN435" s="90"/>
      <c r="CO435" s="90"/>
      <c r="CP435" s="90"/>
      <c r="CQ435" s="90"/>
      <c r="CR435" s="90"/>
      <c r="CS435" s="90"/>
      <c r="CT435" s="137"/>
    </row>
    <row r="436" spans="1:98" ht="60">
      <c r="A436" s="89">
        <v>220268</v>
      </c>
      <c r="B436" s="90">
        <v>2020</v>
      </c>
      <c r="C436" s="90" t="s">
        <v>81</v>
      </c>
      <c r="D436" s="90" t="s">
        <v>1276</v>
      </c>
      <c r="E436" s="125" t="s">
        <v>793</v>
      </c>
      <c r="F436" s="24" t="s">
        <v>1277</v>
      </c>
      <c r="G436" s="90" t="s">
        <v>85</v>
      </c>
      <c r="H436" s="90" t="s">
        <v>117</v>
      </c>
      <c r="I436" s="90">
        <v>93</v>
      </c>
      <c r="J436" s="90">
        <v>157</v>
      </c>
      <c r="K436" s="90" t="s">
        <v>85</v>
      </c>
      <c r="L436" s="90" t="s">
        <v>1278</v>
      </c>
      <c r="M436" s="90" t="s">
        <v>119</v>
      </c>
      <c r="N436" s="24" t="s">
        <v>1211</v>
      </c>
      <c r="O436" s="24" t="str">
        <f>IF(ISNUMBER(SEARCH("Cancer",N436)),"Cancer",IF(ISNUMBER(SEARCH("health",N436)),"Public health",IF(ISNUMBER(SEARCH("disabilities",N436)),"Disabilities","Other")))</f>
        <v>Other</v>
      </c>
      <c r="P436" s="126">
        <v>2319051</v>
      </c>
      <c r="Q436" s="90" t="s">
        <v>85</v>
      </c>
      <c r="R436" s="90" t="str">
        <f>IF(P436&gt;20000000,"B","A")</f>
        <v>A</v>
      </c>
      <c r="S436" s="90" t="s">
        <v>90</v>
      </c>
      <c r="T436" s="90" t="s">
        <v>119</v>
      </c>
      <c r="U436" s="90" t="s">
        <v>119</v>
      </c>
      <c r="V436" s="90" t="s">
        <v>119</v>
      </c>
      <c r="W436" s="90" t="s">
        <v>119</v>
      </c>
      <c r="X436" s="90" t="s">
        <v>119</v>
      </c>
      <c r="Y436" s="90" t="s">
        <v>119</v>
      </c>
      <c r="Z436" s="90" t="s">
        <v>119</v>
      </c>
      <c r="AA436" s="90" t="s">
        <v>119</v>
      </c>
      <c r="AB436" s="90" t="s">
        <v>119</v>
      </c>
      <c r="AC436" s="90" t="s">
        <v>119</v>
      </c>
      <c r="AD436" s="90" t="s">
        <v>119</v>
      </c>
      <c r="AE436" s="24">
        <v>0</v>
      </c>
      <c r="AF436" s="90">
        <v>0</v>
      </c>
      <c r="AG436" s="24">
        <v>0</v>
      </c>
      <c r="AH436" s="90">
        <v>90254</v>
      </c>
      <c r="AI436" s="24" t="s">
        <v>102</v>
      </c>
      <c r="AJ436" s="24" t="s">
        <v>316</v>
      </c>
      <c r="AK436" s="90" t="s">
        <v>85</v>
      </c>
      <c r="AL436" s="90">
        <v>220268</v>
      </c>
      <c r="AM436" s="90" t="s">
        <v>81</v>
      </c>
      <c r="AN436" s="90" t="s">
        <v>1276</v>
      </c>
      <c r="AO436" s="125" t="s">
        <v>793</v>
      </c>
      <c r="AP436" s="24" t="s">
        <v>1211</v>
      </c>
      <c r="AQ436" s="90" t="s">
        <v>1278</v>
      </c>
      <c r="AR436" s="24" t="s">
        <v>1211</v>
      </c>
      <c r="AS436" s="90" t="s">
        <v>119</v>
      </c>
      <c r="AT436" s="24" t="s">
        <v>102</v>
      </c>
      <c r="AU436" s="90" t="s">
        <v>119</v>
      </c>
      <c r="AV436" s="90" t="str">
        <f>IF(ISNUMBER(SEARCH("disagree",AE436)),"N","Y")</f>
        <v>Y</v>
      </c>
      <c r="AW436" s="90" t="s">
        <v>119</v>
      </c>
      <c r="AX436" s="24" t="s">
        <v>119</v>
      </c>
      <c r="AY436" s="90" t="str">
        <f>CONCATENATE(AZ436,BA436,BB436,BC436)</f>
        <v/>
      </c>
      <c r="AZ436" s="90" t="str">
        <f>IF(ISNUMBER(SEARCH("Y",AC436)),"R","")</f>
        <v/>
      </c>
      <c r="BA436" s="90" t="str">
        <f>IF(ISNUMBER(SEARCH("Y",Y436)),"M","")</f>
        <v/>
      </c>
      <c r="BB436" s="90" t="str">
        <f>IF(ISNUMBER(SEARCH("Y",AB436)),"QC","")</f>
        <v/>
      </c>
      <c r="BC436" s="90" t="str">
        <f>IF(ISNUMBER(SEARCH("Y",Z436)),"S","")</f>
        <v/>
      </c>
      <c r="BD436" s="90"/>
      <c r="BE436" s="24" t="s">
        <v>119</v>
      </c>
      <c r="BF436" s="125" t="str">
        <f>IF(AND(AW436&gt;=56543,AW436&lt;=76543,LEN(AW436)&gt;0),"3 Feb 2020",IF(AND(AW436&gt;=66544,AW436&lt;=99999,LEN(AW436)&gt;0),"12 Sep 2020",""))</f>
        <v/>
      </c>
      <c r="BG436" s="125" t="str">
        <f>IF((AND(BF436="3 Feb 2020",LEN(BF436)&gt;0)),"Completed",IF((AND(BF436="12 Sep 2020",LEN(BF436)&gt;0)),"Pending",""))</f>
        <v/>
      </c>
      <c r="BH436" s="90" t="str">
        <f>IF((AND(BF436="3 Feb 2020",LEN(BF436)&gt;0)),"3 Feb 2020","")</f>
        <v/>
      </c>
      <c r="BI436" s="90">
        <v>220268</v>
      </c>
      <c r="BJ436" s="90" t="str">
        <f>L436</f>
        <v>4C93HS90253-84</v>
      </c>
      <c r="BK436" s="127">
        <v>43508</v>
      </c>
      <c r="BL436" s="127">
        <v>44239</v>
      </c>
      <c r="BM436" s="128">
        <f>P436*1.1</f>
        <v>2550956.1</v>
      </c>
      <c r="BN436" s="129">
        <f>P436*0.9</f>
        <v>2087145.9000000001</v>
      </c>
      <c r="BO436" s="130">
        <f>P436*0.8</f>
        <v>1855240.8</v>
      </c>
      <c r="BP436" s="90">
        <f>IF(Z436="Y",BM436*0.4,BM436*1.05)</f>
        <v>2678503.9050000003</v>
      </c>
      <c r="BQ436" s="90">
        <f>BP436*0.8</f>
        <v>2142803.1240000003</v>
      </c>
      <c r="BR436" s="90" t="str">
        <f>IF(ISNUMBER(SEARCH("subrecipient",AI432)),P436*0.6,"")</f>
        <v/>
      </c>
      <c r="BS436" s="90">
        <v>220268</v>
      </c>
      <c r="BT436" s="90" t="str">
        <f>BJ436</f>
        <v>4C93HS90253-84</v>
      </c>
      <c r="BU436" s="127">
        <f>BK436</f>
        <v>43508</v>
      </c>
      <c r="BV436" s="127">
        <f>BL436</f>
        <v>44239</v>
      </c>
      <c r="BW436" s="90" t="str">
        <f>H436</f>
        <v>NIH</v>
      </c>
      <c r="BX436" s="90" t="str">
        <f>IF(H436="NATIONAL HEMOPHILIA FOUNDATION","Non Federal","Federal")</f>
        <v>Federal</v>
      </c>
      <c r="BY436" s="128">
        <f>BM436</f>
        <v>2550956.1</v>
      </c>
      <c r="BZ436" s="90" t="str">
        <f>IF(LEN(BR436)&gt;0,1,"")</f>
        <v/>
      </c>
      <c r="CA436" s="90" t="str">
        <f>IF(LEN(BR436)&gt;0,"VIRAL HEPATITIS PROJECT","")</f>
        <v/>
      </c>
      <c r="CB436" s="129" t="str">
        <f>IF(LEN(BR436)&gt;0,BM436*0.7,"")</f>
        <v/>
      </c>
      <c r="CC436" s="90">
        <f>BP436</f>
        <v>2678503.9050000003</v>
      </c>
      <c r="CD436" s="90" t="str">
        <f>IF(LEN(BR436)&gt;0,"70%","")</f>
        <v/>
      </c>
      <c r="CE436" s="90">
        <f>BS436</f>
        <v>220268</v>
      </c>
      <c r="CF436" s="90" t="str">
        <f>CA436</f>
        <v/>
      </c>
      <c r="CG436" s="90"/>
      <c r="CH436" s="90"/>
      <c r="CI436" s="90"/>
      <c r="CJ436" s="90"/>
      <c r="CK436" s="90"/>
      <c r="CL436" s="90"/>
      <c r="CM436" s="90"/>
      <c r="CN436" s="90"/>
      <c r="CO436" s="90"/>
      <c r="CP436" s="90"/>
      <c r="CQ436" s="90"/>
      <c r="CR436" s="90"/>
      <c r="CS436" s="90"/>
      <c r="CT436" s="137"/>
    </row>
    <row r="437" spans="1:98" ht="75">
      <c r="A437" s="89">
        <v>220268</v>
      </c>
      <c r="B437" s="90">
        <v>2020</v>
      </c>
      <c r="C437" s="90" t="s">
        <v>81</v>
      </c>
      <c r="D437" s="90" t="s">
        <v>1276</v>
      </c>
      <c r="E437" s="125" t="s">
        <v>780</v>
      </c>
      <c r="F437" s="24" t="s">
        <v>1277</v>
      </c>
      <c r="G437" s="90" t="s">
        <v>85</v>
      </c>
      <c r="H437" s="90" t="s">
        <v>117</v>
      </c>
      <c r="I437" s="90">
        <v>93</v>
      </c>
      <c r="J437" s="90">
        <v>157</v>
      </c>
      <c r="K437" s="90" t="s">
        <v>85</v>
      </c>
      <c r="L437" s="90" t="s">
        <v>1278</v>
      </c>
      <c r="M437" s="90" t="s">
        <v>119</v>
      </c>
      <c r="N437" s="24" t="s">
        <v>1211</v>
      </c>
      <c r="O437" s="24" t="str">
        <f>IF(ISNUMBER(SEARCH("Cancer",N437)),"Cancer",IF(ISNUMBER(SEARCH("health",N437)),"Public health",IF(ISNUMBER(SEARCH("disabilities",N437)),"Disabilities","Other")))</f>
        <v>Other</v>
      </c>
      <c r="P437" s="126">
        <v>2319051</v>
      </c>
      <c r="Q437" s="90" t="s">
        <v>85</v>
      </c>
      <c r="R437" s="90" t="str">
        <f>IF(P437&gt;20000000,"B","A")</f>
        <v>A</v>
      </c>
      <c r="S437" s="90" t="s">
        <v>90</v>
      </c>
      <c r="T437" s="90" t="s">
        <v>119</v>
      </c>
      <c r="U437" s="90" t="s">
        <v>119</v>
      </c>
      <c r="V437" s="90" t="s">
        <v>119</v>
      </c>
      <c r="W437" s="90" t="s">
        <v>119</v>
      </c>
      <c r="X437" s="90" t="s">
        <v>119</v>
      </c>
      <c r="Y437" s="90" t="s">
        <v>119</v>
      </c>
      <c r="Z437" s="90" t="s">
        <v>119</v>
      </c>
      <c r="AA437" s="90" t="s">
        <v>119</v>
      </c>
      <c r="AB437" s="90" t="s">
        <v>119</v>
      </c>
      <c r="AC437" s="90" t="s">
        <v>119</v>
      </c>
      <c r="AD437" s="90" t="s">
        <v>119</v>
      </c>
      <c r="AE437" s="24">
        <v>0</v>
      </c>
      <c r="AF437" s="90">
        <v>0</v>
      </c>
      <c r="AG437" s="24">
        <v>0</v>
      </c>
      <c r="AH437" s="90">
        <v>90253</v>
      </c>
      <c r="AI437" s="24" t="s">
        <v>1280</v>
      </c>
      <c r="AJ437" s="24" t="s">
        <v>1281</v>
      </c>
      <c r="AK437" s="90" t="s">
        <v>85</v>
      </c>
      <c r="AL437" s="90">
        <v>220268</v>
      </c>
      <c r="AM437" s="90" t="s">
        <v>81</v>
      </c>
      <c r="AN437" s="90" t="s">
        <v>1276</v>
      </c>
      <c r="AO437" s="125" t="s">
        <v>780</v>
      </c>
      <c r="AP437" s="24" t="s">
        <v>1211</v>
      </c>
      <c r="AQ437" s="90" t="s">
        <v>1278</v>
      </c>
      <c r="AR437" s="24" t="s">
        <v>1211</v>
      </c>
      <c r="AS437" s="90" t="s">
        <v>119</v>
      </c>
      <c r="AT437" s="24" t="s">
        <v>1280</v>
      </c>
      <c r="AU437" s="90" t="s">
        <v>119</v>
      </c>
      <c r="AV437" s="90" t="str">
        <f>IF(ISNUMBER(SEARCH("disagree",AE437)),"N","Y")</f>
        <v>Y</v>
      </c>
      <c r="AW437" s="90" t="s">
        <v>119</v>
      </c>
      <c r="AX437" s="24" t="s">
        <v>119</v>
      </c>
      <c r="AY437" s="90" t="str">
        <f>CONCATENATE(AZ437,BA437,BB437,BC437)</f>
        <v/>
      </c>
      <c r="AZ437" s="90" t="str">
        <f>IF(ISNUMBER(SEARCH("Y",AC437)),"R","")</f>
        <v/>
      </c>
      <c r="BA437" s="90" t="str">
        <f>IF(ISNUMBER(SEARCH("Y",Y437)),"M","")</f>
        <v/>
      </c>
      <c r="BB437" s="90" t="str">
        <f>IF(ISNUMBER(SEARCH("Y",AB437)),"QC","")</f>
        <v/>
      </c>
      <c r="BC437" s="90" t="str">
        <f>IF(ISNUMBER(SEARCH("Y",Z437)),"S","")</f>
        <v/>
      </c>
      <c r="BD437" s="90"/>
      <c r="BE437" s="24" t="s">
        <v>119</v>
      </c>
      <c r="BF437" s="125" t="str">
        <f>IF(AND(AW437&gt;=56543,AW437&lt;=76543,LEN(AW437)&gt;0),"3 Feb 2020",IF(AND(AW437&gt;=66544,AW437&lt;=99999,LEN(AW437)&gt;0),"12 Sep 2020",""))</f>
        <v/>
      </c>
      <c r="BG437" s="125" t="str">
        <f>IF((AND(BF437="3 Feb 2020",LEN(BF437)&gt;0)),"Completed",IF((AND(BF437="12 Sep 2020",LEN(BF437)&gt;0)),"Pending",""))</f>
        <v/>
      </c>
      <c r="BH437" s="90" t="str">
        <f>IF((AND(BF437="3 Feb 2020",LEN(BF437)&gt;0)),"3 Feb 2020","")</f>
        <v/>
      </c>
      <c r="BI437" s="90">
        <v>220268</v>
      </c>
      <c r="BJ437" s="90" t="str">
        <f>L437</f>
        <v>4C93HS90253-84</v>
      </c>
      <c r="BK437" s="127">
        <v>43508</v>
      </c>
      <c r="BL437" s="127">
        <v>44239</v>
      </c>
      <c r="BM437" s="128">
        <f>P437*1.1</f>
        <v>2550956.1</v>
      </c>
      <c r="BN437" s="129">
        <f>P437*0.9</f>
        <v>2087145.9000000001</v>
      </c>
      <c r="BO437" s="130">
        <f>P437*0.8</f>
        <v>1855240.8</v>
      </c>
      <c r="BP437" s="90">
        <f>IF(Z437="Y",BM437*0.4,BM437*1.05)</f>
        <v>2678503.9050000003</v>
      </c>
      <c r="BQ437" s="90">
        <f>BP437*0.8</f>
        <v>2142803.1240000003</v>
      </c>
      <c r="BR437" s="90" t="str">
        <f>IF(ISNUMBER(SEARCH("subrecipient",AI433)),P437*0.6,"")</f>
        <v/>
      </c>
      <c r="BS437" s="90">
        <v>220268</v>
      </c>
      <c r="BT437" s="90" t="str">
        <f>BJ437</f>
        <v>4C93HS90253-84</v>
      </c>
      <c r="BU437" s="127">
        <f>BK437</f>
        <v>43508</v>
      </c>
      <c r="BV437" s="127">
        <f>BL437</f>
        <v>44239</v>
      </c>
      <c r="BW437" s="90" t="str">
        <f>H437</f>
        <v>NIH</v>
      </c>
      <c r="BX437" s="90" t="str">
        <f>IF(H437="NATIONAL HEMOPHILIA FOUNDATION","Non Federal","Federal")</f>
        <v>Federal</v>
      </c>
      <c r="BY437" s="128">
        <f>BM437</f>
        <v>2550956.1</v>
      </c>
      <c r="BZ437" s="90" t="str">
        <f>IF(LEN(BR437)&gt;0,1,"")</f>
        <v/>
      </c>
      <c r="CA437" s="90" t="str">
        <f>IF(LEN(BR437)&gt;0,"VIRAL HEPATITIS PROJECT","")</f>
        <v/>
      </c>
      <c r="CB437" s="129" t="str">
        <f>IF(LEN(BR437)&gt;0,BM437*0.7,"")</f>
        <v/>
      </c>
      <c r="CC437" s="90">
        <f>BP437</f>
        <v>2678503.9050000003</v>
      </c>
      <c r="CD437" s="90" t="str">
        <f>IF(LEN(BR437)&gt;0,"70%","")</f>
        <v/>
      </c>
      <c r="CE437" s="90">
        <f>BS437</f>
        <v>220268</v>
      </c>
      <c r="CF437" s="90" t="str">
        <f>CA437</f>
        <v/>
      </c>
      <c r="CG437" s="90"/>
      <c r="CH437" s="90"/>
      <c r="CI437" s="90"/>
      <c r="CJ437" s="90"/>
      <c r="CK437" s="90"/>
      <c r="CL437" s="90"/>
      <c r="CM437" s="90"/>
      <c r="CN437" s="90"/>
      <c r="CO437" s="90"/>
      <c r="CP437" s="90"/>
      <c r="CQ437" s="90"/>
      <c r="CR437" s="90"/>
      <c r="CS437" s="90"/>
      <c r="CT437" s="137"/>
    </row>
    <row r="438" spans="1:98" ht="75">
      <c r="A438" s="89">
        <v>221086</v>
      </c>
      <c r="B438" s="90">
        <v>2020</v>
      </c>
      <c r="C438" s="90" t="s">
        <v>81</v>
      </c>
      <c r="D438" s="90" t="s">
        <v>1282</v>
      </c>
      <c r="E438" s="125" t="s">
        <v>781</v>
      </c>
      <c r="F438" s="24" t="s">
        <v>1283</v>
      </c>
      <c r="G438" s="90" t="s">
        <v>85</v>
      </c>
      <c r="H438" s="90" t="s">
        <v>132</v>
      </c>
      <c r="I438" s="90">
        <v>93</v>
      </c>
      <c r="J438" s="90">
        <v>157</v>
      </c>
      <c r="K438" s="90" t="s">
        <v>85</v>
      </c>
      <c r="L438" s="90" t="s">
        <v>1284</v>
      </c>
      <c r="M438" s="90" t="s">
        <v>119</v>
      </c>
      <c r="N438" s="24" t="s">
        <v>1211</v>
      </c>
      <c r="O438" s="24" t="str">
        <f>IF(ISNUMBER(SEARCH("Cancer",N438)),"Cancer",IF(ISNUMBER(SEARCH("health",N438)),"Public health",IF(ISNUMBER(SEARCH("disabilities",N438)),"Disabilities","Other")))</f>
        <v>Other</v>
      </c>
      <c r="P438" s="126">
        <v>2619027</v>
      </c>
      <c r="Q438" s="90" t="s">
        <v>85</v>
      </c>
      <c r="R438" s="90" t="str">
        <f>IF(P438&gt;20000000,"B","A")</f>
        <v>A</v>
      </c>
      <c r="S438" s="90" t="s">
        <v>90</v>
      </c>
      <c r="T438" s="90" t="s">
        <v>119</v>
      </c>
      <c r="U438" s="90" t="s">
        <v>119</v>
      </c>
      <c r="V438" s="90" t="s">
        <v>119</v>
      </c>
      <c r="W438" s="90" t="s">
        <v>119</v>
      </c>
      <c r="X438" s="90" t="s">
        <v>119</v>
      </c>
      <c r="Y438" s="90" t="s">
        <v>119</v>
      </c>
      <c r="Z438" s="90" t="s">
        <v>119</v>
      </c>
      <c r="AA438" s="90" t="s">
        <v>119</v>
      </c>
      <c r="AB438" s="90" t="s">
        <v>119</v>
      </c>
      <c r="AC438" s="90" t="s">
        <v>119</v>
      </c>
      <c r="AD438" s="90" t="s">
        <v>119</v>
      </c>
      <c r="AE438" s="24">
        <v>0</v>
      </c>
      <c r="AF438" s="90">
        <v>0</v>
      </c>
      <c r="AG438" s="24">
        <v>0</v>
      </c>
      <c r="AH438" s="90">
        <v>84432</v>
      </c>
      <c r="AI438" s="24" t="s">
        <v>94</v>
      </c>
      <c r="AJ438" s="24" t="s">
        <v>700</v>
      </c>
      <c r="AK438" s="90" t="s">
        <v>85</v>
      </c>
      <c r="AL438" s="90">
        <v>221086</v>
      </c>
      <c r="AM438" s="90" t="s">
        <v>81</v>
      </c>
      <c r="AN438" s="90" t="s">
        <v>1282</v>
      </c>
      <c r="AO438" s="125" t="s">
        <v>781</v>
      </c>
      <c r="AP438" s="24" t="s">
        <v>1211</v>
      </c>
      <c r="AQ438" s="90" t="s">
        <v>1284</v>
      </c>
      <c r="AR438" s="24" t="s">
        <v>1211</v>
      </c>
      <c r="AS438" s="90" t="s">
        <v>119</v>
      </c>
      <c r="AT438" s="24" t="s">
        <v>94</v>
      </c>
      <c r="AU438" s="90" t="s">
        <v>119</v>
      </c>
      <c r="AV438" s="90" t="str">
        <f>IF(ISNUMBER(SEARCH("disagree",AE438)),"N","Y")</f>
        <v>Y</v>
      </c>
      <c r="AW438" s="90" t="s">
        <v>119</v>
      </c>
      <c r="AX438" s="24" t="s">
        <v>119</v>
      </c>
      <c r="AY438" s="90" t="str">
        <f>CONCATENATE(AZ438,BA438,BB438,BC438)</f>
        <v/>
      </c>
      <c r="AZ438" s="90" t="str">
        <f>IF(ISNUMBER(SEARCH("Y",AC438)),"R","")</f>
        <v/>
      </c>
      <c r="BA438" s="90" t="str">
        <f>IF(ISNUMBER(SEARCH("Y",Y438)),"M","")</f>
        <v/>
      </c>
      <c r="BB438" s="90" t="str">
        <f>IF(ISNUMBER(SEARCH("Y",AB438)),"QC","")</f>
        <v/>
      </c>
      <c r="BC438" s="90" t="str">
        <f>IF(ISNUMBER(SEARCH("Y",Z438)),"S","")</f>
        <v/>
      </c>
      <c r="BD438" s="90"/>
      <c r="BE438" s="24" t="s">
        <v>119</v>
      </c>
      <c r="BF438" s="125" t="str">
        <f>IF(AND(AW438&gt;=56543,AW438&lt;=76543,LEN(AW438)&gt;0),"3 Feb 2020",IF(AND(AW438&gt;=66544,AW438&lt;=99999,LEN(AW438)&gt;0),"12 Sep 2020",""))</f>
        <v/>
      </c>
      <c r="BG438" s="125" t="str">
        <f>IF((AND(BF438="3 Feb 2020",LEN(BF438)&gt;0)),"Completed",IF((AND(BF438="12 Sep 2020",LEN(BF438)&gt;0)),"Pending",""))</f>
        <v/>
      </c>
      <c r="BH438" s="90" t="str">
        <f>IF((AND(BF438="3 Feb 2020",LEN(BF438)&gt;0)),"3 Feb 2020","")</f>
        <v/>
      </c>
      <c r="BI438" s="90">
        <v>221086</v>
      </c>
      <c r="BJ438" s="90" t="str">
        <f>L438</f>
        <v>9B94DR84434-26</v>
      </c>
      <c r="BK438" s="127">
        <v>43508</v>
      </c>
      <c r="BL438" s="127">
        <v>44239</v>
      </c>
      <c r="BM438" s="128">
        <f>P438*1.1</f>
        <v>2880929.7</v>
      </c>
      <c r="BN438" s="129">
        <f>P438*0.9</f>
        <v>2357124.3000000003</v>
      </c>
      <c r="BO438" s="130">
        <f>P438*0.8</f>
        <v>2095221.6</v>
      </c>
      <c r="BP438" s="90">
        <f>IF(Z438="Y",BM438*0.4,BM438*1.05)</f>
        <v>3024976.1850000005</v>
      </c>
      <c r="BQ438" s="90">
        <f>BP438*0.8</f>
        <v>2419980.9480000003</v>
      </c>
      <c r="BR438" s="90" t="str">
        <f>IF(ISNUMBER(SEARCH("subrecipient",AI434)),P438*0.6,"")</f>
        <v/>
      </c>
      <c r="BS438" s="90">
        <v>221086</v>
      </c>
      <c r="BT438" s="90" t="str">
        <f>BJ438</f>
        <v>9B94DR84434-26</v>
      </c>
      <c r="BU438" s="127">
        <f>BK438</f>
        <v>43508</v>
      </c>
      <c r="BV438" s="127">
        <f>BL438</f>
        <v>44239</v>
      </c>
      <c r="BW438" s="90" t="str">
        <f>H438</f>
        <v>FDA</v>
      </c>
      <c r="BX438" s="90" t="str">
        <f>IF(H438="NATIONAL HEMOPHILIA FOUNDATION","Non Federal","Federal")</f>
        <v>Federal</v>
      </c>
      <c r="BY438" s="128">
        <f>BM438</f>
        <v>2880929.7</v>
      </c>
      <c r="BZ438" s="90" t="str">
        <f>IF(LEN(BR438)&gt;0,1,"")</f>
        <v/>
      </c>
      <c r="CA438" s="90" t="str">
        <f>IF(LEN(BR438)&gt;0,"VIRAL HEPATITIS PROJECT","")</f>
        <v/>
      </c>
      <c r="CB438" s="129" t="str">
        <f>IF(LEN(BR438)&gt;0,BM438*0.7,"")</f>
        <v/>
      </c>
      <c r="CC438" s="90">
        <f>BP438</f>
        <v>3024976.1850000005</v>
      </c>
      <c r="CD438" s="90" t="str">
        <f>IF(LEN(BR438)&gt;0,"70%","")</f>
        <v/>
      </c>
      <c r="CE438" s="90">
        <f>BS438</f>
        <v>221086</v>
      </c>
      <c r="CF438" s="90" t="str">
        <f>CA438</f>
        <v/>
      </c>
      <c r="CG438" s="90"/>
      <c r="CH438" s="90"/>
      <c r="CI438" s="90"/>
      <c r="CJ438" s="90"/>
      <c r="CK438" s="90"/>
      <c r="CL438" s="90"/>
      <c r="CM438" s="90"/>
      <c r="CN438" s="90"/>
      <c r="CO438" s="90"/>
      <c r="CP438" s="90"/>
      <c r="CQ438" s="90"/>
      <c r="CR438" s="90"/>
      <c r="CS438" s="90"/>
      <c r="CT438" s="137"/>
    </row>
    <row r="439" spans="1:98" ht="60">
      <c r="A439" s="89">
        <v>221086</v>
      </c>
      <c r="B439" s="90">
        <v>2020</v>
      </c>
      <c r="C439" s="90" t="s">
        <v>81</v>
      </c>
      <c r="D439" s="90" t="s">
        <v>1282</v>
      </c>
      <c r="E439" s="125" t="s">
        <v>784</v>
      </c>
      <c r="F439" s="24" t="s">
        <v>1283</v>
      </c>
      <c r="G439" s="90" t="s">
        <v>85</v>
      </c>
      <c r="H439" s="90" t="s">
        <v>132</v>
      </c>
      <c r="I439" s="90">
        <v>93</v>
      </c>
      <c r="J439" s="90">
        <v>157</v>
      </c>
      <c r="K439" s="90" t="s">
        <v>85</v>
      </c>
      <c r="L439" s="90" t="s">
        <v>1284</v>
      </c>
      <c r="M439" s="90" t="s">
        <v>119</v>
      </c>
      <c r="N439" s="24" t="s">
        <v>1211</v>
      </c>
      <c r="O439" s="24" t="str">
        <f>IF(ISNUMBER(SEARCH("Cancer",N439)),"Cancer",IF(ISNUMBER(SEARCH("health",N439)),"Public health",IF(ISNUMBER(SEARCH("disabilities",N439)),"Disabilities","Other")))</f>
        <v>Other</v>
      </c>
      <c r="P439" s="126">
        <v>2619027</v>
      </c>
      <c r="Q439" s="90" t="s">
        <v>85</v>
      </c>
      <c r="R439" s="90" t="str">
        <f>IF(P439&gt;20000000,"B","A")</f>
        <v>A</v>
      </c>
      <c r="S439" s="90" t="s">
        <v>90</v>
      </c>
      <c r="T439" s="90" t="s">
        <v>119</v>
      </c>
      <c r="U439" s="90" t="s">
        <v>119</v>
      </c>
      <c r="V439" s="90" t="s">
        <v>119</v>
      </c>
      <c r="W439" s="90" t="s">
        <v>119</v>
      </c>
      <c r="X439" s="90" t="s">
        <v>119</v>
      </c>
      <c r="Y439" s="90" t="s">
        <v>119</v>
      </c>
      <c r="Z439" s="90" t="s">
        <v>119</v>
      </c>
      <c r="AA439" s="90" t="s">
        <v>119</v>
      </c>
      <c r="AB439" s="90" t="s">
        <v>119</v>
      </c>
      <c r="AC439" s="90" t="s">
        <v>119</v>
      </c>
      <c r="AD439" s="90" t="s">
        <v>119</v>
      </c>
      <c r="AE439" s="24">
        <v>0</v>
      </c>
      <c r="AF439" s="90">
        <v>0</v>
      </c>
      <c r="AG439" s="24">
        <v>0</v>
      </c>
      <c r="AH439" s="90">
        <v>84434</v>
      </c>
      <c r="AI439" s="24" t="s">
        <v>102</v>
      </c>
      <c r="AJ439" s="24" t="s">
        <v>103</v>
      </c>
      <c r="AK439" s="90" t="s">
        <v>85</v>
      </c>
      <c r="AL439" s="90">
        <v>221086</v>
      </c>
      <c r="AM439" s="90" t="s">
        <v>81</v>
      </c>
      <c r="AN439" s="90" t="s">
        <v>1282</v>
      </c>
      <c r="AO439" s="125" t="s">
        <v>784</v>
      </c>
      <c r="AP439" s="24" t="s">
        <v>1211</v>
      </c>
      <c r="AQ439" s="90" t="s">
        <v>1284</v>
      </c>
      <c r="AR439" s="24" t="s">
        <v>1211</v>
      </c>
      <c r="AS439" s="90" t="s">
        <v>119</v>
      </c>
      <c r="AT439" s="24" t="s">
        <v>102</v>
      </c>
      <c r="AU439" s="90" t="s">
        <v>119</v>
      </c>
      <c r="AV439" s="90" t="str">
        <f>IF(ISNUMBER(SEARCH("disagree",AE439)),"N","Y")</f>
        <v>Y</v>
      </c>
      <c r="AW439" s="90" t="s">
        <v>119</v>
      </c>
      <c r="AX439" s="24" t="s">
        <v>119</v>
      </c>
      <c r="AY439" s="90" t="str">
        <f>CONCATENATE(AZ439,BA439,BB439,BC439)</f>
        <v/>
      </c>
      <c r="AZ439" s="90" t="str">
        <f>IF(ISNUMBER(SEARCH("Y",AC439)),"R","")</f>
        <v/>
      </c>
      <c r="BA439" s="90" t="str">
        <f>IF(ISNUMBER(SEARCH("Y",Y439)),"M","")</f>
        <v/>
      </c>
      <c r="BB439" s="90" t="str">
        <f>IF(ISNUMBER(SEARCH("Y",AB439)),"QC","")</f>
        <v/>
      </c>
      <c r="BC439" s="90" t="str">
        <f>IF(ISNUMBER(SEARCH("Y",Z439)),"S","")</f>
        <v/>
      </c>
      <c r="BD439" s="90"/>
      <c r="BE439" s="24" t="s">
        <v>119</v>
      </c>
      <c r="BF439" s="125" t="str">
        <f>IF(AND(AW439&gt;=56543,AW439&lt;=76543,LEN(AW439)&gt;0),"3 Feb 2020",IF(AND(AW439&gt;=66544,AW439&lt;=99999,LEN(AW439)&gt;0),"12 Sep 2020",""))</f>
        <v/>
      </c>
      <c r="BG439" s="125" t="str">
        <f>IF((AND(BF439="3 Feb 2020",LEN(BF439)&gt;0)),"Completed",IF((AND(BF439="12 Sep 2020",LEN(BF439)&gt;0)),"Pending",""))</f>
        <v/>
      </c>
      <c r="BH439" s="90" t="str">
        <f>IF((AND(BF439="3 Feb 2020",LEN(BF439)&gt;0)),"3 Feb 2020","")</f>
        <v/>
      </c>
      <c r="BI439" s="90">
        <v>221086</v>
      </c>
      <c r="BJ439" s="90" t="str">
        <f>L439</f>
        <v>9B94DR84434-26</v>
      </c>
      <c r="BK439" s="127">
        <v>43508</v>
      </c>
      <c r="BL439" s="127">
        <v>44239</v>
      </c>
      <c r="BM439" s="128">
        <f>P439*1.1</f>
        <v>2880929.7</v>
      </c>
      <c r="BN439" s="129">
        <f>P439*0.9</f>
        <v>2357124.3000000003</v>
      </c>
      <c r="BO439" s="130">
        <f>P439*0.8</f>
        <v>2095221.6</v>
      </c>
      <c r="BP439" s="90">
        <f>IF(Z439="Y",BM439*0.4,BM439*1.05)</f>
        <v>3024976.1850000005</v>
      </c>
      <c r="BQ439" s="90">
        <f>BP439*0.8</f>
        <v>2419980.9480000003</v>
      </c>
      <c r="BR439" s="90" t="str">
        <f>IF(ISNUMBER(SEARCH("subrecipient",AI435)),P439*0.6,"")</f>
        <v/>
      </c>
      <c r="BS439" s="90">
        <v>221086</v>
      </c>
      <c r="BT439" s="90" t="str">
        <f>BJ439</f>
        <v>9B94DR84434-26</v>
      </c>
      <c r="BU439" s="127">
        <f>BK439</f>
        <v>43508</v>
      </c>
      <c r="BV439" s="127">
        <f>BL439</f>
        <v>44239</v>
      </c>
      <c r="BW439" s="90" t="str">
        <f>H439</f>
        <v>FDA</v>
      </c>
      <c r="BX439" s="90" t="str">
        <f>IF(H439="NATIONAL HEMOPHILIA FOUNDATION","Non Federal","Federal")</f>
        <v>Federal</v>
      </c>
      <c r="BY439" s="128">
        <f>BM439</f>
        <v>2880929.7</v>
      </c>
      <c r="BZ439" s="90" t="str">
        <f>IF(LEN(BR439)&gt;0,1,"")</f>
        <v/>
      </c>
      <c r="CA439" s="90" t="str">
        <f>IF(LEN(BR439)&gt;0,"VIRAL HEPATITIS PROJECT","")</f>
        <v/>
      </c>
      <c r="CB439" s="129" t="str">
        <f>IF(LEN(BR439)&gt;0,BM439*0.7,"")</f>
        <v/>
      </c>
      <c r="CC439" s="90">
        <f>BP439</f>
        <v>3024976.1850000005</v>
      </c>
      <c r="CD439" s="90" t="str">
        <f>IF(LEN(BR439)&gt;0,"70%","")</f>
        <v/>
      </c>
      <c r="CE439" s="90">
        <f>BS439</f>
        <v>221086</v>
      </c>
      <c r="CF439" s="90" t="str">
        <f>CA439</f>
        <v/>
      </c>
      <c r="CG439" s="90"/>
      <c r="CH439" s="90"/>
      <c r="CI439" s="90"/>
      <c r="CJ439" s="90"/>
      <c r="CK439" s="90"/>
      <c r="CL439" s="90"/>
      <c r="CM439" s="90"/>
      <c r="CN439" s="90"/>
      <c r="CO439" s="90"/>
      <c r="CP439" s="90"/>
      <c r="CQ439" s="90"/>
      <c r="CR439" s="90"/>
      <c r="CS439" s="90"/>
      <c r="CT439" s="137"/>
    </row>
    <row r="440" spans="1:98" ht="60">
      <c r="A440" s="89">
        <v>221086</v>
      </c>
      <c r="B440" s="90">
        <v>2020</v>
      </c>
      <c r="C440" s="90" t="s">
        <v>81</v>
      </c>
      <c r="D440" s="90" t="s">
        <v>1282</v>
      </c>
      <c r="E440" s="125" t="s">
        <v>790</v>
      </c>
      <c r="F440" s="24" t="s">
        <v>1283</v>
      </c>
      <c r="G440" s="90" t="s">
        <v>85</v>
      </c>
      <c r="H440" s="90" t="s">
        <v>132</v>
      </c>
      <c r="I440" s="90">
        <v>93</v>
      </c>
      <c r="J440" s="90">
        <v>157</v>
      </c>
      <c r="K440" s="90" t="s">
        <v>85</v>
      </c>
      <c r="L440" s="90" t="s">
        <v>1284</v>
      </c>
      <c r="M440" s="90" t="s">
        <v>119</v>
      </c>
      <c r="N440" s="24" t="s">
        <v>1211</v>
      </c>
      <c r="O440" s="24" t="str">
        <f>IF(ISNUMBER(SEARCH("Cancer",N440)),"Cancer",IF(ISNUMBER(SEARCH("health",N440)),"Public health",IF(ISNUMBER(SEARCH("disabilities",N440)),"Disabilities","Other")))</f>
        <v>Other</v>
      </c>
      <c r="P440" s="126">
        <v>2619027</v>
      </c>
      <c r="Q440" s="90" t="s">
        <v>85</v>
      </c>
      <c r="R440" s="90" t="str">
        <f>IF(P440&gt;20000000,"B","A")</f>
        <v>A</v>
      </c>
      <c r="S440" s="90" t="s">
        <v>90</v>
      </c>
      <c r="T440" s="90" t="s">
        <v>119</v>
      </c>
      <c r="U440" s="90" t="s">
        <v>119</v>
      </c>
      <c r="V440" s="90" t="s">
        <v>119</v>
      </c>
      <c r="W440" s="90" t="s">
        <v>119</v>
      </c>
      <c r="X440" s="90" t="s">
        <v>119</v>
      </c>
      <c r="Y440" s="90" t="s">
        <v>119</v>
      </c>
      <c r="Z440" s="90" t="s">
        <v>119</v>
      </c>
      <c r="AA440" s="90" t="s">
        <v>119</v>
      </c>
      <c r="AB440" s="90" t="s">
        <v>119</v>
      </c>
      <c r="AC440" s="90" t="s">
        <v>119</v>
      </c>
      <c r="AD440" s="90" t="s">
        <v>119</v>
      </c>
      <c r="AE440" s="24">
        <v>0</v>
      </c>
      <c r="AF440" s="90">
        <v>0</v>
      </c>
      <c r="AG440" s="24">
        <v>0</v>
      </c>
      <c r="AH440" s="90">
        <v>84433</v>
      </c>
      <c r="AI440" s="24" t="s">
        <v>110</v>
      </c>
      <c r="AJ440" s="24" t="s">
        <v>1285</v>
      </c>
      <c r="AK440" s="90" t="s">
        <v>85</v>
      </c>
      <c r="AL440" s="90">
        <v>221086</v>
      </c>
      <c r="AM440" s="90" t="s">
        <v>81</v>
      </c>
      <c r="AN440" s="90" t="s">
        <v>1282</v>
      </c>
      <c r="AO440" s="125" t="s">
        <v>790</v>
      </c>
      <c r="AP440" s="24" t="s">
        <v>1211</v>
      </c>
      <c r="AQ440" s="90" t="s">
        <v>1284</v>
      </c>
      <c r="AR440" s="24" t="s">
        <v>1211</v>
      </c>
      <c r="AS440" s="90" t="s">
        <v>119</v>
      </c>
      <c r="AT440" s="24" t="s">
        <v>110</v>
      </c>
      <c r="AU440" s="90" t="s">
        <v>119</v>
      </c>
      <c r="AV440" s="90" t="str">
        <f>IF(ISNUMBER(SEARCH("disagree",AE440)),"N","Y")</f>
        <v>Y</v>
      </c>
      <c r="AW440" s="90" t="s">
        <v>119</v>
      </c>
      <c r="AX440" s="24" t="s">
        <v>119</v>
      </c>
      <c r="AY440" s="90" t="str">
        <f>CONCATENATE(AZ440,BA440,BB440,BC440)</f>
        <v/>
      </c>
      <c r="AZ440" s="90" t="str">
        <f>IF(ISNUMBER(SEARCH("Y",AC440)),"R","")</f>
        <v/>
      </c>
      <c r="BA440" s="90" t="str">
        <f>IF(ISNUMBER(SEARCH("Y",Y440)),"M","")</f>
        <v/>
      </c>
      <c r="BB440" s="90" t="str">
        <f>IF(ISNUMBER(SEARCH("Y",AB440)),"QC","")</f>
        <v/>
      </c>
      <c r="BC440" s="90" t="str">
        <f>IF(ISNUMBER(SEARCH("Y",Z440)),"S","")</f>
        <v/>
      </c>
      <c r="BD440" s="90"/>
      <c r="BE440" s="24" t="s">
        <v>119</v>
      </c>
      <c r="BF440" s="125" t="str">
        <f>IF(AND(AW440&gt;=56543,AW440&lt;=76543,LEN(AW440)&gt;0),"3 Feb 2020",IF(AND(AW440&gt;=66544,AW440&lt;=99999,LEN(AW440)&gt;0),"12 Sep 2020",""))</f>
        <v/>
      </c>
      <c r="BG440" s="125" t="str">
        <f>IF((AND(BF440="3 Feb 2020",LEN(BF440)&gt;0)),"Completed",IF((AND(BF440="12 Sep 2020",LEN(BF440)&gt;0)),"Pending",""))</f>
        <v/>
      </c>
      <c r="BH440" s="90" t="str">
        <f>IF((AND(BF440="3 Feb 2020",LEN(BF440)&gt;0)),"3 Feb 2020","")</f>
        <v/>
      </c>
      <c r="BI440" s="90">
        <v>221086</v>
      </c>
      <c r="BJ440" s="90" t="str">
        <f>L440</f>
        <v>9B94DR84434-26</v>
      </c>
      <c r="BK440" s="127">
        <v>43508</v>
      </c>
      <c r="BL440" s="127">
        <v>44239</v>
      </c>
      <c r="BM440" s="128">
        <f>P440*1.1</f>
        <v>2880929.7</v>
      </c>
      <c r="BN440" s="129">
        <f>P440*0.9</f>
        <v>2357124.3000000003</v>
      </c>
      <c r="BO440" s="130">
        <f>P440*0.8</f>
        <v>2095221.6</v>
      </c>
      <c r="BP440" s="90">
        <f>IF(Z440="Y",BM440*0.4,BM440*1.05)</f>
        <v>3024976.1850000005</v>
      </c>
      <c r="BQ440" s="90">
        <f>BP440*0.8</f>
        <v>2419980.9480000003</v>
      </c>
      <c r="BR440" s="90" t="str">
        <f>IF(ISNUMBER(SEARCH("subrecipient",AI436)),P440*0.6,"")</f>
        <v/>
      </c>
      <c r="BS440" s="90">
        <v>221086</v>
      </c>
      <c r="BT440" s="90" t="str">
        <f>BJ440</f>
        <v>9B94DR84434-26</v>
      </c>
      <c r="BU440" s="127">
        <f>BK440</f>
        <v>43508</v>
      </c>
      <c r="BV440" s="127">
        <f>BL440</f>
        <v>44239</v>
      </c>
      <c r="BW440" s="90" t="str">
        <f>H440</f>
        <v>FDA</v>
      </c>
      <c r="BX440" s="90" t="str">
        <f>IF(H440="NATIONAL HEMOPHILIA FOUNDATION","Non Federal","Federal")</f>
        <v>Federal</v>
      </c>
      <c r="BY440" s="128">
        <f>BM440</f>
        <v>2880929.7</v>
      </c>
      <c r="BZ440" s="90" t="str">
        <f>IF(LEN(BR440)&gt;0,1,"")</f>
        <v/>
      </c>
      <c r="CA440" s="90" t="str">
        <f>IF(LEN(BR440)&gt;0,"VIRAL HEPATITIS PROJECT","")</f>
        <v/>
      </c>
      <c r="CB440" s="129" t="str">
        <f>IF(LEN(BR440)&gt;0,BM440*0.7,"")</f>
        <v/>
      </c>
      <c r="CC440" s="90">
        <f>BP440</f>
        <v>3024976.1850000005</v>
      </c>
      <c r="CD440" s="90" t="str">
        <f>IF(LEN(BR440)&gt;0,"70%","")</f>
        <v/>
      </c>
      <c r="CE440" s="90">
        <f>BS440</f>
        <v>221086</v>
      </c>
      <c r="CF440" s="90" t="str">
        <f>CA440</f>
        <v/>
      </c>
      <c r="CG440" s="90"/>
      <c r="CH440" s="90"/>
      <c r="CI440" s="90"/>
      <c r="CJ440" s="90"/>
      <c r="CK440" s="90"/>
      <c r="CL440" s="90"/>
      <c r="CM440" s="90"/>
      <c r="CN440" s="90"/>
      <c r="CO440" s="90"/>
      <c r="CP440" s="90"/>
      <c r="CQ440" s="90"/>
      <c r="CR440" s="90"/>
      <c r="CS440" s="90"/>
      <c r="CT440" s="137"/>
    </row>
    <row r="441" spans="1:98" ht="165">
      <c r="A441" s="89">
        <v>222289</v>
      </c>
      <c r="B441" s="90">
        <v>2020</v>
      </c>
      <c r="C441" s="90" t="s">
        <v>81</v>
      </c>
      <c r="D441" s="90" t="s">
        <v>1286</v>
      </c>
      <c r="E441" s="125" t="s">
        <v>791</v>
      </c>
      <c r="F441" s="24" t="s">
        <v>1287</v>
      </c>
      <c r="G441" s="90" t="s">
        <v>85</v>
      </c>
      <c r="H441" s="90" t="s">
        <v>150</v>
      </c>
      <c r="I441" s="90">
        <v>93</v>
      </c>
      <c r="J441" s="90">
        <v>157</v>
      </c>
      <c r="K441" s="90" t="s">
        <v>85</v>
      </c>
      <c r="L441" s="90" t="s">
        <v>1288</v>
      </c>
      <c r="M441" s="90" t="s">
        <v>85</v>
      </c>
      <c r="N441" s="24" t="s">
        <v>254</v>
      </c>
      <c r="O441" s="24" t="str">
        <f>IF(ISNUMBER(SEARCH("Cancer",N441)),"Cancer",IF(ISNUMBER(SEARCH("health",N441)),"Public health",IF(ISNUMBER(SEARCH("disabilities",N441)),"Disabilities","Other")))</f>
        <v>Other</v>
      </c>
      <c r="P441" s="126">
        <v>2065903</v>
      </c>
      <c r="Q441" s="90" t="s">
        <v>87</v>
      </c>
      <c r="R441" s="90" t="str">
        <f>IF(P441&gt;20000000,"B","A")</f>
        <v>A</v>
      </c>
      <c r="S441" s="90" t="s">
        <v>90</v>
      </c>
      <c r="T441" s="90">
        <v>2568746</v>
      </c>
      <c r="U441" s="90" t="s">
        <v>91</v>
      </c>
      <c r="V441" s="90" t="s">
        <v>85</v>
      </c>
      <c r="W441" s="90" t="s">
        <v>85</v>
      </c>
      <c r="X441" s="90" t="s">
        <v>87</v>
      </c>
      <c r="Y441" s="90" t="s">
        <v>85</v>
      </c>
      <c r="Z441" s="90" t="s">
        <v>87</v>
      </c>
      <c r="AA441" s="90" t="s">
        <v>85</v>
      </c>
      <c r="AB441" s="90" t="s">
        <v>85</v>
      </c>
      <c r="AC441" s="90" t="s">
        <v>85</v>
      </c>
      <c r="AD441" s="90">
        <v>0</v>
      </c>
      <c r="AE441" s="24" t="s">
        <v>1289</v>
      </c>
      <c r="AF441" s="90" t="s">
        <v>91</v>
      </c>
      <c r="AG441" s="24" t="s">
        <v>1290</v>
      </c>
      <c r="AH441" s="90">
        <v>89002</v>
      </c>
      <c r="AI441" s="24" t="s">
        <v>94</v>
      </c>
      <c r="AJ441" s="24" t="s">
        <v>1291</v>
      </c>
      <c r="AK441" s="90" t="s">
        <v>85</v>
      </c>
      <c r="AL441" s="90">
        <v>222289</v>
      </c>
      <c r="AM441" s="90" t="s">
        <v>81</v>
      </c>
      <c r="AN441" s="90" t="s">
        <v>1286</v>
      </c>
      <c r="AO441" s="125" t="s">
        <v>791</v>
      </c>
      <c r="AP441" s="24" t="s">
        <v>254</v>
      </c>
      <c r="AQ441" s="90" t="s">
        <v>1288</v>
      </c>
      <c r="AR441" s="24" t="s">
        <v>254</v>
      </c>
      <c r="AS441" s="90">
        <v>2568746</v>
      </c>
      <c r="AT441" s="24" t="s">
        <v>94</v>
      </c>
      <c r="AU441" s="90" t="s">
        <v>85</v>
      </c>
      <c r="AV441" s="90" t="str">
        <f>IF(ISNUMBER(SEARCH("disagree",AE441)),"N","Y")</f>
        <v>Y</v>
      </c>
      <c r="AW441" s="90">
        <v>60336</v>
      </c>
      <c r="AX441" s="24" t="s">
        <v>96</v>
      </c>
      <c r="AY441" s="90" t="str">
        <f>CONCATENATE(AZ441,BA441,BB441,BC441)</f>
        <v>S</v>
      </c>
      <c r="AZ441" s="90" t="str">
        <f>IF(ISNUMBER(SEARCH("Y",AC441)),"R","")</f>
        <v/>
      </c>
      <c r="BA441" s="90" t="str">
        <f>IF(ISNUMBER(SEARCH("Y",Y441)),"M","")</f>
        <v/>
      </c>
      <c r="BB441" s="90" t="str">
        <f>IF(ISNUMBER(SEARCH("Y",AB441)),"QC","")</f>
        <v/>
      </c>
      <c r="BC441" s="90" t="str">
        <f>IF(ISNUMBER(SEARCH("Y",Z441)),"S","")</f>
        <v>S</v>
      </c>
      <c r="BD441" s="90"/>
      <c r="BE441" s="24" t="s">
        <v>97</v>
      </c>
      <c r="BF441" s="125" t="str">
        <f>IF(AND(AW441&gt;=56543,AW441&lt;=76543,LEN(AW441)&gt;0),"3 Feb 2020",IF(AND(AW441&gt;=66544,AW441&lt;=99999,LEN(AW441)&gt;0),"12 Sep 2020",""))</f>
        <v>3 Feb 2020</v>
      </c>
      <c r="BG441" s="125" t="s">
        <v>328</v>
      </c>
      <c r="BH441" s="90"/>
      <c r="BI441" s="90">
        <v>222289</v>
      </c>
      <c r="BJ441" s="90" t="str">
        <f>L441</f>
        <v>3B24FR89003-82</v>
      </c>
      <c r="BK441" s="127">
        <v>43508</v>
      </c>
      <c r="BL441" s="127">
        <v>44239</v>
      </c>
      <c r="BM441" s="128">
        <f>P441*1.1</f>
        <v>2272493.3000000003</v>
      </c>
      <c r="BN441" s="129">
        <f>P441*0.9</f>
        <v>1859312.7</v>
      </c>
      <c r="BO441" s="130">
        <f>P441*0.8</f>
        <v>1652722.4000000001</v>
      </c>
      <c r="BP441" s="90">
        <f>IF(Z441="Y",BM441*0.4,BM441*1.05)</f>
        <v>908997.32000000018</v>
      </c>
      <c r="BQ441" s="90">
        <f>BP441*0.8</f>
        <v>727197.85600000015</v>
      </c>
      <c r="BR441" s="90" t="str">
        <f>IF(ISNUMBER(SEARCH("subrecipient",AI437)),P441*0.6,"")</f>
        <v/>
      </c>
      <c r="BS441" s="90">
        <v>222289</v>
      </c>
      <c r="BT441" s="90" t="str">
        <f>BJ441</f>
        <v>3B24FR89003-82</v>
      </c>
      <c r="BU441" s="127">
        <f>BK441</f>
        <v>43508</v>
      </c>
      <c r="BV441" s="127">
        <f>BL441</f>
        <v>44239</v>
      </c>
      <c r="BW441" s="90" t="str">
        <f>H441</f>
        <v>ACF</v>
      </c>
      <c r="BX441" s="90" t="str">
        <f>IF(H441="NATIONAL HEMOPHILIA FOUNDATION","Non Federal","Federal")</f>
        <v>Federal</v>
      </c>
      <c r="BY441" s="128">
        <f>BM441</f>
        <v>2272493.3000000003</v>
      </c>
      <c r="BZ441" s="90" t="str">
        <f>IF(LEN(BR441)&gt;0,1,"")</f>
        <v/>
      </c>
      <c r="CA441" s="90" t="str">
        <f>IF(LEN(BR441)&gt;0,"VIRAL HEPATITIS PROJECT","")</f>
        <v/>
      </c>
      <c r="CB441" s="129" t="str">
        <f>IF(LEN(BR441)&gt;0,BM441*0.7,"")</f>
        <v/>
      </c>
      <c r="CC441" s="90">
        <f>BP441</f>
        <v>908997.32000000018</v>
      </c>
      <c r="CD441" s="90" t="str">
        <f>IF(LEN(BR441)&gt;0,"70%","")</f>
        <v/>
      </c>
      <c r="CE441" s="90">
        <f>BS441</f>
        <v>222289</v>
      </c>
      <c r="CF441" s="90" t="str">
        <f>CA441</f>
        <v/>
      </c>
      <c r="CG441" s="90"/>
      <c r="CH441" s="90"/>
      <c r="CI441" s="90"/>
      <c r="CJ441" s="90"/>
      <c r="CK441" s="90"/>
      <c r="CL441" s="90"/>
      <c r="CM441" s="90"/>
      <c r="CN441" s="90"/>
      <c r="CO441" s="90"/>
      <c r="CP441" s="90"/>
      <c r="CQ441" s="90"/>
      <c r="CR441" s="90"/>
      <c r="CS441" s="90"/>
      <c r="CT441" s="137"/>
    </row>
    <row r="442" spans="1:98" ht="45">
      <c r="A442" s="89">
        <v>222289</v>
      </c>
      <c r="B442" s="90">
        <v>2020</v>
      </c>
      <c r="C442" s="90" t="s">
        <v>81</v>
      </c>
      <c r="D442" s="90" t="s">
        <v>1286</v>
      </c>
      <c r="E442" s="125" t="s">
        <v>793</v>
      </c>
      <c r="F442" s="24" t="s">
        <v>1287</v>
      </c>
      <c r="G442" s="90" t="s">
        <v>85</v>
      </c>
      <c r="H442" s="90" t="s">
        <v>150</v>
      </c>
      <c r="I442" s="90">
        <v>93</v>
      </c>
      <c r="J442" s="90">
        <v>157</v>
      </c>
      <c r="K442" s="90" t="s">
        <v>85</v>
      </c>
      <c r="L442" s="90" t="s">
        <v>1288</v>
      </c>
      <c r="M442" s="90" t="s">
        <v>85</v>
      </c>
      <c r="N442" s="24" t="s">
        <v>254</v>
      </c>
      <c r="O442" s="24" t="str">
        <f>IF(ISNUMBER(SEARCH("Cancer",N442)),"Cancer",IF(ISNUMBER(SEARCH("health",N442)),"Public health",IF(ISNUMBER(SEARCH("disabilities",N442)),"Disabilities","Other")))</f>
        <v>Other</v>
      </c>
      <c r="P442" s="126">
        <v>2065903</v>
      </c>
      <c r="Q442" s="90" t="s">
        <v>85</v>
      </c>
      <c r="R442" s="90" t="str">
        <f>IF(P442&gt;20000000,"B","A")</f>
        <v>A</v>
      </c>
      <c r="S442" s="90" t="s">
        <v>90</v>
      </c>
      <c r="T442" s="90">
        <v>2568746</v>
      </c>
      <c r="U442" s="90" t="s">
        <v>91</v>
      </c>
      <c r="V442" s="90" t="s">
        <v>85</v>
      </c>
      <c r="W442" s="90" t="s">
        <v>85</v>
      </c>
      <c r="X442" s="90" t="s">
        <v>87</v>
      </c>
      <c r="Y442" s="90" t="s">
        <v>85</v>
      </c>
      <c r="Z442" s="90" t="s">
        <v>87</v>
      </c>
      <c r="AA442" s="90" t="s">
        <v>85</v>
      </c>
      <c r="AB442" s="90" t="s">
        <v>85</v>
      </c>
      <c r="AC442" s="90" t="s">
        <v>85</v>
      </c>
      <c r="AD442" s="90">
        <v>0</v>
      </c>
      <c r="AE442" s="24">
        <v>0</v>
      </c>
      <c r="AF442" s="90">
        <v>0</v>
      </c>
      <c r="AG442" s="24">
        <v>0</v>
      </c>
      <c r="AH442" s="90">
        <v>89003</v>
      </c>
      <c r="AI442" s="24" t="s">
        <v>102</v>
      </c>
      <c r="AJ442" s="24" t="s">
        <v>103</v>
      </c>
      <c r="AK442" s="90" t="s">
        <v>85</v>
      </c>
      <c r="AL442" s="90">
        <v>222289</v>
      </c>
      <c r="AM442" s="90" t="s">
        <v>81</v>
      </c>
      <c r="AN442" s="90" t="s">
        <v>1286</v>
      </c>
      <c r="AO442" s="125" t="s">
        <v>793</v>
      </c>
      <c r="AP442" s="24" t="s">
        <v>254</v>
      </c>
      <c r="AQ442" s="90" t="s">
        <v>1288</v>
      </c>
      <c r="AR442" s="24" t="s">
        <v>254</v>
      </c>
      <c r="AS442" s="90">
        <v>2568746</v>
      </c>
      <c r="AT442" s="24" t="s">
        <v>102</v>
      </c>
      <c r="AU442" s="90" t="s">
        <v>85</v>
      </c>
      <c r="AV442" s="90" t="str">
        <f>IF(ISNUMBER(SEARCH("disagree",AE442)),"N","Y")</f>
        <v>Y</v>
      </c>
      <c r="AW442" s="90">
        <v>58901</v>
      </c>
      <c r="AX442" s="24" t="s">
        <v>104</v>
      </c>
      <c r="AY442" s="90" t="str">
        <f>CONCATENATE(AZ442,BA442,BB442,BC442)</f>
        <v>S</v>
      </c>
      <c r="AZ442" s="90" t="str">
        <f>IF(ISNUMBER(SEARCH("Y",AC442)),"R","")</f>
        <v/>
      </c>
      <c r="BA442" s="90" t="str">
        <f>IF(ISNUMBER(SEARCH("Y",Y442)),"M","")</f>
        <v/>
      </c>
      <c r="BB442" s="90" t="str">
        <f>IF(ISNUMBER(SEARCH("Y",AB442)),"QC","")</f>
        <v/>
      </c>
      <c r="BC442" s="90" t="str">
        <f>IF(ISNUMBER(SEARCH("Y",Z442)),"S","")</f>
        <v>S</v>
      </c>
      <c r="BD442" s="90"/>
      <c r="BE442" s="24" t="s">
        <v>327</v>
      </c>
      <c r="BF442" s="125" t="str">
        <f>IF(AND(AW442&gt;=56543,AW442&lt;=76543,LEN(AW442)&gt;0),"3 Feb 2020",IF(AND(AW442&gt;=66544,AW442&lt;=99999,LEN(AW442)&gt;0),"12 Sep 2020",""))</f>
        <v>3 Feb 2020</v>
      </c>
      <c r="BG442" s="125" t="str">
        <f>IF((AND(BF442="3 Feb 2020",LEN(BF442)&gt;0)),"Completed",IF((AND(BF442="12 Sep 2020",LEN(BF442)&gt;0)),"Pending",""))</f>
        <v>Completed</v>
      </c>
      <c r="BH442" s="90" t="str">
        <f>IF((AND(BF442="3 Feb 2020",LEN(BF442)&gt;0)),"3 Feb 2020","")</f>
        <v>3 Feb 2020</v>
      </c>
      <c r="BI442" s="90">
        <v>222289</v>
      </c>
      <c r="BJ442" s="90" t="str">
        <f>L442</f>
        <v>3B24FR89003-82</v>
      </c>
      <c r="BK442" s="127">
        <v>43508</v>
      </c>
      <c r="BL442" s="127">
        <v>44239</v>
      </c>
      <c r="BM442" s="128">
        <f>P442*1.1</f>
        <v>2272493.3000000003</v>
      </c>
      <c r="BN442" s="129">
        <f>P442*0.9</f>
        <v>1859312.7</v>
      </c>
      <c r="BO442" s="130">
        <f>P442*0.8</f>
        <v>1652722.4000000001</v>
      </c>
      <c r="BP442" s="90">
        <f>IF(Z442="Y",BM442*0.4,BM442*1.05)</f>
        <v>908997.32000000018</v>
      </c>
      <c r="BQ442" s="90">
        <f>BP442*0.8</f>
        <v>727197.85600000015</v>
      </c>
      <c r="BR442" s="90" t="str">
        <f>IF(ISNUMBER(SEARCH("subrecipient",AI438)),P442*0.6,"")</f>
        <v/>
      </c>
      <c r="BS442" s="90">
        <v>222289</v>
      </c>
      <c r="BT442" s="90" t="str">
        <f>BJ442</f>
        <v>3B24FR89003-82</v>
      </c>
      <c r="BU442" s="127">
        <f>BK442</f>
        <v>43508</v>
      </c>
      <c r="BV442" s="127">
        <f>BL442</f>
        <v>44239</v>
      </c>
      <c r="BW442" s="90" t="str">
        <f>H442</f>
        <v>ACF</v>
      </c>
      <c r="BX442" s="90" t="str">
        <f>IF(H442="NATIONAL HEMOPHILIA FOUNDATION","Non Federal","Federal")</f>
        <v>Federal</v>
      </c>
      <c r="BY442" s="128">
        <f>BM442</f>
        <v>2272493.3000000003</v>
      </c>
      <c r="BZ442" s="90" t="str">
        <f>IF(LEN(BR442)&gt;0,1,"")</f>
        <v/>
      </c>
      <c r="CA442" s="90" t="str">
        <f>IF(LEN(BR442)&gt;0,"VIRAL HEPATITIS PROJECT","")</f>
        <v/>
      </c>
      <c r="CB442" s="129" t="str">
        <f>IF(LEN(BR442)&gt;0,BM442*0.7,"")</f>
        <v/>
      </c>
      <c r="CC442" s="90">
        <f>BP442</f>
        <v>908997.32000000018</v>
      </c>
      <c r="CD442" s="90" t="str">
        <f>IF(LEN(BR442)&gt;0,"70%","")</f>
        <v/>
      </c>
      <c r="CE442" s="90">
        <f>BS442</f>
        <v>222289</v>
      </c>
      <c r="CF442" s="90" t="str">
        <f>CA442</f>
        <v/>
      </c>
      <c r="CG442" s="90"/>
      <c r="CH442" s="90"/>
      <c r="CI442" s="90"/>
      <c r="CJ442" s="90"/>
      <c r="CK442" s="90"/>
      <c r="CL442" s="90"/>
      <c r="CM442" s="90"/>
      <c r="CN442" s="90"/>
      <c r="CO442" s="90"/>
      <c r="CP442" s="90"/>
      <c r="CQ442" s="90"/>
      <c r="CR442" s="90"/>
      <c r="CS442" s="90"/>
      <c r="CT442" s="137"/>
    </row>
    <row r="443" spans="1:98" ht="90">
      <c r="A443" s="89">
        <v>222289</v>
      </c>
      <c r="B443" s="90">
        <v>2020</v>
      </c>
      <c r="C443" s="90" t="s">
        <v>81</v>
      </c>
      <c r="D443" s="90" t="s">
        <v>1286</v>
      </c>
      <c r="E443" s="125" t="s">
        <v>780</v>
      </c>
      <c r="F443" s="24" t="s">
        <v>1287</v>
      </c>
      <c r="G443" s="90" t="s">
        <v>85</v>
      </c>
      <c r="H443" s="90" t="s">
        <v>150</v>
      </c>
      <c r="I443" s="90">
        <v>93</v>
      </c>
      <c r="J443" s="90">
        <v>157</v>
      </c>
      <c r="K443" s="90" t="s">
        <v>85</v>
      </c>
      <c r="L443" s="90" t="s">
        <v>1288</v>
      </c>
      <c r="M443" s="90" t="s">
        <v>85</v>
      </c>
      <c r="N443" s="24" t="s">
        <v>254</v>
      </c>
      <c r="O443" s="24" t="str">
        <f>IF(ISNUMBER(SEARCH("Cancer",N443)),"Cancer",IF(ISNUMBER(SEARCH("health",N443)),"Public health",IF(ISNUMBER(SEARCH("disabilities",N443)),"Disabilities","Other")))</f>
        <v>Other</v>
      </c>
      <c r="P443" s="126">
        <v>2065903</v>
      </c>
      <c r="Q443" s="90" t="s">
        <v>85</v>
      </c>
      <c r="R443" s="90" t="str">
        <f>IF(P443&gt;20000000,"B","A")</f>
        <v>A</v>
      </c>
      <c r="S443" s="90" t="s">
        <v>90</v>
      </c>
      <c r="T443" s="90">
        <v>2568746</v>
      </c>
      <c r="U443" s="90" t="s">
        <v>91</v>
      </c>
      <c r="V443" s="90" t="s">
        <v>85</v>
      </c>
      <c r="W443" s="90" t="s">
        <v>85</v>
      </c>
      <c r="X443" s="90" t="s">
        <v>87</v>
      </c>
      <c r="Y443" s="90" t="s">
        <v>85</v>
      </c>
      <c r="Z443" s="90" t="s">
        <v>87</v>
      </c>
      <c r="AA443" s="90" t="s">
        <v>85</v>
      </c>
      <c r="AB443" s="90" t="s">
        <v>85</v>
      </c>
      <c r="AC443" s="90" t="s">
        <v>85</v>
      </c>
      <c r="AD443" s="90">
        <v>0</v>
      </c>
      <c r="AE443" s="24">
        <v>0</v>
      </c>
      <c r="AF443" s="90">
        <v>0</v>
      </c>
      <c r="AG443" s="24">
        <v>0</v>
      </c>
      <c r="AH443" s="90">
        <v>89005</v>
      </c>
      <c r="AI443" s="24" t="s">
        <v>235</v>
      </c>
      <c r="AJ443" s="24" t="s">
        <v>1292</v>
      </c>
      <c r="AK443" s="90" t="s">
        <v>85</v>
      </c>
      <c r="AL443" s="90">
        <v>222289</v>
      </c>
      <c r="AM443" s="90" t="s">
        <v>81</v>
      </c>
      <c r="AN443" s="90" t="s">
        <v>1286</v>
      </c>
      <c r="AO443" s="125" t="s">
        <v>780</v>
      </c>
      <c r="AP443" s="24" t="s">
        <v>254</v>
      </c>
      <c r="AQ443" s="90" t="s">
        <v>1288</v>
      </c>
      <c r="AR443" s="24" t="s">
        <v>254</v>
      </c>
      <c r="AS443" s="90">
        <v>2568746</v>
      </c>
      <c r="AT443" s="24" t="s">
        <v>235</v>
      </c>
      <c r="AU443" s="90" t="s">
        <v>85</v>
      </c>
      <c r="AV443" s="90" t="str">
        <f>IF(ISNUMBER(SEARCH("disagree",AE443)),"N","Y")</f>
        <v>Y</v>
      </c>
      <c r="AW443" s="90">
        <v>77817</v>
      </c>
      <c r="AX443" s="24" t="s">
        <v>811</v>
      </c>
      <c r="AY443" s="90" t="str">
        <f>CONCATENATE(AZ443,BA443,BB443,BC443)</f>
        <v>S</v>
      </c>
      <c r="AZ443" s="90" t="str">
        <f>IF(ISNUMBER(SEARCH("Y",AC443)),"R","")</f>
        <v/>
      </c>
      <c r="BA443" s="90" t="str">
        <f>IF(ISNUMBER(SEARCH("Y",Y443)),"M","")</f>
        <v/>
      </c>
      <c r="BB443" s="90" t="str">
        <f>IF(ISNUMBER(SEARCH("Y",AB443)),"QC","")</f>
        <v/>
      </c>
      <c r="BC443" s="90" t="str">
        <f>IF(ISNUMBER(SEARCH("Y",Z443)),"S","")</f>
        <v>S</v>
      </c>
      <c r="BD443" s="90"/>
      <c r="BE443" s="24" t="s">
        <v>812</v>
      </c>
      <c r="BF443" s="125" t="str">
        <f>IF(AND(AW443&gt;=56543,AW443&lt;=76543,LEN(AW443)&gt;0),"3 Feb 2020",IF(AND(AW443&gt;=66544,AW443&lt;=99999,LEN(AW443)&gt;0),"12 Sep 2020",""))</f>
        <v>12 Sep 2020</v>
      </c>
      <c r="BG443" s="125" t="str">
        <f>IF((AND(BF443="3 Feb 2020",LEN(BF443)&gt;0)),"Completed",IF((AND(BF443="12 Sep 2020",LEN(BF443)&gt;0)),"Pending",""))</f>
        <v>Pending</v>
      </c>
      <c r="BH443" s="90" t="str">
        <f>IF((AND(BF443="3 Feb 2020",LEN(BF443)&gt;0)),"3 Feb 2020","")</f>
        <v/>
      </c>
      <c r="BI443" s="90">
        <v>222289</v>
      </c>
      <c r="BJ443" s="90" t="str">
        <f>L443</f>
        <v>3B24FR89003-82</v>
      </c>
      <c r="BK443" s="127">
        <v>43508</v>
      </c>
      <c r="BL443" s="127">
        <v>44239</v>
      </c>
      <c r="BM443" s="128">
        <f>P443*1.1</f>
        <v>2272493.3000000003</v>
      </c>
      <c r="BN443" s="129">
        <f>P443*0.9</f>
        <v>1859312.7</v>
      </c>
      <c r="BO443" s="130">
        <f>P443*0.8</f>
        <v>1652722.4000000001</v>
      </c>
      <c r="BP443" s="90">
        <f>IF(Z443="Y",BM443*0.4,BM443*1.05)</f>
        <v>908997.32000000018</v>
      </c>
      <c r="BQ443" s="90">
        <f>BP443*0.8</f>
        <v>727197.85600000015</v>
      </c>
      <c r="BR443" s="90" t="str">
        <f>IF(ISNUMBER(SEARCH("subrecipient",AI439)),P443*0.6,"")</f>
        <v/>
      </c>
      <c r="BS443" s="90">
        <v>222289</v>
      </c>
      <c r="BT443" s="90" t="str">
        <f>BJ443</f>
        <v>3B24FR89003-82</v>
      </c>
      <c r="BU443" s="127">
        <f>BK443</f>
        <v>43508</v>
      </c>
      <c r="BV443" s="127">
        <f>BL443</f>
        <v>44239</v>
      </c>
      <c r="BW443" s="90" t="str">
        <f>H443</f>
        <v>ACF</v>
      </c>
      <c r="BX443" s="90" t="str">
        <f>IF(H443="NATIONAL HEMOPHILIA FOUNDATION","Non Federal","Federal")</f>
        <v>Federal</v>
      </c>
      <c r="BY443" s="128">
        <f>BM443</f>
        <v>2272493.3000000003</v>
      </c>
      <c r="BZ443" s="90" t="str">
        <f>IF(LEN(BR443)&gt;0,1,"")</f>
        <v/>
      </c>
      <c r="CA443" s="90" t="str">
        <f>IF(LEN(BR443)&gt;0,"VIRAL HEPATITIS PROJECT","")</f>
        <v/>
      </c>
      <c r="CB443" s="129" t="str">
        <f>IF(LEN(BR443)&gt;0,BM443*0.7,"")</f>
        <v/>
      </c>
      <c r="CC443" s="90">
        <f>BP443</f>
        <v>908997.32000000018</v>
      </c>
      <c r="CD443" s="90" t="str">
        <f>IF(LEN(BR443)&gt;0,"70%","")</f>
        <v/>
      </c>
      <c r="CE443" s="90">
        <f>BS443</f>
        <v>222289</v>
      </c>
      <c r="CF443" s="90" t="str">
        <f>CA443</f>
        <v/>
      </c>
      <c r="CG443" s="90"/>
      <c r="CH443" s="90"/>
      <c r="CI443" s="90"/>
      <c r="CJ443" s="90"/>
      <c r="CK443" s="90"/>
      <c r="CL443" s="90"/>
      <c r="CM443" s="90"/>
      <c r="CN443" s="90"/>
      <c r="CO443" s="90"/>
      <c r="CP443" s="90"/>
      <c r="CQ443" s="90"/>
      <c r="CR443" s="90"/>
      <c r="CS443" s="90"/>
      <c r="CT443" s="137"/>
    </row>
    <row r="444" spans="1:98" ht="75">
      <c r="A444" s="89">
        <v>222289</v>
      </c>
      <c r="B444" s="90">
        <v>2020</v>
      </c>
      <c r="C444" s="90" t="s">
        <v>81</v>
      </c>
      <c r="D444" s="90" t="s">
        <v>1286</v>
      </c>
      <c r="E444" s="125" t="s">
        <v>781</v>
      </c>
      <c r="F444" s="24" t="s">
        <v>1287</v>
      </c>
      <c r="G444" s="90" t="s">
        <v>85</v>
      </c>
      <c r="H444" s="90" t="s">
        <v>150</v>
      </c>
      <c r="I444" s="90">
        <v>93</v>
      </c>
      <c r="J444" s="90">
        <v>157</v>
      </c>
      <c r="K444" s="90" t="s">
        <v>85</v>
      </c>
      <c r="L444" s="90" t="s">
        <v>1288</v>
      </c>
      <c r="M444" s="90" t="s">
        <v>85</v>
      </c>
      <c r="N444" s="24" t="s">
        <v>254</v>
      </c>
      <c r="O444" s="24" t="str">
        <f>IF(ISNUMBER(SEARCH("Cancer",N444)),"Cancer",IF(ISNUMBER(SEARCH("health",N444)),"Public health",IF(ISNUMBER(SEARCH("disabilities",N444)),"Disabilities","Other")))</f>
        <v>Other</v>
      </c>
      <c r="P444" s="126">
        <v>2065903</v>
      </c>
      <c r="Q444" s="90" t="s">
        <v>85</v>
      </c>
      <c r="R444" s="90" t="str">
        <f>IF(P444&gt;20000000,"B","A")</f>
        <v>A</v>
      </c>
      <c r="S444" s="90" t="s">
        <v>90</v>
      </c>
      <c r="T444" s="90">
        <v>2568746</v>
      </c>
      <c r="U444" s="90" t="s">
        <v>91</v>
      </c>
      <c r="V444" s="90" t="s">
        <v>85</v>
      </c>
      <c r="W444" s="90" t="s">
        <v>85</v>
      </c>
      <c r="X444" s="90" t="s">
        <v>87</v>
      </c>
      <c r="Y444" s="90" t="s">
        <v>85</v>
      </c>
      <c r="Z444" s="90" t="s">
        <v>87</v>
      </c>
      <c r="AA444" s="90" t="s">
        <v>85</v>
      </c>
      <c r="AB444" s="90" t="s">
        <v>85</v>
      </c>
      <c r="AC444" s="90" t="s">
        <v>85</v>
      </c>
      <c r="AD444" s="90">
        <v>0</v>
      </c>
      <c r="AE444" s="24">
        <v>0</v>
      </c>
      <c r="AF444" s="90">
        <v>0</v>
      </c>
      <c r="AG444" s="24">
        <v>0</v>
      </c>
      <c r="AH444" s="90">
        <v>89004</v>
      </c>
      <c r="AI444" s="24" t="s">
        <v>124</v>
      </c>
      <c r="AJ444" s="24" t="s">
        <v>1293</v>
      </c>
      <c r="AK444" s="90" t="s">
        <v>85</v>
      </c>
      <c r="AL444" s="90">
        <v>222289</v>
      </c>
      <c r="AM444" s="90" t="s">
        <v>81</v>
      </c>
      <c r="AN444" s="90" t="s">
        <v>1286</v>
      </c>
      <c r="AO444" s="125" t="s">
        <v>781</v>
      </c>
      <c r="AP444" s="24" t="s">
        <v>254</v>
      </c>
      <c r="AQ444" s="90" t="s">
        <v>1288</v>
      </c>
      <c r="AR444" s="24" t="s">
        <v>254</v>
      </c>
      <c r="AS444" s="90">
        <v>2568746</v>
      </c>
      <c r="AT444" s="24" t="s">
        <v>124</v>
      </c>
      <c r="AU444" s="90" t="s">
        <v>85</v>
      </c>
      <c r="AV444" s="90" t="str">
        <f>IF(ISNUMBER(SEARCH("disagree",AE444)),"N","Y")</f>
        <v>Y</v>
      </c>
      <c r="AW444" s="90">
        <v>70977</v>
      </c>
      <c r="AX444" s="24" t="s">
        <v>811</v>
      </c>
      <c r="AY444" s="90" t="str">
        <f>CONCATENATE(AZ444,BA444,BB444,BC444)</f>
        <v>S</v>
      </c>
      <c r="AZ444" s="90" t="str">
        <f>IF(ISNUMBER(SEARCH("Y",AC444)),"R","")</f>
        <v/>
      </c>
      <c r="BA444" s="90" t="str">
        <f>IF(ISNUMBER(SEARCH("Y",Y444)),"M","")</f>
        <v/>
      </c>
      <c r="BB444" s="90" t="str">
        <f>IF(ISNUMBER(SEARCH("Y",AB444)),"QC","")</f>
        <v/>
      </c>
      <c r="BC444" s="90" t="str">
        <f>IF(ISNUMBER(SEARCH("Y",Z444)),"S","")</f>
        <v>S</v>
      </c>
      <c r="BD444" s="90"/>
      <c r="BE444" s="24" t="s">
        <v>812</v>
      </c>
      <c r="BF444" s="125" t="str">
        <f>IF(AND(AW444&gt;=56543,AW444&lt;=76543,LEN(AW444)&gt;0),"3 Feb 2020",IF(AND(AW444&gt;=66544,AW444&lt;=99999,LEN(AW444)&gt;0),"12 Sep 2020",""))</f>
        <v>3 Feb 2020</v>
      </c>
      <c r="BG444" s="125" t="s">
        <v>328</v>
      </c>
      <c r="BH444" s="90"/>
      <c r="BI444" s="90">
        <v>222289</v>
      </c>
      <c r="BJ444" s="90" t="str">
        <f>L444</f>
        <v>3B24FR89003-82</v>
      </c>
      <c r="BK444" s="127">
        <v>43508</v>
      </c>
      <c r="BL444" s="127">
        <v>44239</v>
      </c>
      <c r="BM444" s="128">
        <f>P444*1.1</f>
        <v>2272493.3000000003</v>
      </c>
      <c r="BN444" s="129">
        <f>P444*0.9</f>
        <v>1859312.7</v>
      </c>
      <c r="BO444" s="130">
        <f>P444*0.8</f>
        <v>1652722.4000000001</v>
      </c>
      <c r="BP444" s="90">
        <f>IF(Z444="Y",BM444*0.4,BM444*1.05)</f>
        <v>908997.32000000018</v>
      </c>
      <c r="BQ444" s="90">
        <f>BP444*0.8</f>
        <v>727197.85600000015</v>
      </c>
      <c r="BR444" s="90" t="str">
        <f>IF(ISNUMBER(SEARCH("subrecipient",AI440)),P444*0.6,"")</f>
        <v/>
      </c>
      <c r="BS444" s="90">
        <v>222289</v>
      </c>
      <c r="BT444" s="90" t="str">
        <f>BJ444</f>
        <v>3B24FR89003-82</v>
      </c>
      <c r="BU444" s="127">
        <f>BK444</f>
        <v>43508</v>
      </c>
      <c r="BV444" s="127">
        <f>BL444</f>
        <v>44239</v>
      </c>
      <c r="BW444" s="90" t="str">
        <f>H444</f>
        <v>ACF</v>
      </c>
      <c r="BX444" s="90" t="str">
        <f>IF(H444="NATIONAL HEMOPHILIA FOUNDATION","Non Federal","Federal")</f>
        <v>Federal</v>
      </c>
      <c r="BY444" s="128">
        <f>BM444</f>
        <v>2272493.3000000003</v>
      </c>
      <c r="BZ444" s="90" t="str">
        <f>IF(LEN(BR444)&gt;0,1,"")</f>
        <v/>
      </c>
      <c r="CA444" s="90" t="str">
        <f>IF(LEN(BR444)&gt;0,"VIRAL HEPATITIS PROJECT","")</f>
        <v/>
      </c>
      <c r="CB444" s="129" t="str">
        <f>IF(LEN(BR444)&gt;0,BM444*0.7,"")</f>
        <v/>
      </c>
      <c r="CC444" s="90">
        <f>BP444</f>
        <v>908997.32000000018</v>
      </c>
      <c r="CD444" s="90" t="str">
        <f>IF(LEN(BR444)&gt;0,"70%","")</f>
        <v/>
      </c>
      <c r="CE444" s="90">
        <f>BS444</f>
        <v>222289</v>
      </c>
      <c r="CF444" s="90" t="str">
        <f>CA444</f>
        <v/>
      </c>
      <c r="CG444" s="90"/>
      <c r="CH444" s="90"/>
      <c r="CI444" s="90"/>
      <c r="CJ444" s="90"/>
      <c r="CK444" s="90"/>
      <c r="CL444" s="90"/>
      <c r="CM444" s="90"/>
      <c r="CN444" s="90"/>
      <c r="CO444" s="90"/>
      <c r="CP444" s="90"/>
      <c r="CQ444" s="90"/>
      <c r="CR444" s="90"/>
      <c r="CS444" s="90"/>
      <c r="CT444" s="137"/>
    </row>
    <row r="445" spans="1:98" ht="90">
      <c r="A445" s="89">
        <v>222293</v>
      </c>
      <c r="B445" s="90">
        <v>2020</v>
      </c>
      <c r="C445" s="90" t="s">
        <v>81</v>
      </c>
      <c r="D445" s="90" t="s">
        <v>1294</v>
      </c>
      <c r="E445" s="125" t="s">
        <v>784</v>
      </c>
      <c r="F445" s="24" t="s">
        <v>1295</v>
      </c>
      <c r="G445" s="90" t="s">
        <v>85</v>
      </c>
      <c r="H445" s="90" t="s">
        <v>86</v>
      </c>
      <c r="I445" s="90">
        <v>93</v>
      </c>
      <c r="J445" s="90">
        <v>157</v>
      </c>
      <c r="K445" s="90" t="s">
        <v>85</v>
      </c>
      <c r="L445" s="90" t="s">
        <v>1296</v>
      </c>
      <c r="M445" s="90" t="s">
        <v>119</v>
      </c>
      <c r="N445" s="24" t="s">
        <v>243</v>
      </c>
      <c r="O445" s="24" t="str">
        <f>IF(ISNUMBER(SEARCH("Cancer",N445)),"Cancer",IF(ISNUMBER(SEARCH("health",N445)),"Public health",IF(ISNUMBER(SEARCH("disabilities",N445)),"Disabilities","Other")))</f>
        <v>Other</v>
      </c>
      <c r="P445" s="126">
        <v>2839074</v>
      </c>
      <c r="Q445" s="90" t="s">
        <v>85</v>
      </c>
      <c r="R445" s="90" t="str">
        <f>IF(P445&gt;20000000,"B","A")</f>
        <v>A</v>
      </c>
      <c r="S445" s="90" t="s">
        <v>90</v>
      </c>
      <c r="T445" s="90" t="s">
        <v>119</v>
      </c>
      <c r="U445" s="90" t="s">
        <v>119</v>
      </c>
      <c r="V445" s="90" t="s">
        <v>119</v>
      </c>
      <c r="W445" s="90" t="s">
        <v>119</v>
      </c>
      <c r="X445" s="90" t="s">
        <v>119</v>
      </c>
      <c r="Y445" s="90" t="s">
        <v>119</v>
      </c>
      <c r="Z445" s="90" t="s">
        <v>119</v>
      </c>
      <c r="AA445" s="90" t="s">
        <v>119</v>
      </c>
      <c r="AB445" s="90" t="s">
        <v>119</v>
      </c>
      <c r="AC445" s="90" t="s">
        <v>119</v>
      </c>
      <c r="AD445" s="90" t="s">
        <v>119</v>
      </c>
      <c r="AE445" s="24">
        <v>0</v>
      </c>
      <c r="AF445" s="90">
        <v>0</v>
      </c>
      <c r="AG445" s="24">
        <v>0</v>
      </c>
      <c r="AH445" s="90">
        <v>88279</v>
      </c>
      <c r="AI445" s="24" t="s">
        <v>94</v>
      </c>
      <c r="AJ445" s="24" t="s">
        <v>95</v>
      </c>
      <c r="AK445" s="90" t="s">
        <v>85</v>
      </c>
      <c r="AL445" s="90">
        <v>222293</v>
      </c>
      <c r="AM445" s="90" t="s">
        <v>81</v>
      </c>
      <c r="AN445" s="90" t="s">
        <v>1294</v>
      </c>
      <c r="AO445" s="125" t="s">
        <v>784</v>
      </c>
      <c r="AP445" s="24" t="s">
        <v>243</v>
      </c>
      <c r="AQ445" s="90" t="s">
        <v>1296</v>
      </c>
      <c r="AR445" s="24" t="s">
        <v>243</v>
      </c>
      <c r="AS445" s="90" t="s">
        <v>119</v>
      </c>
      <c r="AT445" s="24" t="s">
        <v>94</v>
      </c>
      <c r="AU445" s="90" t="s">
        <v>119</v>
      </c>
      <c r="AV445" s="90" t="str">
        <f>IF(ISNUMBER(SEARCH("disagree",AE445)),"N","Y")</f>
        <v>Y</v>
      </c>
      <c r="AW445" s="90" t="s">
        <v>119</v>
      </c>
      <c r="AX445" s="24" t="s">
        <v>119</v>
      </c>
      <c r="AY445" s="90" t="str">
        <f>CONCATENATE(AZ445,BA445,BB445,BC445)</f>
        <v/>
      </c>
      <c r="AZ445" s="90" t="str">
        <f>IF(ISNUMBER(SEARCH("Y",AC445)),"R","")</f>
        <v/>
      </c>
      <c r="BA445" s="90" t="str">
        <f>IF(ISNUMBER(SEARCH("Y",Y445)),"M","")</f>
        <v/>
      </c>
      <c r="BB445" s="90" t="str">
        <f>IF(ISNUMBER(SEARCH("Y",AB445)),"QC","")</f>
        <v/>
      </c>
      <c r="BC445" s="90" t="str">
        <f>IF(ISNUMBER(SEARCH("Y",Z445)),"S","")</f>
        <v/>
      </c>
      <c r="BD445" s="90"/>
      <c r="BE445" s="24" t="s">
        <v>119</v>
      </c>
      <c r="BF445" s="125" t="str">
        <f>IF(AND(AW445&gt;=56543,AW445&lt;=76543,LEN(AW445)&gt;0),"3 Feb 2020",IF(AND(AW445&gt;=66544,AW445&lt;=99999,LEN(AW445)&gt;0),"12 Sep 2020",""))</f>
        <v/>
      </c>
      <c r="BG445" s="125" t="str">
        <f>IF((AND(BF445="3 Feb 2020",LEN(BF445)&gt;0)),"Completed",IF((AND(BF445="12 Sep 2020",LEN(BF445)&gt;0)),"Pending",""))</f>
        <v/>
      </c>
      <c r="BH445" s="90" t="str">
        <f>IF((AND(BF445="3 Feb 2020",LEN(BF445)&gt;0)),"3 Feb 2020","")</f>
        <v/>
      </c>
      <c r="BI445" s="90">
        <v>222293</v>
      </c>
      <c r="BJ445" s="90" t="str">
        <f>L445</f>
        <v>7B32BR88279-41</v>
      </c>
      <c r="BK445" s="127">
        <v>43508</v>
      </c>
      <c r="BL445" s="127">
        <v>44239</v>
      </c>
      <c r="BM445" s="128">
        <f>P445*1.1</f>
        <v>3122981.4000000004</v>
      </c>
      <c r="BN445" s="129">
        <f>P445*0.9</f>
        <v>2555166.6</v>
      </c>
      <c r="BO445" s="130">
        <f>P445*0.8</f>
        <v>2271259.2000000002</v>
      </c>
      <c r="BP445" s="90">
        <f>IF(Z445="Y",BM445*0.4,BM445*1.05)</f>
        <v>3279130.4700000007</v>
      </c>
      <c r="BQ445" s="90">
        <f>BP445*0.8</f>
        <v>2623304.3760000006</v>
      </c>
      <c r="BR445" s="90" t="str">
        <f>IF(ISNUMBER(SEARCH("subrecipient",AI441)),P445*0.6,"")</f>
        <v/>
      </c>
      <c r="BS445" s="90">
        <v>222293</v>
      </c>
      <c r="BT445" s="90" t="str">
        <f>BJ445</f>
        <v>7B32BR88279-41</v>
      </c>
      <c r="BU445" s="127">
        <f>BK445</f>
        <v>43508</v>
      </c>
      <c r="BV445" s="127">
        <f>BL445</f>
        <v>44239</v>
      </c>
      <c r="BW445" s="90" t="str">
        <f>H445</f>
        <v>CDC</v>
      </c>
      <c r="BX445" s="90" t="str">
        <f>IF(H445="NATIONAL HEMOPHILIA FOUNDATION","Non Federal","Federal")</f>
        <v>Federal</v>
      </c>
      <c r="BY445" s="128">
        <f>BM445</f>
        <v>3122981.4000000004</v>
      </c>
      <c r="BZ445" s="90" t="str">
        <f>IF(LEN(BR445)&gt;0,1,"")</f>
        <v/>
      </c>
      <c r="CA445" s="90" t="str">
        <f>IF(LEN(BR445)&gt;0,"VIRAL HEPATITIS PROJECT","")</f>
        <v/>
      </c>
      <c r="CB445" s="129" t="str">
        <f>IF(LEN(BR445)&gt;0,BM445*0.7,"")</f>
        <v/>
      </c>
      <c r="CC445" s="90">
        <f>BP445</f>
        <v>3279130.4700000007</v>
      </c>
      <c r="CD445" s="90" t="str">
        <f>IF(LEN(BR445)&gt;0,"70%","")</f>
        <v/>
      </c>
      <c r="CE445" s="90">
        <f>BS445</f>
        <v>222293</v>
      </c>
      <c r="CF445" s="90" t="str">
        <f>CA445</f>
        <v/>
      </c>
      <c r="CG445" s="90"/>
      <c r="CH445" s="90"/>
      <c r="CI445" s="90"/>
      <c r="CJ445" s="90"/>
      <c r="CK445" s="90"/>
      <c r="CL445" s="90"/>
      <c r="CM445" s="90"/>
      <c r="CN445" s="90"/>
      <c r="CO445" s="90"/>
      <c r="CP445" s="90"/>
      <c r="CQ445" s="90"/>
      <c r="CR445" s="90"/>
      <c r="CS445" s="90"/>
      <c r="CT445" s="137"/>
    </row>
    <row r="446" spans="1:98" ht="90">
      <c r="A446" s="89">
        <v>222293</v>
      </c>
      <c r="B446" s="90">
        <v>2020</v>
      </c>
      <c r="C446" s="90" t="s">
        <v>81</v>
      </c>
      <c r="D446" s="90" t="s">
        <v>1294</v>
      </c>
      <c r="E446" s="125" t="s">
        <v>790</v>
      </c>
      <c r="F446" s="24" t="s">
        <v>1295</v>
      </c>
      <c r="G446" s="90" t="s">
        <v>85</v>
      </c>
      <c r="H446" s="90" t="s">
        <v>86</v>
      </c>
      <c r="I446" s="90">
        <v>93</v>
      </c>
      <c r="J446" s="90">
        <v>157</v>
      </c>
      <c r="K446" s="90" t="s">
        <v>85</v>
      </c>
      <c r="L446" s="90" t="s">
        <v>1296</v>
      </c>
      <c r="M446" s="90" t="s">
        <v>119</v>
      </c>
      <c r="N446" s="24" t="s">
        <v>243</v>
      </c>
      <c r="O446" s="24" t="str">
        <f>IF(ISNUMBER(SEARCH("Cancer",N446)),"Cancer",IF(ISNUMBER(SEARCH("health",N446)),"Public health",IF(ISNUMBER(SEARCH("disabilities",N446)),"Disabilities","Other")))</f>
        <v>Other</v>
      </c>
      <c r="P446" s="126">
        <v>2839074</v>
      </c>
      <c r="Q446" s="90" t="s">
        <v>85</v>
      </c>
      <c r="R446" s="90" t="str">
        <f>IF(P446&gt;20000000,"B","A")</f>
        <v>A</v>
      </c>
      <c r="S446" s="90" t="s">
        <v>90</v>
      </c>
      <c r="T446" s="90" t="s">
        <v>119</v>
      </c>
      <c r="U446" s="90" t="s">
        <v>119</v>
      </c>
      <c r="V446" s="90" t="s">
        <v>119</v>
      </c>
      <c r="W446" s="90" t="s">
        <v>119</v>
      </c>
      <c r="X446" s="90" t="s">
        <v>119</v>
      </c>
      <c r="Y446" s="90" t="s">
        <v>119</v>
      </c>
      <c r="Z446" s="90" t="s">
        <v>119</v>
      </c>
      <c r="AA446" s="90" t="s">
        <v>119</v>
      </c>
      <c r="AB446" s="90" t="s">
        <v>119</v>
      </c>
      <c r="AC446" s="90" t="s">
        <v>119</v>
      </c>
      <c r="AD446" s="90" t="s">
        <v>119</v>
      </c>
      <c r="AE446" s="24">
        <v>0</v>
      </c>
      <c r="AF446" s="90">
        <v>0</v>
      </c>
      <c r="AG446" s="24">
        <v>0</v>
      </c>
      <c r="AH446" s="90">
        <v>88278</v>
      </c>
      <c r="AI446" s="24" t="s">
        <v>102</v>
      </c>
      <c r="AJ446" s="24" t="s">
        <v>103</v>
      </c>
      <c r="AK446" s="90" t="s">
        <v>85</v>
      </c>
      <c r="AL446" s="90">
        <v>222293</v>
      </c>
      <c r="AM446" s="90" t="s">
        <v>81</v>
      </c>
      <c r="AN446" s="90" t="s">
        <v>1294</v>
      </c>
      <c r="AO446" s="125" t="s">
        <v>790</v>
      </c>
      <c r="AP446" s="24" t="s">
        <v>243</v>
      </c>
      <c r="AQ446" s="90" t="s">
        <v>1296</v>
      </c>
      <c r="AR446" s="24" t="s">
        <v>243</v>
      </c>
      <c r="AS446" s="90" t="s">
        <v>119</v>
      </c>
      <c r="AT446" s="24" t="s">
        <v>102</v>
      </c>
      <c r="AU446" s="90" t="s">
        <v>119</v>
      </c>
      <c r="AV446" s="90" t="str">
        <f>IF(ISNUMBER(SEARCH("disagree",AE446)),"N","Y")</f>
        <v>Y</v>
      </c>
      <c r="AW446" s="90" t="s">
        <v>119</v>
      </c>
      <c r="AX446" s="24" t="s">
        <v>119</v>
      </c>
      <c r="AY446" s="90" t="str">
        <f>CONCATENATE(AZ446,BA446,BB446,BC446)</f>
        <v/>
      </c>
      <c r="AZ446" s="90" t="str">
        <f>IF(ISNUMBER(SEARCH("Y",AC446)),"R","")</f>
        <v/>
      </c>
      <c r="BA446" s="90" t="str">
        <f>IF(ISNUMBER(SEARCH("Y",Y446)),"M","")</f>
        <v/>
      </c>
      <c r="BB446" s="90" t="str">
        <f>IF(ISNUMBER(SEARCH("Y",AB446)),"QC","")</f>
        <v/>
      </c>
      <c r="BC446" s="90" t="str">
        <f>IF(ISNUMBER(SEARCH("Y",Z446)),"S","")</f>
        <v/>
      </c>
      <c r="BD446" s="90"/>
      <c r="BE446" s="24" t="s">
        <v>119</v>
      </c>
      <c r="BF446" s="125" t="str">
        <f>IF(AND(AW446&gt;=56543,AW446&lt;=76543,LEN(AW446)&gt;0),"3 Feb 2020",IF(AND(AW446&gt;=66544,AW446&lt;=99999,LEN(AW446)&gt;0),"12 Sep 2020",""))</f>
        <v/>
      </c>
      <c r="BG446" s="125" t="str">
        <f>IF((AND(BF446="3 Feb 2020",LEN(BF446)&gt;0)),"Completed",IF((AND(BF446="12 Sep 2020",LEN(BF446)&gt;0)),"Pending",""))</f>
        <v/>
      </c>
      <c r="BH446" s="90" t="str">
        <f>IF((AND(BF446="3 Feb 2020",LEN(BF446)&gt;0)),"3 Feb 2020","")</f>
        <v/>
      </c>
      <c r="BI446" s="90">
        <v>222293</v>
      </c>
      <c r="BJ446" s="90" t="str">
        <f>L446</f>
        <v>7B32BR88279-41</v>
      </c>
      <c r="BK446" s="127">
        <v>43508</v>
      </c>
      <c r="BL446" s="127">
        <v>44239</v>
      </c>
      <c r="BM446" s="128">
        <f>P446*1.1</f>
        <v>3122981.4000000004</v>
      </c>
      <c r="BN446" s="129">
        <f>P446*0.9</f>
        <v>2555166.6</v>
      </c>
      <c r="BO446" s="130">
        <f>P446*0.8</f>
        <v>2271259.2000000002</v>
      </c>
      <c r="BP446" s="90">
        <f>IF(Z446="Y",BM446*0.4,BM446*1.05)</f>
        <v>3279130.4700000007</v>
      </c>
      <c r="BQ446" s="90">
        <f>BP446*0.8</f>
        <v>2623304.3760000006</v>
      </c>
      <c r="BR446" s="90" t="str">
        <f>IF(ISNUMBER(SEARCH("subrecipient",AI442)),P446*0.6,"")</f>
        <v/>
      </c>
      <c r="BS446" s="90">
        <v>222293</v>
      </c>
      <c r="BT446" s="90" t="str">
        <f>BJ446</f>
        <v>7B32BR88279-41</v>
      </c>
      <c r="BU446" s="127">
        <f>BK446</f>
        <v>43508</v>
      </c>
      <c r="BV446" s="127">
        <f>BL446</f>
        <v>44239</v>
      </c>
      <c r="BW446" s="90" t="str">
        <f>H446</f>
        <v>CDC</v>
      </c>
      <c r="BX446" s="90" t="str">
        <f>IF(H446="NATIONAL HEMOPHILIA FOUNDATION","Non Federal","Federal")</f>
        <v>Federal</v>
      </c>
      <c r="BY446" s="128">
        <f>BM446</f>
        <v>3122981.4000000004</v>
      </c>
      <c r="BZ446" s="90" t="str">
        <f>IF(LEN(BR446)&gt;0,1,"")</f>
        <v/>
      </c>
      <c r="CA446" s="90" t="str">
        <f>IF(LEN(BR446)&gt;0,"VIRAL HEPATITIS PROJECT","")</f>
        <v/>
      </c>
      <c r="CB446" s="129" t="str">
        <f>IF(LEN(BR446)&gt;0,BM446*0.7,"")</f>
        <v/>
      </c>
      <c r="CC446" s="90">
        <f>BP446</f>
        <v>3279130.4700000007</v>
      </c>
      <c r="CD446" s="90" t="str">
        <f>IF(LEN(BR446)&gt;0,"70%","")</f>
        <v/>
      </c>
      <c r="CE446" s="90">
        <f>BS446</f>
        <v>222293</v>
      </c>
      <c r="CF446" s="90" t="str">
        <f>CA446</f>
        <v/>
      </c>
      <c r="CG446" s="90"/>
      <c r="CH446" s="90"/>
      <c r="CI446" s="90"/>
      <c r="CJ446" s="90"/>
      <c r="CK446" s="90"/>
      <c r="CL446" s="90"/>
      <c r="CM446" s="90"/>
      <c r="CN446" s="90"/>
      <c r="CO446" s="90"/>
      <c r="CP446" s="90"/>
      <c r="CQ446" s="90"/>
      <c r="CR446" s="90"/>
      <c r="CS446" s="90"/>
      <c r="CT446" s="137"/>
    </row>
    <row r="447" spans="1:98" ht="90">
      <c r="A447" s="89">
        <v>222293</v>
      </c>
      <c r="B447" s="90">
        <v>2020</v>
      </c>
      <c r="C447" s="90" t="s">
        <v>81</v>
      </c>
      <c r="D447" s="90" t="s">
        <v>1294</v>
      </c>
      <c r="E447" s="125" t="s">
        <v>791</v>
      </c>
      <c r="F447" s="24" t="s">
        <v>1295</v>
      </c>
      <c r="G447" s="90" t="s">
        <v>85</v>
      </c>
      <c r="H447" s="90" t="s">
        <v>86</v>
      </c>
      <c r="I447" s="90">
        <v>93</v>
      </c>
      <c r="J447" s="90">
        <v>157</v>
      </c>
      <c r="K447" s="90" t="s">
        <v>85</v>
      </c>
      <c r="L447" s="90" t="s">
        <v>1296</v>
      </c>
      <c r="M447" s="90" t="s">
        <v>119</v>
      </c>
      <c r="N447" s="24" t="s">
        <v>243</v>
      </c>
      <c r="O447" s="24" t="str">
        <f>IF(ISNUMBER(SEARCH("Cancer",N447)),"Cancer",IF(ISNUMBER(SEARCH("health",N447)),"Public health",IF(ISNUMBER(SEARCH("disabilities",N447)),"Disabilities","Other")))</f>
        <v>Other</v>
      </c>
      <c r="P447" s="126">
        <v>2839074</v>
      </c>
      <c r="Q447" s="90" t="s">
        <v>85</v>
      </c>
      <c r="R447" s="90" t="str">
        <f>IF(P447&gt;20000000,"B","A")</f>
        <v>A</v>
      </c>
      <c r="S447" s="90" t="s">
        <v>90</v>
      </c>
      <c r="T447" s="90" t="s">
        <v>119</v>
      </c>
      <c r="U447" s="90" t="s">
        <v>119</v>
      </c>
      <c r="V447" s="90" t="s">
        <v>119</v>
      </c>
      <c r="W447" s="90" t="s">
        <v>119</v>
      </c>
      <c r="X447" s="90" t="s">
        <v>119</v>
      </c>
      <c r="Y447" s="90" t="s">
        <v>119</v>
      </c>
      <c r="Z447" s="90" t="s">
        <v>119</v>
      </c>
      <c r="AA447" s="90" t="s">
        <v>119</v>
      </c>
      <c r="AB447" s="90" t="s">
        <v>119</v>
      </c>
      <c r="AC447" s="90" t="s">
        <v>119</v>
      </c>
      <c r="AD447" s="90" t="s">
        <v>119</v>
      </c>
      <c r="AE447" s="24">
        <v>0</v>
      </c>
      <c r="AF447" s="90">
        <v>0</v>
      </c>
      <c r="AG447" s="24">
        <v>0</v>
      </c>
      <c r="AH447" s="90">
        <v>88280</v>
      </c>
      <c r="AI447" s="24" t="s">
        <v>110</v>
      </c>
      <c r="AJ447" s="24" t="s">
        <v>1297</v>
      </c>
      <c r="AK447" s="90" t="s">
        <v>85</v>
      </c>
      <c r="AL447" s="90">
        <v>222293</v>
      </c>
      <c r="AM447" s="90" t="s">
        <v>81</v>
      </c>
      <c r="AN447" s="90" t="s">
        <v>1294</v>
      </c>
      <c r="AO447" s="125" t="s">
        <v>791</v>
      </c>
      <c r="AP447" s="24" t="s">
        <v>243</v>
      </c>
      <c r="AQ447" s="90" t="s">
        <v>1296</v>
      </c>
      <c r="AR447" s="24" t="s">
        <v>243</v>
      </c>
      <c r="AS447" s="90" t="s">
        <v>119</v>
      </c>
      <c r="AT447" s="24" t="s">
        <v>110</v>
      </c>
      <c r="AU447" s="90" t="s">
        <v>119</v>
      </c>
      <c r="AV447" s="90" t="str">
        <f>IF(ISNUMBER(SEARCH("disagree",AE447)),"N","Y")</f>
        <v>Y</v>
      </c>
      <c r="AW447" s="90" t="s">
        <v>119</v>
      </c>
      <c r="AX447" s="24" t="s">
        <v>119</v>
      </c>
      <c r="AY447" s="90" t="str">
        <f>CONCATENATE(AZ447,BA447,BB447,BC447)</f>
        <v/>
      </c>
      <c r="AZ447" s="90" t="str">
        <f>IF(ISNUMBER(SEARCH("Y",AC447)),"R","")</f>
        <v/>
      </c>
      <c r="BA447" s="90" t="str">
        <f>IF(ISNUMBER(SEARCH("Y",Y447)),"M","")</f>
        <v/>
      </c>
      <c r="BB447" s="90" t="str">
        <f>IF(ISNUMBER(SEARCH("Y",AB447)),"QC","")</f>
        <v/>
      </c>
      <c r="BC447" s="90" t="str">
        <f>IF(ISNUMBER(SEARCH("Y",Z447)),"S","")</f>
        <v/>
      </c>
      <c r="BD447" s="90"/>
      <c r="BE447" s="24" t="s">
        <v>119</v>
      </c>
      <c r="BF447" s="125" t="str">
        <f>IF(AND(AW447&gt;=56543,AW447&lt;=76543,LEN(AW447)&gt;0),"3 Feb 2020",IF(AND(AW447&gt;=66544,AW447&lt;=99999,LEN(AW447)&gt;0),"12 Sep 2020",""))</f>
        <v/>
      </c>
      <c r="BG447" s="125" t="str">
        <f>IF((AND(BF447="3 Feb 2020",LEN(BF447)&gt;0)),"Completed",IF((AND(BF447="12 Sep 2020",LEN(BF447)&gt;0)),"Pending",""))</f>
        <v/>
      </c>
      <c r="BH447" s="90" t="str">
        <f>IF((AND(BF447="3 Feb 2020",LEN(BF447)&gt;0)),"3 Feb 2020","")</f>
        <v/>
      </c>
      <c r="BI447" s="90">
        <v>222293</v>
      </c>
      <c r="BJ447" s="90" t="str">
        <f>L447</f>
        <v>7B32BR88279-41</v>
      </c>
      <c r="BK447" s="127">
        <v>43508</v>
      </c>
      <c r="BL447" s="127">
        <v>44239</v>
      </c>
      <c r="BM447" s="128">
        <f>P447*1.1</f>
        <v>3122981.4000000004</v>
      </c>
      <c r="BN447" s="129">
        <f>P447*0.9</f>
        <v>2555166.6</v>
      </c>
      <c r="BO447" s="130">
        <f>P447*0.8</f>
        <v>2271259.2000000002</v>
      </c>
      <c r="BP447" s="90">
        <f>IF(Z447="Y",BM447*0.4,BM447*1.05)</f>
        <v>3279130.4700000007</v>
      </c>
      <c r="BQ447" s="90">
        <f>BP447*0.8</f>
        <v>2623304.3760000006</v>
      </c>
      <c r="BR447" s="90" t="str">
        <f>IF(ISNUMBER(SEARCH("subrecipient",AI443)),P447*0.6,"")</f>
        <v/>
      </c>
      <c r="BS447" s="90">
        <v>222293</v>
      </c>
      <c r="BT447" s="90" t="str">
        <f>BJ447</f>
        <v>7B32BR88279-41</v>
      </c>
      <c r="BU447" s="127">
        <f>BK447</f>
        <v>43508</v>
      </c>
      <c r="BV447" s="127">
        <f>BL447</f>
        <v>44239</v>
      </c>
      <c r="BW447" s="90" t="str">
        <f>H447</f>
        <v>CDC</v>
      </c>
      <c r="BX447" s="90" t="str">
        <f>IF(H447="NATIONAL HEMOPHILIA FOUNDATION","Non Federal","Federal")</f>
        <v>Federal</v>
      </c>
      <c r="BY447" s="128">
        <f>BM447</f>
        <v>3122981.4000000004</v>
      </c>
      <c r="BZ447" s="90" t="str">
        <f>IF(LEN(BR447)&gt;0,1,"")</f>
        <v/>
      </c>
      <c r="CA447" s="90" t="str">
        <f>IF(LEN(BR447)&gt;0,"VIRAL HEPATITIS PROJECT","")</f>
        <v/>
      </c>
      <c r="CB447" s="129" t="str">
        <f>IF(LEN(BR447)&gt;0,BM447*0.7,"")</f>
        <v/>
      </c>
      <c r="CC447" s="90">
        <f>BP447</f>
        <v>3279130.4700000007</v>
      </c>
      <c r="CD447" s="90" t="str">
        <f>IF(LEN(BR447)&gt;0,"70%","")</f>
        <v/>
      </c>
      <c r="CE447" s="90">
        <f>BS447</f>
        <v>222293</v>
      </c>
      <c r="CF447" s="90" t="str">
        <f>CA447</f>
        <v/>
      </c>
      <c r="CG447" s="90"/>
      <c r="CH447" s="90"/>
      <c r="CI447" s="90"/>
      <c r="CJ447" s="90"/>
      <c r="CK447" s="90"/>
      <c r="CL447" s="90"/>
      <c r="CM447" s="90"/>
      <c r="CN447" s="90"/>
      <c r="CO447" s="90"/>
      <c r="CP447" s="90"/>
      <c r="CQ447" s="90"/>
      <c r="CR447" s="90"/>
      <c r="CS447" s="90"/>
      <c r="CT447" s="137"/>
    </row>
    <row r="448" spans="1:98" ht="165">
      <c r="A448" s="89">
        <v>222444</v>
      </c>
      <c r="B448" s="90">
        <v>2020</v>
      </c>
      <c r="C448" s="90" t="s">
        <v>81</v>
      </c>
      <c r="D448" s="90" t="s">
        <v>1298</v>
      </c>
      <c r="E448" s="125" t="s">
        <v>793</v>
      </c>
      <c r="F448" s="24" t="s">
        <v>1299</v>
      </c>
      <c r="G448" s="90" t="s">
        <v>85</v>
      </c>
      <c r="H448" s="90" t="s">
        <v>117</v>
      </c>
      <c r="I448" s="90">
        <v>93</v>
      </c>
      <c r="J448" s="90">
        <v>157</v>
      </c>
      <c r="K448" s="90" t="s">
        <v>85</v>
      </c>
      <c r="L448" s="90" t="s">
        <v>1300</v>
      </c>
      <c r="M448" s="90" t="s">
        <v>119</v>
      </c>
      <c r="N448" s="24" t="s">
        <v>1211</v>
      </c>
      <c r="O448" s="24" t="str">
        <f>IF(ISNUMBER(SEARCH("Cancer",N448)),"Cancer",IF(ISNUMBER(SEARCH("health",N448)),"Public health",IF(ISNUMBER(SEARCH("disabilities",N448)),"Disabilities","Other")))</f>
        <v>Other</v>
      </c>
      <c r="P448" s="126">
        <v>2357328</v>
      </c>
      <c r="Q448" s="90" t="s">
        <v>85</v>
      </c>
      <c r="R448" s="90" t="str">
        <f>IF(P448&gt;20000000,"B","A")</f>
        <v>A</v>
      </c>
      <c r="S448" s="90" t="s">
        <v>90</v>
      </c>
      <c r="T448" s="90" t="s">
        <v>119</v>
      </c>
      <c r="U448" s="90" t="s">
        <v>119</v>
      </c>
      <c r="V448" s="90" t="s">
        <v>119</v>
      </c>
      <c r="W448" s="90" t="s">
        <v>119</v>
      </c>
      <c r="X448" s="90" t="s">
        <v>119</v>
      </c>
      <c r="Y448" s="90" t="s">
        <v>119</v>
      </c>
      <c r="Z448" s="90" t="s">
        <v>119</v>
      </c>
      <c r="AA448" s="90" t="s">
        <v>119</v>
      </c>
      <c r="AB448" s="90" t="s">
        <v>119</v>
      </c>
      <c r="AC448" s="90" t="s">
        <v>119</v>
      </c>
      <c r="AD448" s="90" t="s">
        <v>119</v>
      </c>
      <c r="AE448" s="24">
        <v>0</v>
      </c>
      <c r="AF448" s="90">
        <v>0</v>
      </c>
      <c r="AG448" s="24">
        <v>0</v>
      </c>
      <c r="AH448" s="90">
        <v>84098</v>
      </c>
      <c r="AI448" s="24" t="s">
        <v>94</v>
      </c>
      <c r="AJ448" s="24" t="s">
        <v>1301</v>
      </c>
      <c r="AK448" s="90" t="s">
        <v>85</v>
      </c>
      <c r="AL448" s="90">
        <v>222444</v>
      </c>
      <c r="AM448" s="90" t="s">
        <v>81</v>
      </c>
      <c r="AN448" s="90" t="s">
        <v>1298</v>
      </c>
      <c r="AO448" s="125" t="s">
        <v>793</v>
      </c>
      <c r="AP448" s="24" t="s">
        <v>1211</v>
      </c>
      <c r="AQ448" s="90" t="s">
        <v>1300</v>
      </c>
      <c r="AR448" s="24" t="s">
        <v>1211</v>
      </c>
      <c r="AS448" s="90" t="s">
        <v>119</v>
      </c>
      <c r="AT448" s="24" t="s">
        <v>94</v>
      </c>
      <c r="AU448" s="90" t="s">
        <v>119</v>
      </c>
      <c r="AV448" s="90" t="str">
        <f>IF(ISNUMBER(SEARCH("disagree",AE448)),"N","Y")</f>
        <v>Y</v>
      </c>
      <c r="AW448" s="90" t="s">
        <v>119</v>
      </c>
      <c r="AX448" s="24" t="s">
        <v>119</v>
      </c>
      <c r="AY448" s="90" t="str">
        <f>CONCATENATE(AZ448,BA448,BB448,BC448)</f>
        <v/>
      </c>
      <c r="AZ448" s="90" t="str">
        <f>IF(ISNUMBER(SEARCH("Y",AC448)),"R","")</f>
        <v/>
      </c>
      <c r="BA448" s="90" t="str">
        <f>IF(ISNUMBER(SEARCH("Y",Y448)),"M","")</f>
        <v/>
      </c>
      <c r="BB448" s="90" t="str">
        <f>IF(ISNUMBER(SEARCH("Y",AB448)),"QC","")</f>
        <v/>
      </c>
      <c r="BC448" s="90" t="str">
        <f>IF(ISNUMBER(SEARCH("Y",Z448)),"S","")</f>
        <v/>
      </c>
      <c r="BD448" s="90"/>
      <c r="BE448" s="24" t="s">
        <v>119</v>
      </c>
      <c r="BF448" s="125" t="str">
        <f>IF(AND(AW448&gt;=56543,AW448&lt;=76543,LEN(AW448)&gt;0),"3 Feb 2020",IF(AND(AW448&gt;=66544,AW448&lt;=99999,LEN(AW448)&gt;0),"12 Sep 2020",""))</f>
        <v/>
      </c>
      <c r="BG448" s="125" t="str">
        <f>IF((AND(BF448="3 Feb 2020",LEN(BF448)&gt;0)),"Completed",IF((AND(BF448="12 Sep 2020",LEN(BF448)&gt;0)),"Pending",""))</f>
        <v/>
      </c>
      <c r="BH448" s="90" t="str">
        <f>IF((AND(BF448="3 Feb 2020",LEN(BF448)&gt;0)),"3 Feb 2020","")</f>
        <v/>
      </c>
      <c r="BI448" s="90">
        <v>222444</v>
      </c>
      <c r="BJ448" s="90" t="str">
        <f>L448</f>
        <v>6B36CR84098-87</v>
      </c>
      <c r="BK448" s="127">
        <v>43508</v>
      </c>
      <c r="BL448" s="127">
        <v>44239</v>
      </c>
      <c r="BM448" s="128">
        <f>P448*1.1</f>
        <v>2593060.8000000003</v>
      </c>
      <c r="BN448" s="129">
        <f>P448*0.9</f>
        <v>2121595.2000000002</v>
      </c>
      <c r="BO448" s="130">
        <f>P448*0.8</f>
        <v>1885862.4000000001</v>
      </c>
      <c r="BP448" s="90">
        <f>IF(Z448="Y",BM448*0.4,BM448*1.05)</f>
        <v>2722713.8400000003</v>
      </c>
      <c r="BQ448" s="90">
        <f>BP448*0.8</f>
        <v>2178171.0720000002</v>
      </c>
      <c r="BR448" s="90" t="str">
        <f>IF(ISNUMBER(SEARCH("subrecipient",AI444)),P448*0.6,"")</f>
        <v/>
      </c>
      <c r="BS448" s="90">
        <v>222444</v>
      </c>
      <c r="BT448" s="90" t="str">
        <f>BJ448</f>
        <v>6B36CR84098-87</v>
      </c>
      <c r="BU448" s="127">
        <f>BK448</f>
        <v>43508</v>
      </c>
      <c r="BV448" s="127">
        <f>BL448</f>
        <v>44239</v>
      </c>
      <c r="BW448" s="90" t="str">
        <f>H448</f>
        <v>NIH</v>
      </c>
      <c r="BX448" s="90" t="str">
        <f>IF(H448="NATIONAL HEMOPHILIA FOUNDATION","Non Federal","Federal")</f>
        <v>Federal</v>
      </c>
      <c r="BY448" s="128">
        <f>BM448</f>
        <v>2593060.8000000003</v>
      </c>
      <c r="BZ448" s="90" t="str">
        <f>IF(LEN(BR448)&gt;0,1,"")</f>
        <v/>
      </c>
      <c r="CA448" s="90" t="str">
        <f>IF(LEN(BR448)&gt;0,"VIRAL HEPATITIS PROJECT","")</f>
        <v/>
      </c>
      <c r="CB448" s="129" t="str">
        <f>IF(LEN(BR448)&gt;0,BM448*0.7,"")</f>
        <v/>
      </c>
      <c r="CC448" s="90">
        <f>BP448</f>
        <v>2722713.8400000003</v>
      </c>
      <c r="CD448" s="90" t="str">
        <f>IF(LEN(BR448)&gt;0,"70%","")</f>
        <v/>
      </c>
      <c r="CE448" s="90">
        <f>BS448</f>
        <v>222444</v>
      </c>
      <c r="CF448" s="90" t="str">
        <f>CA448</f>
        <v/>
      </c>
      <c r="CG448" s="90"/>
      <c r="CH448" s="90"/>
      <c r="CI448" s="90"/>
      <c r="CJ448" s="90"/>
      <c r="CK448" s="90"/>
      <c r="CL448" s="90"/>
      <c r="CM448" s="90"/>
      <c r="CN448" s="90"/>
      <c r="CO448" s="90"/>
      <c r="CP448" s="90"/>
      <c r="CQ448" s="90"/>
      <c r="CR448" s="90"/>
      <c r="CS448" s="90"/>
      <c r="CT448" s="137"/>
    </row>
    <row r="449" spans="1:98" ht="60">
      <c r="A449" s="89">
        <v>222444</v>
      </c>
      <c r="B449" s="90">
        <v>2020</v>
      </c>
      <c r="C449" s="90" t="s">
        <v>81</v>
      </c>
      <c r="D449" s="90" t="s">
        <v>1298</v>
      </c>
      <c r="E449" s="125" t="s">
        <v>780</v>
      </c>
      <c r="F449" s="24" t="s">
        <v>1299</v>
      </c>
      <c r="G449" s="90" t="s">
        <v>85</v>
      </c>
      <c r="H449" s="90" t="s">
        <v>117</v>
      </c>
      <c r="I449" s="90">
        <v>93</v>
      </c>
      <c r="J449" s="90">
        <v>157</v>
      </c>
      <c r="K449" s="90" t="s">
        <v>85</v>
      </c>
      <c r="L449" s="90" t="s">
        <v>1300</v>
      </c>
      <c r="M449" s="90" t="s">
        <v>119</v>
      </c>
      <c r="N449" s="24" t="s">
        <v>1211</v>
      </c>
      <c r="O449" s="24" t="str">
        <f>IF(ISNUMBER(SEARCH("Cancer",N449)),"Cancer",IF(ISNUMBER(SEARCH("health",N449)),"Public health",IF(ISNUMBER(SEARCH("disabilities",N449)),"Disabilities","Other")))</f>
        <v>Other</v>
      </c>
      <c r="P449" s="126">
        <v>2357328</v>
      </c>
      <c r="Q449" s="90" t="s">
        <v>85</v>
      </c>
      <c r="R449" s="90" t="str">
        <f>IF(P449&gt;20000000,"B","A")</f>
        <v>A</v>
      </c>
      <c r="S449" s="90" t="s">
        <v>90</v>
      </c>
      <c r="T449" s="90" t="s">
        <v>119</v>
      </c>
      <c r="U449" s="90" t="s">
        <v>119</v>
      </c>
      <c r="V449" s="90" t="s">
        <v>119</v>
      </c>
      <c r="W449" s="90" t="s">
        <v>119</v>
      </c>
      <c r="X449" s="90" t="s">
        <v>119</v>
      </c>
      <c r="Y449" s="90" t="s">
        <v>119</v>
      </c>
      <c r="Z449" s="90" t="s">
        <v>119</v>
      </c>
      <c r="AA449" s="90" t="s">
        <v>119</v>
      </c>
      <c r="AB449" s="90" t="s">
        <v>119</v>
      </c>
      <c r="AC449" s="90" t="s">
        <v>119</v>
      </c>
      <c r="AD449" s="90" t="s">
        <v>119</v>
      </c>
      <c r="AE449" s="24">
        <v>0</v>
      </c>
      <c r="AF449" s="90">
        <v>0</v>
      </c>
      <c r="AG449" s="24">
        <v>0</v>
      </c>
      <c r="AH449" s="90">
        <v>84097</v>
      </c>
      <c r="AI449" s="24" t="s">
        <v>102</v>
      </c>
      <c r="AJ449" s="24" t="s">
        <v>103</v>
      </c>
      <c r="AK449" s="90" t="s">
        <v>85</v>
      </c>
      <c r="AL449" s="90">
        <v>222444</v>
      </c>
      <c r="AM449" s="90" t="s">
        <v>81</v>
      </c>
      <c r="AN449" s="90" t="s">
        <v>1298</v>
      </c>
      <c r="AO449" s="125" t="s">
        <v>780</v>
      </c>
      <c r="AP449" s="24" t="s">
        <v>1211</v>
      </c>
      <c r="AQ449" s="90" t="s">
        <v>1300</v>
      </c>
      <c r="AR449" s="24" t="s">
        <v>1211</v>
      </c>
      <c r="AS449" s="90" t="s">
        <v>119</v>
      </c>
      <c r="AT449" s="24" t="s">
        <v>102</v>
      </c>
      <c r="AU449" s="90" t="s">
        <v>119</v>
      </c>
      <c r="AV449" s="90" t="str">
        <f>IF(ISNUMBER(SEARCH("disagree",AE449)),"N","Y")</f>
        <v>Y</v>
      </c>
      <c r="AW449" s="90" t="s">
        <v>119</v>
      </c>
      <c r="AX449" s="24" t="s">
        <v>119</v>
      </c>
      <c r="AY449" s="90" t="str">
        <f>CONCATENATE(AZ449,BA449,BB449,BC449)</f>
        <v/>
      </c>
      <c r="AZ449" s="90" t="str">
        <f>IF(ISNUMBER(SEARCH("Y",AC449)),"R","")</f>
        <v/>
      </c>
      <c r="BA449" s="90" t="str">
        <f>IF(ISNUMBER(SEARCH("Y",Y449)),"M","")</f>
        <v/>
      </c>
      <c r="BB449" s="90" t="str">
        <f>IF(ISNUMBER(SEARCH("Y",AB449)),"QC","")</f>
        <v/>
      </c>
      <c r="BC449" s="90" t="str">
        <f>IF(ISNUMBER(SEARCH("Y",Z449)),"S","")</f>
        <v/>
      </c>
      <c r="BD449" s="90"/>
      <c r="BE449" s="24" t="s">
        <v>119</v>
      </c>
      <c r="BF449" s="125" t="str">
        <f>IF(AND(AW449&gt;=56543,AW449&lt;=76543,LEN(AW449)&gt;0),"3 Feb 2020",IF(AND(AW449&gt;=66544,AW449&lt;=99999,LEN(AW449)&gt;0),"12 Sep 2020",""))</f>
        <v/>
      </c>
      <c r="BG449" s="125" t="str">
        <f>IF((AND(BF449="3 Feb 2020",LEN(BF449)&gt;0)),"Completed",IF((AND(BF449="12 Sep 2020",LEN(BF449)&gt;0)),"Pending",""))</f>
        <v/>
      </c>
      <c r="BH449" s="90" t="str">
        <f>IF((AND(BF449="3 Feb 2020",LEN(BF449)&gt;0)),"3 Feb 2020","")</f>
        <v/>
      </c>
      <c r="BI449" s="90">
        <v>222444</v>
      </c>
      <c r="BJ449" s="90" t="str">
        <f>L449</f>
        <v>6B36CR84098-87</v>
      </c>
      <c r="BK449" s="127">
        <v>43508</v>
      </c>
      <c r="BL449" s="127">
        <v>44239</v>
      </c>
      <c r="BM449" s="128">
        <f>P449*1.1</f>
        <v>2593060.8000000003</v>
      </c>
      <c r="BN449" s="129">
        <f>P449*0.9</f>
        <v>2121595.2000000002</v>
      </c>
      <c r="BO449" s="130">
        <f>P449*0.8</f>
        <v>1885862.4000000001</v>
      </c>
      <c r="BP449" s="90">
        <f>IF(Z449="Y",BM449*0.4,BM449*1.05)</f>
        <v>2722713.8400000003</v>
      </c>
      <c r="BQ449" s="90">
        <f>BP449*0.8</f>
        <v>2178171.0720000002</v>
      </c>
      <c r="BR449" s="90" t="str">
        <f>IF(ISNUMBER(SEARCH("subrecipient",AI445)),P449*0.6,"")</f>
        <v/>
      </c>
      <c r="BS449" s="90">
        <v>222444</v>
      </c>
      <c r="BT449" s="90" t="str">
        <f>BJ449</f>
        <v>6B36CR84098-87</v>
      </c>
      <c r="BU449" s="127">
        <f>BK449</f>
        <v>43508</v>
      </c>
      <c r="BV449" s="127">
        <f>BL449</f>
        <v>44239</v>
      </c>
      <c r="BW449" s="90" t="str">
        <f>H449</f>
        <v>NIH</v>
      </c>
      <c r="BX449" s="90" t="str">
        <f>IF(H449="NATIONAL HEMOPHILIA FOUNDATION","Non Federal","Federal")</f>
        <v>Federal</v>
      </c>
      <c r="BY449" s="128">
        <f>BM449</f>
        <v>2593060.8000000003</v>
      </c>
      <c r="BZ449" s="90" t="str">
        <f>IF(LEN(BR449)&gt;0,1,"")</f>
        <v/>
      </c>
      <c r="CA449" s="90" t="str">
        <f>IF(LEN(BR449)&gt;0,"VIRAL HEPATITIS PROJECT","")</f>
        <v/>
      </c>
      <c r="CB449" s="129" t="str">
        <f>IF(LEN(BR449)&gt;0,BM449*0.7,"")</f>
        <v/>
      </c>
      <c r="CC449" s="90">
        <f>BP449</f>
        <v>2722713.8400000003</v>
      </c>
      <c r="CD449" s="90" t="str">
        <f>IF(LEN(BR449)&gt;0,"70%","")</f>
        <v/>
      </c>
      <c r="CE449" s="90">
        <f>BS449</f>
        <v>222444</v>
      </c>
      <c r="CF449" s="90" t="str">
        <f>CA449</f>
        <v/>
      </c>
      <c r="CG449" s="90"/>
      <c r="CH449" s="90"/>
      <c r="CI449" s="90"/>
      <c r="CJ449" s="90"/>
      <c r="CK449" s="90"/>
      <c r="CL449" s="90"/>
      <c r="CM449" s="90"/>
      <c r="CN449" s="90"/>
      <c r="CO449" s="90"/>
      <c r="CP449" s="90"/>
      <c r="CQ449" s="90"/>
      <c r="CR449" s="90"/>
      <c r="CS449" s="90"/>
      <c r="CT449" s="137"/>
    </row>
    <row r="450" spans="1:98" ht="60">
      <c r="A450" s="89">
        <v>222444</v>
      </c>
      <c r="B450" s="90">
        <v>2020</v>
      </c>
      <c r="C450" s="90" t="s">
        <v>81</v>
      </c>
      <c r="D450" s="90" t="s">
        <v>1298</v>
      </c>
      <c r="E450" s="125" t="s">
        <v>781</v>
      </c>
      <c r="F450" s="24" t="s">
        <v>1299</v>
      </c>
      <c r="G450" s="90" t="s">
        <v>85</v>
      </c>
      <c r="H450" s="90" t="s">
        <v>117</v>
      </c>
      <c r="I450" s="90">
        <v>93</v>
      </c>
      <c r="J450" s="90">
        <v>157</v>
      </c>
      <c r="K450" s="90" t="s">
        <v>85</v>
      </c>
      <c r="L450" s="90" t="s">
        <v>1300</v>
      </c>
      <c r="M450" s="90" t="s">
        <v>119</v>
      </c>
      <c r="N450" s="24" t="s">
        <v>1211</v>
      </c>
      <c r="O450" s="24" t="str">
        <f>IF(ISNUMBER(SEARCH("Cancer",N450)),"Cancer",IF(ISNUMBER(SEARCH("health",N450)),"Public health",IF(ISNUMBER(SEARCH("disabilities",N450)),"Disabilities","Other")))</f>
        <v>Other</v>
      </c>
      <c r="P450" s="126">
        <v>2357328</v>
      </c>
      <c r="Q450" s="90" t="s">
        <v>85</v>
      </c>
      <c r="R450" s="90" t="str">
        <f>IF(P450&gt;20000000,"B","A")</f>
        <v>A</v>
      </c>
      <c r="S450" s="90" t="s">
        <v>90</v>
      </c>
      <c r="T450" s="90" t="s">
        <v>119</v>
      </c>
      <c r="U450" s="90" t="s">
        <v>119</v>
      </c>
      <c r="V450" s="90" t="s">
        <v>119</v>
      </c>
      <c r="W450" s="90" t="s">
        <v>119</v>
      </c>
      <c r="X450" s="90" t="s">
        <v>119</v>
      </c>
      <c r="Y450" s="90" t="s">
        <v>119</v>
      </c>
      <c r="Z450" s="90" t="s">
        <v>119</v>
      </c>
      <c r="AA450" s="90" t="s">
        <v>119</v>
      </c>
      <c r="AB450" s="90" t="s">
        <v>119</v>
      </c>
      <c r="AC450" s="90" t="s">
        <v>119</v>
      </c>
      <c r="AD450" s="90" t="s">
        <v>119</v>
      </c>
      <c r="AE450" s="24">
        <v>0</v>
      </c>
      <c r="AF450" s="90">
        <v>0</v>
      </c>
      <c r="AG450" s="24">
        <v>0</v>
      </c>
      <c r="AH450" s="90">
        <v>84096</v>
      </c>
      <c r="AI450" s="24" t="s">
        <v>110</v>
      </c>
      <c r="AJ450" s="24" t="s">
        <v>1302</v>
      </c>
      <c r="AK450" s="90" t="s">
        <v>85</v>
      </c>
      <c r="AL450" s="90">
        <v>222444</v>
      </c>
      <c r="AM450" s="90" t="s">
        <v>81</v>
      </c>
      <c r="AN450" s="90" t="s">
        <v>1298</v>
      </c>
      <c r="AO450" s="125" t="s">
        <v>781</v>
      </c>
      <c r="AP450" s="24" t="s">
        <v>1211</v>
      </c>
      <c r="AQ450" s="90" t="s">
        <v>1300</v>
      </c>
      <c r="AR450" s="24" t="s">
        <v>1211</v>
      </c>
      <c r="AS450" s="90" t="s">
        <v>119</v>
      </c>
      <c r="AT450" s="24" t="s">
        <v>110</v>
      </c>
      <c r="AU450" s="90" t="s">
        <v>119</v>
      </c>
      <c r="AV450" s="90" t="str">
        <f>IF(ISNUMBER(SEARCH("disagree",AE450)),"N","Y")</f>
        <v>Y</v>
      </c>
      <c r="AW450" s="90" t="s">
        <v>119</v>
      </c>
      <c r="AX450" s="24" t="s">
        <v>119</v>
      </c>
      <c r="AY450" s="90" t="str">
        <f>CONCATENATE(AZ450,BA450,BB450,BC450)</f>
        <v/>
      </c>
      <c r="AZ450" s="90" t="str">
        <f>IF(ISNUMBER(SEARCH("Y",AC450)),"R","")</f>
        <v/>
      </c>
      <c r="BA450" s="90" t="str">
        <f>IF(ISNUMBER(SEARCH("Y",Y450)),"M","")</f>
        <v/>
      </c>
      <c r="BB450" s="90" t="str">
        <f>IF(ISNUMBER(SEARCH("Y",AB450)),"QC","")</f>
        <v/>
      </c>
      <c r="BC450" s="90" t="str">
        <f>IF(ISNUMBER(SEARCH("Y",Z450)),"S","")</f>
        <v/>
      </c>
      <c r="BD450" s="90"/>
      <c r="BE450" s="24" t="s">
        <v>119</v>
      </c>
      <c r="BF450" s="125" t="str">
        <f>IF(AND(AW450&gt;=56543,AW450&lt;=76543,LEN(AW450)&gt;0),"3 Feb 2020",IF(AND(AW450&gt;=66544,AW450&lt;=99999,LEN(AW450)&gt;0),"12 Sep 2020",""))</f>
        <v/>
      </c>
      <c r="BG450" s="125" t="str">
        <f>IF((AND(BF450="3 Feb 2020",LEN(BF450)&gt;0)),"Completed",IF((AND(BF450="12 Sep 2020",LEN(BF450)&gt;0)),"Pending",""))</f>
        <v/>
      </c>
      <c r="BH450" s="90" t="str">
        <f>IF((AND(BF450="3 Feb 2020",LEN(BF450)&gt;0)),"3 Feb 2020","")</f>
        <v/>
      </c>
      <c r="BI450" s="90">
        <v>222444</v>
      </c>
      <c r="BJ450" s="90" t="str">
        <f>L450</f>
        <v>6B36CR84098-87</v>
      </c>
      <c r="BK450" s="127">
        <v>43508</v>
      </c>
      <c r="BL450" s="127">
        <v>44239</v>
      </c>
      <c r="BM450" s="128">
        <f>P450*1.1</f>
        <v>2593060.8000000003</v>
      </c>
      <c r="BN450" s="129">
        <f>P450*0.9</f>
        <v>2121595.2000000002</v>
      </c>
      <c r="BO450" s="130">
        <f>P450*0.8</f>
        <v>1885862.4000000001</v>
      </c>
      <c r="BP450" s="90">
        <f>IF(Z450="Y",BM450*0.4,BM450*1.05)</f>
        <v>2722713.8400000003</v>
      </c>
      <c r="BQ450" s="90">
        <f>BP450*0.8</f>
        <v>2178171.0720000002</v>
      </c>
      <c r="BR450" s="90" t="str">
        <f>IF(ISNUMBER(SEARCH("subrecipient",AI446)),P450*0.6,"")</f>
        <v/>
      </c>
      <c r="BS450" s="90">
        <v>222444</v>
      </c>
      <c r="BT450" s="90" t="str">
        <f>BJ450</f>
        <v>6B36CR84098-87</v>
      </c>
      <c r="BU450" s="127">
        <f>BK450</f>
        <v>43508</v>
      </c>
      <c r="BV450" s="127">
        <f>BL450</f>
        <v>44239</v>
      </c>
      <c r="BW450" s="90" t="str">
        <f>H450</f>
        <v>NIH</v>
      </c>
      <c r="BX450" s="90" t="str">
        <f>IF(H450="NATIONAL HEMOPHILIA FOUNDATION","Non Federal","Federal")</f>
        <v>Federal</v>
      </c>
      <c r="BY450" s="128">
        <f>BM450</f>
        <v>2593060.8000000003</v>
      </c>
      <c r="BZ450" s="90" t="str">
        <f>IF(LEN(BR450)&gt;0,1,"")</f>
        <v/>
      </c>
      <c r="CA450" s="90" t="str">
        <f>IF(LEN(BR450)&gt;0,"VIRAL HEPATITIS PROJECT","")</f>
        <v/>
      </c>
      <c r="CB450" s="129" t="str">
        <f>IF(LEN(BR450)&gt;0,BM450*0.7,"")</f>
        <v/>
      </c>
      <c r="CC450" s="90">
        <f>BP450</f>
        <v>2722713.8400000003</v>
      </c>
      <c r="CD450" s="90" t="str">
        <f>IF(LEN(BR450)&gt;0,"70%","")</f>
        <v/>
      </c>
      <c r="CE450" s="90">
        <f>BS450</f>
        <v>222444</v>
      </c>
      <c r="CF450" s="90" t="str">
        <f>CA450</f>
        <v/>
      </c>
      <c r="CG450" s="90"/>
      <c r="CH450" s="90"/>
      <c r="CI450" s="90"/>
      <c r="CJ450" s="90"/>
      <c r="CK450" s="90"/>
      <c r="CL450" s="90"/>
      <c r="CM450" s="90"/>
      <c r="CN450" s="90"/>
      <c r="CO450" s="90"/>
      <c r="CP450" s="90"/>
      <c r="CQ450" s="90"/>
      <c r="CR450" s="90"/>
      <c r="CS450" s="90"/>
      <c r="CT450" s="137"/>
    </row>
    <row r="451" spans="1:98" ht="90">
      <c r="A451" s="89">
        <v>222492</v>
      </c>
      <c r="B451" s="90">
        <v>2020</v>
      </c>
      <c r="C451" s="90" t="s">
        <v>81</v>
      </c>
      <c r="D451" s="90" t="s">
        <v>1303</v>
      </c>
      <c r="E451" s="125" t="s">
        <v>784</v>
      </c>
      <c r="F451" s="24" t="s">
        <v>1304</v>
      </c>
      <c r="G451" s="90" t="s">
        <v>85</v>
      </c>
      <c r="H451" s="90" t="s">
        <v>132</v>
      </c>
      <c r="I451" s="90">
        <v>93</v>
      </c>
      <c r="J451" s="90">
        <v>157</v>
      </c>
      <c r="K451" s="90" t="s">
        <v>85</v>
      </c>
      <c r="L451" s="90" t="s">
        <v>1305</v>
      </c>
      <c r="M451" s="90" t="s">
        <v>119</v>
      </c>
      <c r="N451" s="24" t="s">
        <v>254</v>
      </c>
      <c r="O451" s="24" t="str">
        <f>IF(ISNUMBER(SEARCH("Cancer",N451)),"Cancer",IF(ISNUMBER(SEARCH("health",N451)),"Public health",IF(ISNUMBER(SEARCH("disabilities",N451)),"Disabilities","Other")))</f>
        <v>Other</v>
      </c>
      <c r="P451" s="126">
        <v>2603395</v>
      </c>
      <c r="Q451" s="90" t="s">
        <v>85</v>
      </c>
      <c r="R451" s="90" t="str">
        <f>IF(P451&gt;20000000,"B","A")</f>
        <v>A</v>
      </c>
      <c r="S451" s="90" t="s">
        <v>90</v>
      </c>
      <c r="T451" s="90" t="s">
        <v>119</v>
      </c>
      <c r="U451" s="90" t="s">
        <v>119</v>
      </c>
      <c r="V451" s="90" t="s">
        <v>119</v>
      </c>
      <c r="W451" s="90" t="s">
        <v>119</v>
      </c>
      <c r="X451" s="90" t="s">
        <v>119</v>
      </c>
      <c r="Y451" s="90" t="s">
        <v>119</v>
      </c>
      <c r="Z451" s="90" t="s">
        <v>119</v>
      </c>
      <c r="AA451" s="90" t="s">
        <v>119</v>
      </c>
      <c r="AB451" s="90" t="s">
        <v>119</v>
      </c>
      <c r="AC451" s="90" t="s">
        <v>119</v>
      </c>
      <c r="AD451" s="90" t="s">
        <v>119</v>
      </c>
      <c r="AE451" s="24">
        <v>0</v>
      </c>
      <c r="AF451" s="90">
        <v>0</v>
      </c>
      <c r="AG451" s="24">
        <v>0</v>
      </c>
      <c r="AH451" s="90">
        <v>87172</v>
      </c>
      <c r="AI451" s="24" t="s">
        <v>94</v>
      </c>
      <c r="AJ451" s="24" t="s">
        <v>1306</v>
      </c>
      <c r="AK451" s="90" t="s">
        <v>85</v>
      </c>
      <c r="AL451" s="90">
        <v>222492</v>
      </c>
      <c r="AM451" s="90" t="s">
        <v>81</v>
      </c>
      <c r="AN451" s="90" t="s">
        <v>1303</v>
      </c>
      <c r="AO451" s="125" t="s">
        <v>784</v>
      </c>
      <c r="AP451" s="24" t="s">
        <v>254</v>
      </c>
      <c r="AQ451" s="90" t="s">
        <v>1305</v>
      </c>
      <c r="AR451" s="24" t="s">
        <v>254</v>
      </c>
      <c r="AS451" s="90" t="s">
        <v>119</v>
      </c>
      <c r="AT451" s="24" t="s">
        <v>94</v>
      </c>
      <c r="AU451" s="90" t="s">
        <v>119</v>
      </c>
      <c r="AV451" s="90" t="str">
        <f>IF(ISNUMBER(SEARCH("disagree",AE451)),"N","Y")</f>
        <v>Y</v>
      </c>
      <c r="AW451" s="90" t="s">
        <v>119</v>
      </c>
      <c r="AX451" s="24" t="s">
        <v>119</v>
      </c>
      <c r="AY451" s="90" t="str">
        <f>CONCATENATE(AZ451,BA451,BB451,BC451)</f>
        <v/>
      </c>
      <c r="AZ451" s="90" t="str">
        <f>IF(ISNUMBER(SEARCH("Y",AC451)),"R","")</f>
        <v/>
      </c>
      <c r="BA451" s="90" t="str">
        <f>IF(ISNUMBER(SEARCH("Y",Y451)),"M","")</f>
        <v/>
      </c>
      <c r="BB451" s="90" t="str">
        <f>IF(ISNUMBER(SEARCH("Y",AB451)),"QC","")</f>
        <v/>
      </c>
      <c r="BC451" s="90" t="str">
        <f>IF(ISNUMBER(SEARCH("Y",Z451)),"S","")</f>
        <v/>
      </c>
      <c r="BD451" s="90"/>
      <c r="BE451" s="24" t="s">
        <v>119</v>
      </c>
      <c r="BF451" s="125" t="str">
        <f>IF(AND(AW451&gt;=56543,AW451&lt;=76543,LEN(AW451)&gt;0),"3 Feb 2020",IF(AND(AW451&gt;=66544,AW451&lt;=99999,LEN(AW451)&gt;0),"12 Sep 2020",""))</f>
        <v/>
      </c>
      <c r="BG451" s="125" t="str">
        <f>IF((AND(BF451="3 Feb 2020",LEN(BF451)&gt;0)),"Completed",IF((AND(BF451="12 Sep 2020",LEN(BF451)&gt;0)),"Pending",""))</f>
        <v/>
      </c>
      <c r="BH451" s="90" t="str">
        <f>IF((AND(BF451="3 Feb 2020",LEN(BF451)&gt;0)),"3 Feb 2020","")</f>
        <v/>
      </c>
      <c r="BI451" s="90">
        <v>222492</v>
      </c>
      <c r="BJ451" s="90" t="str">
        <f>L451</f>
        <v>5D23DT84096-89</v>
      </c>
      <c r="BK451" s="127">
        <v>43508</v>
      </c>
      <c r="BL451" s="127">
        <v>44239</v>
      </c>
      <c r="BM451" s="128">
        <f>P451*1.1</f>
        <v>2863734.5</v>
      </c>
      <c r="BN451" s="129">
        <f>P451*0.9</f>
        <v>2343055.5</v>
      </c>
      <c r="BO451" s="130">
        <f>P451*0.8</f>
        <v>2082716</v>
      </c>
      <c r="BP451" s="90">
        <f>IF(Z451="Y",BM451*0.4,BM451*1.05)</f>
        <v>3006921.2250000001</v>
      </c>
      <c r="BQ451" s="90">
        <f>BP451*0.8</f>
        <v>2405536.98</v>
      </c>
      <c r="BR451" s="90" t="str">
        <f>IF(ISNUMBER(SEARCH("subrecipient",AI447)),P451*0.6,"")</f>
        <v/>
      </c>
      <c r="BS451" s="90">
        <v>222492</v>
      </c>
      <c r="BT451" s="90" t="str">
        <f>BJ451</f>
        <v>5D23DT84096-89</v>
      </c>
      <c r="BU451" s="127">
        <f>BK451</f>
        <v>43508</v>
      </c>
      <c r="BV451" s="127">
        <f>BL451</f>
        <v>44239</v>
      </c>
      <c r="BW451" s="90" t="str">
        <f>H451</f>
        <v>FDA</v>
      </c>
      <c r="BX451" s="90" t="str">
        <f>IF(H451="NATIONAL HEMOPHILIA FOUNDATION","Non Federal","Federal")</f>
        <v>Federal</v>
      </c>
      <c r="BY451" s="128">
        <f>BM451</f>
        <v>2863734.5</v>
      </c>
      <c r="BZ451" s="90" t="str">
        <f>IF(LEN(BR451)&gt;0,1,"")</f>
        <v/>
      </c>
      <c r="CA451" s="90" t="str">
        <f>IF(LEN(BR451)&gt;0,"VIRAL HEPATITIS PROJECT","")</f>
        <v/>
      </c>
      <c r="CB451" s="129" t="str">
        <f>IF(LEN(BR451)&gt;0,BM451*0.7,"")</f>
        <v/>
      </c>
      <c r="CC451" s="90">
        <f>BP451</f>
        <v>3006921.2250000001</v>
      </c>
      <c r="CD451" s="90" t="str">
        <f>IF(LEN(BR451)&gt;0,"70%","")</f>
        <v/>
      </c>
      <c r="CE451" s="90">
        <f>BS451</f>
        <v>222492</v>
      </c>
      <c r="CF451" s="90" t="str">
        <f>CA451</f>
        <v/>
      </c>
      <c r="CG451" s="90"/>
      <c r="CH451" s="90"/>
      <c r="CI451" s="90"/>
      <c r="CJ451" s="90"/>
      <c r="CK451" s="90"/>
      <c r="CL451" s="90"/>
      <c r="CM451" s="90"/>
      <c r="CN451" s="90"/>
      <c r="CO451" s="90"/>
      <c r="CP451" s="90"/>
      <c r="CQ451" s="90"/>
      <c r="CR451" s="90"/>
      <c r="CS451" s="90"/>
      <c r="CT451" s="137"/>
    </row>
    <row r="452" spans="1:98" ht="30">
      <c r="A452" s="89">
        <v>222492</v>
      </c>
      <c r="B452" s="90">
        <v>2020</v>
      </c>
      <c r="C452" s="90" t="s">
        <v>81</v>
      </c>
      <c r="D452" s="90" t="s">
        <v>1303</v>
      </c>
      <c r="E452" s="125" t="s">
        <v>790</v>
      </c>
      <c r="F452" s="24" t="s">
        <v>1304</v>
      </c>
      <c r="G452" s="90" t="s">
        <v>85</v>
      </c>
      <c r="H452" s="90" t="s">
        <v>132</v>
      </c>
      <c r="I452" s="90">
        <v>93</v>
      </c>
      <c r="J452" s="90">
        <v>157</v>
      </c>
      <c r="K452" s="90" t="s">
        <v>85</v>
      </c>
      <c r="L452" s="90" t="s">
        <v>1305</v>
      </c>
      <c r="M452" s="90" t="s">
        <v>119</v>
      </c>
      <c r="N452" s="24" t="s">
        <v>254</v>
      </c>
      <c r="O452" s="24" t="str">
        <f>IF(ISNUMBER(SEARCH("Cancer",N452)),"Cancer",IF(ISNUMBER(SEARCH("health",N452)),"Public health",IF(ISNUMBER(SEARCH("disabilities",N452)),"Disabilities","Other")))</f>
        <v>Other</v>
      </c>
      <c r="P452" s="126">
        <v>2603395</v>
      </c>
      <c r="Q452" s="90" t="s">
        <v>85</v>
      </c>
      <c r="R452" s="90" t="str">
        <f>IF(P452&gt;20000000,"B","A")</f>
        <v>A</v>
      </c>
      <c r="S452" s="90" t="s">
        <v>90</v>
      </c>
      <c r="T452" s="90" t="s">
        <v>119</v>
      </c>
      <c r="U452" s="90" t="s">
        <v>119</v>
      </c>
      <c r="V452" s="90" t="s">
        <v>119</v>
      </c>
      <c r="W452" s="90" t="s">
        <v>119</v>
      </c>
      <c r="X452" s="90" t="s">
        <v>119</v>
      </c>
      <c r="Y452" s="90" t="s">
        <v>119</v>
      </c>
      <c r="Z452" s="90" t="s">
        <v>119</v>
      </c>
      <c r="AA452" s="90" t="s">
        <v>119</v>
      </c>
      <c r="AB452" s="90" t="s">
        <v>119</v>
      </c>
      <c r="AC452" s="90" t="s">
        <v>119</v>
      </c>
      <c r="AD452" s="90" t="s">
        <v>119</v>
      </c>
      <c r="AE452" s="24">
        <v>0</v>
      </c>
      <c r="AF452" s="90">
        <v>0</v>
      </c>
      <c r="AG452" s="24">
        <v>0</v>
      </c>
      <c r="AH452" s="90">
        <v>87173</v>
      </c>
      <c r="AI452" s="24" t="s">
        <v>102</v>
      </c>
      <c r="AJ452" s="24" t="s">
        <v>103</v>
      </c>
      <c r="AK452" s="90" t="s">
        <v>85</v>
      </c>
      <c r="AL452" s="90">
        <v>222492</v>
      </c>
      <c r="AM452" s="90" t="s">
        <v>81</v>
      </c>
      <c r="AN452" s="90" t="s">
        <v>1303</v>
      </c>
      <c r="AO452" s="125" t="s">
        <v>790</v>
      </c>
      <c r="AP452" s="24" t="s">
        <v>254</v>
      </c>
      <c r="AQ452" s="90" t="s">
        <v>1305</v>
      </c>
      <c r="AR452" s="24" t="s">
        <v>254</v>
      </c>
      <c r="AS452" s="90" t="s">
        <v>119</v>
      </c>
      <c r="AT452" s="24" t="s">
        <v>102</v>
      </c>
      <c r="AU452" s="90" t="s">
        <v>119</v>
      </c>
      <c r="AV452" s="90" t="str">
        <f>IF(ISNUMBER(SEARCH("disagree",AE452)),"N","Y")</f>
        <v>Y</v>
      </c>
      <c r="AW452" s="90" t="s">
        <v>119</v>
      </c>
      <c r="AX452" s="24" t="s">
        <v>119</v>
      </c>
      <c r="AY452" s="90" t="str">
        <f>CONCATENATE(AZ452,BA452,BB452,BC452)</f>
        <v/>
      </c>
      <c r="AZ452" s="90" t="str">
        <f>IF(ISNUMBER(SEARCH("Y",AC452)),"R","")</f>
        <v/>
      </c>
      <c r="BA452" s="90" t="str">
        <f>IF(ISNUMBER(SEARCH("Y",Y452)),"M","")</f>
        <v/>
      </c>
      <c r="BB452" s="90" t="str">
        <f>IF(ISNUMBER(SEARCH("Y",AB452)),"QC","")</f>
        <v/>
      </c>
      <c r="BC452" s="90" t="str">
        <f>IF(ISNUMBER(SEARCH("Y",Z452)),"S","")</f>
        <v/>
      </c>
      <c r="BD452" s="90"/>
      <c r="BE452" s="24" t="s">
        <v>119</v>
      </c>
      <c r="BF452" s="125" t="str">
        <f>IF(AND(AW452&gt;=56543,AW452&lt;=76543,LEN(AW452)&gt;0),"3 Feb 2020",IF(AND(AW452&gt;=66544,AW452&lt;=99999,LEN(AW452)&gt;0),"12 Sep 2020",""))</f>
        <v/>
      </c>
      <c r="BG452" s="125" t="str">
        <f>IF((AND(BF452="3 Feb 2020",LEN(BF452)&gt;0)),"Completed",IF((AND(BF452="12 Sep 2020",LEN(BF452)&gt;0)),"Pending",""))</f>
        <v/>
      </c>
      <c r="BH452" s="90" t="str">
        <f>IF((AND(BF452="3 Feb 2020",LEN(BF452)&gt;0)),"3 Feb 2020","")</f>
        <v/>
      </c>
      <c r="BI452" s="90">
        <v>222492</v>
      </c>
      <c r="BJ452" s="90" t="str">
        <f>L452</f>
        <v>5D23DT84096-89</v>
      </c>
      <c r="BK452" s="127">
        <v>43508</v>
      </c>
      <c r="BL452" s="127">
        <v>44239</v>
      </c>
      <c r="BM452" s="128">
        <f>P452*1.1</f>
        <v>2863734.5</v>
      </c>
      <c r="BN452" s="129">
        <f>P452*0.9</f>
        <v>2343055.5</v>
      </c>
      <c r="BO452" s="130">
        <f>P452*0.8</f>
        <v>2082716</v>
      </c>
      <c r="BP452" s="90">
        <f>IF(Z452="Y",BM452*0.4,BM452*1.05)</f>
        <v>3006921.2250000001</v>
      </c>
      <c r="BQ452" s="90">
        <f>BP452*0.8</f>
        <v>2405536.98</v>
      </c>
      <c r="BR452" s="90" t="str">
        <f>IF(ISNUMBER(SEARCH("subrecipient",AI448)),P452*0.6,"")</f>
        <v/>
      </c>
      <c r="BS452" s="90">
        <v>222492</v>
      </c>
      <c r="BT452" s="90" t="str">
        <f>BJ452</f>
        <v>5D23DT84096-89</v>
      </c>
      <c r="BU452" s="127">
        <f>BK452</f>
        <v>43508</v>
      </c>
      <c r="BV452" s="127">
        <f>BL452</f>
        <v>44239</v>
      </c>
      <c r="BW452" s="90" t="str">
        <f>H452</f>
        <v>FDA</v>
      </c>
      <c r="BX452" s="90" t="str">
        <f>IF(H452="NATIONAL HEMOPHILIA FOUNDATION","Non Federal","Federal")</f>
        <v>Federal</v>
      </c>
      <c r="BY452" s="128">
        <f>BM452</f>
        <v>2863734.5</v>
      </c>
      <c r="BZ452" s="90" t="str">
        <f>IF(LEN(BR452)&gt;0,1,"")</f>
        <v/>
      </c>
      <c r="CA452" s="90" t="str">
        <f>IF(LEN(BR452)&gt;0,"VIRAL HEPATITIS PROJECT","")</f>
        <v/>
      </c>
      <c r="CB452" s="129" t="str">
        <f>IF(LEN(BR452)&gt;0,BM452*0.7,"")</f>
        <v/>
      </c>
      <c r="CC452" s="90">
        <f>BP452</f>
        <v>3006921.2250000001</v>
      </c>
      <c r="CD452" s="90" t="str">
        <f>IF(LEN(BR452)&gt;0,"70%","")</f>
        <v/>
      </c>
      <c r="CE452" s="90">
        <f>BS452</f>
        <v>222492</v>
      </c>
      <c r="CF452" s="90" t="str">
        <f>CA452</f>
        <v/>
      </c>
      <c r="CG452" s="90"/>
      <c r="CH452" s="90"/>
      <c r="CI452" s="90"/>
      <c r="CJ452" s="90"/>
      <c r="CK452" s="90"/>
      <c r="CL452" s="90"/>
      <c r="CM452" s="90"/>
      <c r="CN452" s="90"/>
      <c r="CO452" s="90"/>
      <c r="CP452" s="90"/>
      <c r="CQ452" s="90"/>
      <c r="CR452" s="90"/>
      <c r="CS452" s="90"/>
      <c r="CT452" s="137"/>
    </row>
    <row r="453" spans="1:98" ht="150">
      <c r="A453" s="89">
        <v>222640</v>
      </c>
      <c r="B453" s="90">
        <v>2020</v>
      </c>
      <c r="C453" s="90" t="s">
        <v>81</v>
      </c>
      <c r="D453" s="90" t="s">
        <v>1307</v>
      </c>
      <c r="E453" s="125" t="s">
        <v>791</v>
      </c>
      <c r="F453" s="24" t="s">
        <v>1308</v>
      </c>
      <c r="G453" s="90" t="s">
        <v>85</v>
      </c>
      <c r="H453" s="90" t="s">
        <v>150</v>
      </c>
      <c r="I453" s="90">
        <v>93</v>
      </c>
      <c r="J453" s="90">
        <v>157</v>
      </c>
      <c r="K453" s="90" t="s">
        <v>85</v>
      </c>
      <c r="L453" s="90" t="s">
        <v>1309</v>
      </c>
      <c r="M453" s="90" t="s">
        <v>119</v>
      </c>
      <c r="N453" s="24" t="s">
        <v>1310</v>
      </c>
      <c r="O453" s="24" t="str">
        <f>IF(ISNUMBER(SEARCH("Cancer",N453)),"Cancer",IF(ISNUMBER(SEARCH("health",N453)),"Public health",IF(ISNUMBER(SEARCH("disabilities",N453)),"Disabilities","Other")))</f>
        <v>Other</v>
      </c>
      <c r="P453" s="126">
        <v>2683784</v>
      </c>
      <c r="Q453" s="90" t="s">
        <v>85</v>
      </c>
      <c r="R453" s="90" t="str">
        <f>IF(P453&gt;20000000,"B","A")</f>
        <v>A</v>
      </c>
      <c r="S453" s="90" t="s">
        <v>90</v>
      </c>
      <c r="T453" s="90" t="s">
        <v>119</v>
      </c>
      <c r="U453" s="90" t="s">
        <v>119</v>
      </c>
      <c r="V453" s="90" t="s">
        <v>119</v>
      </c>
      <c r="W453" s="90" t="s">
        <v>119</v>
      </c>
      <c r="X453" s="90" t="s">
        <v>119</v>
      </c>
      <c r="Y453" s="90" t="s">
        <v>119</v>
      </c>
      <c r="Z453" s="90" t="s">
        <v>119</v>
      </c>
      <c r="AA453" s="90" t="s">
        <v>119</v>
      </c>
      <c r="AB453" s="90" t="s">
        <v>119</v>
      </c>
      <c r="AC453" s="90" t="s">
        <v>119</v>
      </c>
      <c r="AD453" s="90" t="s">
        <v>119</v>
      </c>
      <c r="AE453" s="24">
        <v>0</v>
      </c>
      <c r="AF453" s="90">
        <v>0</v>
      </c>
      <c r="AG453" s="24">
        <v>0</v>
      </c>
      <c r="AH453" s="90">
        <v>83584</v>
      </c>
      <c r="AI453" s="24" t="s">
        <v>94</v>
      </c>
      <c r="AJ453" s="24" t="s">
        <v>1311</v>
      </c>
      <c r="AK453" s="90" t="s">
        <v>85</v>
      </c>
      <c r="AL453" s="90">
        <v>222640</v>
      </c>
      <c r="AM453" s="90" t="s">
        <v>81</v>
      </c>
      <c r="AN453" s="90" t="s">
        <v>1307</v>
      </c>
      <c r="AO453" s="125" t="s">
        <v>791</v>
      </c>
      <c r="AP453" s="24" t="s">
        <v>1310</v>
      </c>
      <c r="AQ453" s="90" t="s">
        <v>1309</v>
      </c>
      <c r="AR453" s="24" t="s">
        <v>1310</v>
      </c>
      <c r="AS453" s="90" t="s">
        <v>119</v>
      </c>
      <c r="AT453" s="24" t="s">
        <v>94</v>
      </c>
      <c r="AU453" s="90" t="s">
        <v>119</v>
      </c>
      <c r="AV453" s="90" t="str">
        <f>IF(ISNUMBER(SEARCH("disagree",AE453)),"N","Y")</f>
        <v>Y</v>
      </c>
      <c r="AW453" s="90" t="s">
        <v>119</v>
      </c>
      <c r="AX453" s="24" t="s">
        <v>119</v>
      </c>
      <c r="AY453" s="90" t="str">
        <f>CONCATENATE(AZ453,BA453,BB453,BC453)</f>
        <v/>
      </c>
      <c r="AZ453" s="90" t="str">
        <f>IF(ISNUMBER(SEARCH("Y",AC453)),"R","")</f>
        <v/>
      </c>
      <c r="BA453" s="90" t="str">
        <f>IF(ISNUMBER(SEARCH("Y",Y453)),"M","")</f>
        <v/>
      </c>
      <c r="BB453" s="90" t="str">
        <f>IF(ISNUMBER(SEARCH("Y",AB453)),"QC","")</f>
        <v/>
      </c>
      <c r="BC453" s="90" t="str">
        <f>IF(ISNUMBER(SEARCH("Y",Z453)),"S","")</f>
        <v/>
      </c>
      <c r="BD453" s="90"/>
      <c r="BE453" s="24" t="s">
        <v>119</v>
      </c>
      <c r="BF453" s="125" t="str">
        <f>IF(AND(AW453&gt;=56543,AW453&lt;=76543,LEN(AW453)&gt;0),"3 Feb 2020",IF(AND(AW453&gt;=66544,AW453&lt;=99999,LEN(AW453)&gt;0),"12 Sep 2020",""))</f>
        <v/>
      </c>
      <c r="BG453" s="125" t="str">
        <f>IF((AND(BF453="3 Feb 2020",LEN(BF453)&gt;0)),"Completed",IF((AND(BF453="12 Sep 2020",LEN(BF453)&gt;0)),"Pending",""))</f>
        <v/>
      </c>
      <c r="BH453" s="90" t="str">
        <f>IF((AND(BF453="3 Feb 2020",LEN(BF453)&gt;0)),"3 Feb 2020","")</f>
        <v/>
      </c>
      <c r="BI453" s="90">
        <v>222640</v>
      </c>
      <c r="BJ453" s="90" t="str">
        <f>L453</f>
        <v>9D94DT83584-84</v>
      </c>
      <c r="BK453" s="127">
        <v>43508</v>
      </c>
      <c r="BL453" s="127">
        <v>44239</v>
      </c>
      <c r="BM453" s="128">
        <f>P453*1.1</f>
        <v>2952162.4000000004</v>
      </c>
      <c r="BN453" s="129">
        <f>P453*0.9</f>
        <v>2415405.6</v>
      </c>
      <c r="BO453" s="130">
        <f>P453*0.8</f>
        <v>2147027.2000000002</v>
      </c>
      <c r="BP453" s="90">
        <f>IF(Z453="Y",BM453*0.4,BM453*1.05)</f>
        <v>3099770.5200000005</v>
      </c>
      <c r="BQ453" s="90">
        <f>BP453*0.8</f>
        <v>2479816.4160000007</v>
      </c>
      <c r="BR453" s="90" t="str">
        <f>IF(ISNUMBER(SEARCH("subrecipient",AI449)),P453*0.6,"")</f>
        <v/>
      </c>
      <c r="BS453" s="90">
        <v>222640</v>
      </c>
      <c r="BT453" s="90" t="str">
        <f>BJ453</f>
        <v>9D94DT83584-84</v>
      </c>
      <c r="BU453" s="127">
        <f>BK453</f>
        <v>43508</v>
      </c>
      <c r="BV453" s="127">
        <f>BL453</f>
        <v>44239</v>
      </c>
      <c r="BW453" s="90" t="str">
        <f>H453</f>
        <v>ACF</v>
      </c>
      <c r="BX453" s="90" t="str">
        <f>IF(H453="NATIONAL HEMOPHILIA FOUNDATION","Non Federal","Federal")</f>
        <v>Federal</v>
      </c>
      <c r="BY453" s="128">
        <f>BM453</f>
        <v>2952162.4000000004</v>
      </c>
      <c r="BZ453" s="90" t="str">
        <f>IF(LEN(BR453)&gt;0,1,"")</f>
        <v/>
      </c>
      <c r="CA453" s="90" t="str">
        <f>IF(LEN(BR453)&gt;0,"VIRAL HEPATITIS PROJECT","")</f>
        <v/>
      </c>
      <c r="CB453" s="129" t="str">
        <f>IF(LEN(BR453)&gt;0,BM453*0.7,"")</f>
        <v/>
      </c>
      <c r="CC453" s="90">
        <f>BP453</f>
        <v>3099770.5200000005</v>
      </c>
      <c r="CD453" s="90" t="str">
        <f>IF(LEN(BR453)&gt;0,"70%","")</f>
        <v/>
      </c>
      <c r="CE453" s="90">
        <f>BS453</f>
        <v>222640</v>
      </c>
      <c r="CF453" s="90" t="str">
        <f>CA453</f>
        <v/>
      </c>
      <c r="CG453" s="90"/>
      <c r="CH453" s="90"/>
      <c r="CI453" s="90"/>
      <c r="CJ453" s="90"/>
      <c r="CK453" s="90"/>
      <c r="CL453" s="90"/>
      <c r="CM453" s="90"/>
      <c r="CN453" s="90"/>
      <c r="CO453" s="90"/>
      <c r="CP453" s="90"/>
      <c r="CQ453" s="90"/>
      <c r="CR453" s="90"/>
      <c r="CS453" s="90"/>
      <c r="CT453" s="137"/>
    </row>
    <row r="454" spans="1:98" ht="105">
      <c r="A454" s="89">
        <v>222640</v>
      </c>
      <c r="B454" s="90">
        <v>2020</v>
      </c>
      <c r="C454" s="90" t="s">
        <v>81</v>
      </c>
      <c r="D454" s="90" t="s">
        <v>1307</v>
      </c>
      <c r="E454" s="125" t="s">
        <v>793</v>
      </c>
      <c r="F454" s="24" t="s">
        <v>1308</v>
      </c>
      <c r="G454" s="90" t="s">
        <v>85</v>
      </c>
      <c r="H454" s="90" t="s">
        <v>150</v>
      </c>
      <c r="I454" s="90">
        <v>93</v>
      </c>
      <c r="J454" s="90">
        <v>157</v>
      </c>
      <c r="K454" s="90" t="s">
        <v>85</v>
      </c>
      <c r="L454" s="90" t="s">
        <v>1309</v>
      </c>
      <c r="M454" s="90" t="s">
        <v>119</v>
      </c>
      <c r="N454" s="24" t="s">
        <v>1310</v>
      </c>
      <c r="O454" s="24" t="str">
        <f>IF(ISNUMBER(SEARCH("Cancer",N454)),"Cancer",IF(ISNUMBER(SEARCH("health",N454)),"Public health",IF(ISNUMBER(SEARCH("disabilities",N454)),"Disabilities","Other")))</f>
        <v>Other</v>
      </c>
      <c r="P454" s="126">
        <v>2683784</v>
      </c>
      <c r="Q454" s="90" t="s">
        <v>85</v>
      </c>
      <c r="R454" s="90" t="str">
        <f>IF(P454&gt;20000000,"B","A")</f>
        <v>A</v>
      </c>
      <c r="S454" s="90" t="s">
        <v>90</v>
      </c>
      <c r="T454" s="90" t="s">
        <v>119</v>
      </c>
      <c r="U454" s="90" t="s">
        <v>119</v>
      </c>
      <c r="V454" s="90" t="s">
        <v>119</v>
      </c>
      <c r="W454" s="90" t="s">
        <v>119</v>
      </c>
      <c r="X454" s="90" t="s">
        <v>119</v>
      </c>
      <c r="Y454" s="90" t="s">
        <v>119</v>
      </c>
      <c r="Z454" s="90" t="s">
        <v>119</v>
      </c>
      <c r="AA454" s="90" t="s">
        <v>119</v>
      </c>
      <c r="AB454" s="90" t="s">
        <v>119</v>
      </c>
      <c r="AC454" s="90" t="s">
        <v>119</v>
      </c>
      <c r="AD454" s="90" t="s">
        <v>119</v>
      </c>
      <c r="AE454" s="24">
        <v>0</v>
      </c>
      <c r="AF454" s="90">
        <v>0</v>
      </c>
      <c r="AG454" s="24">
        <v>0</v>
      </c>
      <c r="AH454" s="90">
        <v>83583</v>
      </c>
      <c r="AI454" s="24" t="s">
        <v>102</v>
      </c>
      <c r="AJ454" s="24" t="s">
        <v>103</v>
      </c>
      <c r="AK454" s="90" t="s">
        <v>85</v>
      </c>
      <c r="AL454" s="90">
        <v>222640</v>
      </c>
      <c r="AM454" s="90" t="s">
        <v>81</v>
      </c>
      <c r="AN454" s="90" t="s">
        <v>1307</v>
      </c>
      <c r="AO454" s="125" t="s">
        <v>793</v>
      </c>
      <c r="AP454" s="24" t="s">
        <v>1310</v>
      </c>
      <c r="AQ454" s="90" t="s">
        <v>1309</v>
      </c>
      <c r="AR454" s="24" t="s">
        <v>1310</v>
      </c>
      <c r="AS454" s="90" t="s">
        <v>119</v>
      </c>
      <c r="AT454" s="24" t="s">
        <v>102</v>
      </c>
      <c r="AU454" s="90" t="s">
        <v>119</v>
      </c>
      <c r="AV454" s="90" t="str">
        <f>IF(ISNUMBER(SEARCH("disagree",AE454)),"N","Y")</f>
        <v>Y</v>
      </c>
      <c r="AW454" s="90" t="s">
        <v>119</v>
      </c>
      <c r="AX454" s="24" t="s">
        <v>119</v>
      </c>
      <c r="AY454" s="90" t="str">
        <f>CONCATENATE(AZ454,BA454,BB454,BC454)</f>
        <v/>
      </c>
      <c r="AZ454" s="90" t="str">
        <f>IF(ISNUMBER(SEARCH("Y",AC454)),"R","")</f>
        <v/>
      </c>
      <c r="BA454" s="90" t="str">
        <f>IF(ISNUMBER(SEARCH("Y",Y454)),"M","")</f>
        <v/>
      </c>
      <c r="BB454" s="90" t="str">
        <f>IF(ISNUMBER(SEARCH("Y",AB454)),"QC","")</f>
        <v/>
      </c>
      <c r="BC454" s="90" t="str">
        <f>IF(ISNUMBER(SEARCH("Y",Z454)),"S","")</f>
        <v/>
      </c>
      <c r="BD454" s="90"/>
      <c r="BE454" s="24" t="s">
        <v>119</v>
      </c>
      <c r="BF454" s="125" t="str">
        <f>IF(AND(AW454&gt;=56543,AW454&lt;=76543,LEN(AW454)&gt;0),"3 Feb 2020",IF(AND(AW454&gt;=66544,AW454&lt;=99999,LEN(AW454)&gt;0),"12 Sep 2020",""))</f>
        <v/>
      </c>
      <c r="BG454" s="125" t="str">
        <f>IF((AND(BF454="3 Feb 2020",LEN(BF454)&gt;0)),"Completed",IF((AND(BF454="12 Sep 2020",LEN(BF454)&gt;0)),"Pending",""))</f>
        <v/>
      </c>
      <c r="BH454" s="90" t="str">
        <f>IF((AND(BF454="3 Feb 2020",LEN(BF454)&gt;0)),"3 Feb 2020","")</f>
        <v/>
      </c>
      <c r="BI454" s="90">
        <v>222640</v>
      </c>
      <c r="BJ454" s="90" t="str">
        <f>L454</f>
        <v>9D94DT83584-84</v>
      </c>
      <c r="BK454" s="127">
        <v>43508</v>
      </c>
      <c r="BL454" s="127">
        <v>44239</v>
      </c>
      <c r="BM454" s="128">
        <f>P454*1.1</f>
        <v>2952162.4000000004</v>
      </c>
      <c r="BN454" s="129">
        <f>P454*0.9</f>
        <v>2415405.6</v>
      </c>
      <c r="BO454" s="130">
        <f>P454*0.8</f>
        <v>2147027.2000000002</v>
      </c>
      <c r="BP454" s="90">
        <f>IF(Z454="Y",BM454*0.4,BM454*1.05)</f>
        <v>3099770.5200000005</v>
      </c>
      <c r="BQ454" s="90">
        <f>BP454*0.8</f>
        <v>2479816.4160000007</v>
      </c>
      <c r="BR454" s="90" t="str">
        <f>IF(ISNUMBER(SEARCH("subrecipient",AI450)),P454*0.6,"")</f>
        <v/>
      </c>
      <c r="BS454" s="90">
        <v>222640</v>
      </c>
      <c r="BT454" s="90" t="str">
        <f>BJ454</f>
        <v>9D94DT83584-84</v>
      </c>
      <c r="BU454" s="127">
        <f>BK454</f>
        <v>43508</v>
      </c>
      <c r="BV454" s="127">
        <f>BL454</f>
        <v>44239</v>
      </c>
      <c r="BW454" s="90" t="str">
        <f>H454</f>
        <v>ACF</v>
      </c>
      <c r="BX454" s="90" t="str">
        <f>IF(H454="NATIONAL HEMOPHILIA FOUNDATION","Non Federal","Federal")</f>
        <v>Federal</v>
      </c>
      <c r="BY454" s="128">
        <f>BM454</f>
        <v>2952162.4000000004</v>
      </c>
      <c r="BZ454" s="90" t="str">
        <f>IF(LEN(BR454)&gt;0,1,"")</f>
        <v/>
      </c>
      <c r="CA454" s="90" t="str">
        <f>IF(LEN(BR454)&gt;0,"VIRAL HEPATITIS PROJECT","")</f>
        <v/>
      </c>
      <c r="CB454" s="129" t="str">
        <f>IF(LEN(BR454)&gt;0,BM454*0.7,"")</f>
        <v/>
      </c>
      <c r="CC454" s="90">
        <f>BP454</f>
        <v>3099770.5200000005</v>
      </c>
      <c r="CD454" s="90" t="str">
        <f>IF(LEN(BR454)&gt;0,"70%","")</f>
        <v/>
      </c>
      <c r="CE454" s="90">
        <f>BS454</f>
        <v>222640</v>
      </c>
      <c r="CF454" s="90" t="str">
        <f>CA454</f>
        <v/>
      </c>
      <c r="CG454" s="90"/>
      <c r="CH454" s="90"/>
      <c r="CI454" s="90"/>
      <c r="CJ454" s="90"/>
      <c r="CK454" s="90"/>
      <c r="CL454" s="90"/>
      <c r="CM454" s="90"/>
      <c r="CN454" s="90"/>
      <c r="CO454" s="90"/>
      <c r="CP454" s="90"/>
      <c r="CQ454" s="90"/>
      <c r="CR454" s="90"/>
      <c r="CS454" s="90"/>
      <c r="CT454" s="137"/>
    </row>
    <row r="455" spans="1:98" ht="105">
      <c r="A455" s="89">
        <v>222640</v>
      </c>
      <c r="B455" s="90">
        <v>2020</v>
      </c>
      <c r="C455" s="90" t="s">
        <v>81</v>
      </c>
      <c r="D455" s="90" t="s">
        <v>1307</v>
      </c>
      <c r="E455" s="125" t="s">
        <v>780</v>
      </c>
      <c r="F455" s="24" t="s">
        <v>1308</v>
      </c>
      <c r="G455" s="90" t="s">
        <v>85</v>
      </c>
      <c r="H455" s="90" t="s">
        <v>150</v>
      </c>
      <c r="I455" s="90">
        <v>93</v>
      </c>
      <c r="J455" s="90">
        <v>157</v>
      </c>
      <c r="K455" s="90" t="s">
        <v>85</v>
      </c>
      <c r="L455" s="90" t="s">
        <v>1309</v>
      </c>
      <c r="M455" s="90" t="s">
        <v>119</v>
      </c>
      <c r="N455" s="24" t="s">
        <v>1310</v>
      </c>
      <c r="O455" s="24" t="str">
        <f>IF(ISNUMBER(SEARCH("Cancer",N455)),"Cancer",IF(ISNUMBER(SEARCH("health",N455)),"Public health",IF(ISNUMBER(SEARCH("disabilities",N455)),"Disabilities","Other")))</f>
        <v>Other</v>
      </c>
      <c r="P455" s="126">
        <v>2683784</v>
      </c>
      <c r="Q455" s="90" t="s">
        <v>85</v>
      </c>
      <c r="R455" s="90" t="str">
        <f>IF(P455&gt;20000000,"B","A")</f>
        <v>A</v>
      </c>
      <c r="S455" s="90" t="s">
        <v>90</v>
      </c>
      <c r="T455" s="90" t="s">
        <v>119</v>
      </c>
      <c r="U455" s="90" t="s">
        <v>119</v>
      </c>
      <c r="V455" s="90" t="s">
        <v>119</v>
      </c>
      <c r="W455" s="90" t="s">
        <v>119</v>
      </c>
      <c r="X455" s="90" t="s">
        <v>119</v>
      </c>
      <c r="Y455" s="90" t="s">
        <v>119</v>
      </c>
      <c r="Z455" s="90" t="s">
        <v>119</v>
      </c>
      <c r="AA455" s="90" t="s">
        <v>119</v>
      </c>
      <c r="AB455" s="90" t="s">
        <v>119</v>
      </c>
      <c r="AC455" s="90" t="s">
        <v>119</v>
      </c>
      <c r="AD455" s="90" t="s">
        <v>119</v>
      </c>
      <c r="AE455" s="24">
        <v>0</v>
      </c>
      <c r="AF455" s="90">
        <v>0</v>
      </c>
      <c r="AG455" s="24">
        <v>0</v>
      </c>
      <c r="AH455" s="90">
        <v>83582</v>
      </c>
      <c r="AI455" s="24" t="s">
        <v>110</v>
      </c>
      <c r="AJ455" s="24" t="s">
        <v>1312</v>
      </c>
      <c r="AK455" s="90" t="s">
        <v>85</v>
      </c>
      <c r="AL455" s="90">
        <v>222640</v>
      </c>
      <c r="AM455" s="90" t="s">
        <v>81</v>
      </c>
      <c r="AN455" s="90" t="s">
        <v>1307</v>
      </c>
      <c r="AO455" s="125" t="s">
        <v>780</v>
      </c>
      <c r="AP455" s="24" t="s">
        <v>1310</v>
      </c>
      <c r="AQ455" s="90" t="s">
        <v>1309</v>
      </c>
      <c r="AR455" s="24" t="s">
        <v>1310</v>
      </c>
      <c r="AS455" s="90" t="s">
        <v>119</v>
      </c>
      <c r="AT455" s="24" t="s">
        <v>110</v>
      </c>
      <c r="AU455" s="90" t="s">
        <v>119</v>
      </c>
      <c r="AV455" s="90" t="str">
        <f>IF(ISNUMBER(SEARCH("disagree",AE455)),"N","Y")</f>
        <v>Y</v>
      </c>
      <c r="AW455" s="90" t="s">
        <v>119</v>
      </c>
      <c r="AX455" s="24" t="s">
        <v>119</v>
      </c>
      <c r="AY455" s="90" t="str">
        <f>CONCATENATE(AZ455,BA455,BB455,BC455)</f>
        <v/>
      </c>
      <c r="AZ455" s="90" t="str">
        <f>IF(ISNUMBER(SEARCH("Y",AC455)),"R","")</f>
        <v/>
      </c>
      <c r="BA455" s="90" t="str">
        <f>IF(ISNUMBER(SEARCH("Y",Y455)),"M","")</f>
        <v/>
      </c>
      <c r="BB455" s="90" t="str">
        <f>IF(ISNUMBER(SEARCH("Y",AB455)),"QC","")</f>
        <v/>
      </c>
      <c r="BC455" s="90" t="str">
        <f>IF(ISNUMBER(SEARCH("Y",Z455)),"S","")</f>
        <v/>
      </c>
      <c r="BD455" s="90"/>
      <c r="BE455" s="24" t="s">
        <v>119</v>
      </c>
      <c r="BF455" s="125" t="str">
        <f>IF(AND(AW455&gt;=56543,AW455&lt;=76543,LEN(AW455)&gt;0),"3 Feb 2020",IF(AND(AW455&gt;=66544,AW455&lt;=99999,LEN(AW455)&gt;0),"12 Sep 2020",""))</f>
        <v/>
      </c>
      <c r="BG455" s="125" t="str">
        <f>IF((AND(BF455="3 Feb 2020",LEN(BF455)&gt;0)),"Completed",IF((AND(BF455="12 Sep 2020",LEN(BF455)&gt;0)),"Pending",""))</f>
        <v/>
      </c>
      <c r="BH455" s="90" t="str">
        <f>IF((AND(BF455="3 Feb 2020",LEN(BF455)&gt;0)),"3 Feb 2020","")</f>
        <v/>
      </c>
      <c r="BI455" s="90">
        <v>222640</v>
      </c>
      <c r="BJ455" s="90" t="str">
        <f>L455</f>
        <v>9D94DT83584-84</v>
      </c>
      <c r="BK455" s="127">
        <v>43508</v>
      </c>
      <c r="BL455" s="127">
        <v>44239</v>
      </c>
      <c r="BM455" s="128">
        <f>P455*1.1</f>
        <v>2952162.4000000004</v>
      </c>
      <c r="BN455" s="129">
        <f>P455*0.9</f>
        <v>2415405.6</v>
      </c>
      <c r="BO455" s="130">
        <f>P455*0.8</f>
        <v>2147027.2000000002</v>
      </c>
      <c r="BP455" s="90">
        <f>IF(Z455="Y",BM455*0.4,BM455*1.05)</f>
        <v>3099770.5200000005</v>
      </c>
      <c r="BQ455" s="90">
        <f>BP455*0.8</f>
        <v>2479816.4160000007</v>
      </c>
      <c r="BR455" s="90" t="str">
        <f>IF(ISNUMBER(SEARCH("subrecipient",AI451)),P455*0.6,"")</f>
        <v/>
      </c>
      <c r="BS455" s="90">
        <v>222640</v>
      </c>
      <c r="BT455" s="90" t="str">
        <f>BJ455</f>
        <v>9D94DT83584-84</v>
      </c>
      <c r="BU455" s="127">
        <f>BK455</f>
        <v>43508</v>
      </c>
      <c r="BV455" s="127">
        <f>BL455</f>
        <v>44239</v>
      </c>
      <c r="BW455" s="90" t="str">
        <f>H455</f>
        <v>ACF</v>
      </c>
      <c r="BX455" s="90" t="str">
        <f>IF(H455="NATIONAL HEMOPHILIA FOUNDATION","Non Federal","Federal")</f>
        <v>Federal</v>
      </c>
      <c r="BY455" s="128">
        <f>BM455</f>
        <v>2952162.4000000004</v>
      </c>
      <c r="BZ455" s="90" t="str">
        <f>IF(LEN(BR455)&gt;0,1,"")</f>
        <v/>
      </c>
      <c r="CA455" s="90" t="str">
        <f>IF(LEN(BR455)&gt;0,"VIRAL HEPATITIS PROJECT","")</f>
        <v/>
      </c>
      <c r="CB455" s="129" t="str">
        <f>IF(LEN(BR455)&gt;0,BM455*0.7,"")</f>
        <v/>
      </c>
      <c r="CC455" s="90">
        <f>BP455</f>
        <v>3099770.5200000005</v>
      </c>
      <c r="CD455" s="90" t="str">
        <f>IF(LEN(BR455)&gt;0,"70%","")</f>
        <v/>
      </c>
      <c r="CE455" s="90">
        <f>BS455</f>
        <v>222640</v>
      </c>
      <c r="CF455" s="90" t="str">
        <f>CA455</f>
        <v/>
      </c>
      <c r="CG455" s="90"/>
      <c r="CH455" s="90"/>
      <c r="CI455" s="90"/>
      <c r="CJ455" s="90"/>
      <c r="CK455" s="90"/>
      <c r="CL455" s="90"/>
      <c r="CM455" s="90"/>
      <c r="CN455" s="90"/>
      <c r="CO455" s="90"/>
      <c r="CP455" s="90"/>
      <c r="CQ455" s="90"/>
      <c r="CR455" s="90"/>
      <c r="CS455" s="90"/>
      <c r="CT455" s="137"/>
    </row>
    <row r="456" spans="1:98" ht="90">
      <c r="A456" s="89">
        <v>222650</v>
      </c>
      <c r="B456" s="90">
        <v>2020</v>
      </c>
      <c r="C456" s="90" t="s">
        <v>81</v>
      </c>
      <c r="D456" s="90" t="s">
        <v>1313</v>
      </c>
      <c r="E456" s="125" t="s">
        <v>781</v>
      </c>
      <c r="F456" s="24" t="s">
        <v>1314</v>
      </c>
      <c r="G456" s="90" t="s">
        <v>85</v>
      </c>
      <c r="H456" s="90" t="s">
        <v>86</v>
      </c>
      <c r="I456" s="90">
        <v>93</v>
      </c>
      <c r="J456" s="90">
        <v>157</v>
      </c>
      <c r="K456" s="90" t="s">
        <v>85</v>
      </c>
      <c r="L456" s="90" t="s">
        <v>1315</v>
      </c>
      <c r="M456" s="90" t="s">
        <v>119</v>
      </c>
      <c r="N456" s="24" t="s">
        <v>152</v>
      </c>
      <c r="O456" s="24" t="str">
        <f>IF(ISNUMBER(SEARCH("Cancer",N456)),"Cancer",IF(ISNUMBER(SEARCH("health",N456)),"Public health",IF(ISNUMBER(SEARCH("disabilities",N456)),"Disabilities","Other")))</f>
        <v>Other</v>
      </c>
      <c r="P456" s="126">
        <v>2754466</v>
      </c>
      <c r="Q456" s="90" t="s">
        <v>85</v>
      </c>
      <c r="R456" s="90" t="str">
        <f>IF(P456&gt;20000000,"B","A")</f>
        <v>A</v>
      </c>
      <c r="S456" s="90" t="s">
        <v>90</v>
      </c>
      <c r="T456" s="90" t="s">
        <v>119</v>
      </c>
      <c r="U456" s="90" t="s">
        <v>119</v>
      </c>
      <c r="V456" s="90" t="s">
        <v>119</v>
      </c>
      <c r="W456" s="90" t="s">
        <v>119</v>
      </c>
      <c r="X456" s="90" t="s">
        <v>119</v>
      </c>
      <c r="Y456" s="90" t="s">
        <v>119</v>
      </c>
      <c r="Z456" s="90" t="s">
        <v>119</v>
      </c>
      <c r="AA456" s="90" t="s">
        <v>119</v>
      </c>
      <c r="AB456" s="90" t="s">
        <v>119</v>
      </c>
      <c r="AC456" s="90" t="s">
        <v>119</v>
      </c>
      <c r="AD456" s="90" t="s">
        <v>119</v>
      </c>
      <c r="AE456" s="24">
        <v>0</v>
      </c>
      <c r="AF456" s="90">
        <v>0</v>
      </c>
      <c r="AG456" s="24">
        <v>0</v>
      </c>
      <c r="AH456" s="90">
        <v>87111</v>
      </c>
      <c r="AI456" s="24" t="s">
        <v>94</v>
      </c>
      <c r="AJ456" s="24" t="s">
        <v>1316</v>
      </c>
      <c r="AK456" s="90" t="s">
        <v>85</v>
      </c>
      <c r="AL456" s="90">
        <v>222650</v>
      </c>
      <c r="AM456" s="90" t="s">
        <v>81</v>
      </c>
      <c r="AN456" s="90" t="s">
        <v>1313</v>
      </c>
      <c r="AO456" s="125" t="s">
        <v>781</v>
      </c>
      <c r="AP456" s="24" t="s">
        <v>152</v>
      </c>
      <c r="AQ456" s="90" t="s">
        <v>1315</v>
      </c>
      <c r="AR456" s="24" t="s">
        <v>152</v>
      </c>
      <c r="AS456" s="90" t="s">
        <v>119</v>
      </c>
      <c r="AT456" s="24" t="s">
        <v>94</v>
      </c>
      <c r="AU456" s="90" t="s">
        <v>119</v>
      </c>
      <c r="AV456" s="90" t="str">
        <f>IF(ISNUMBER(SEARCH("disagree",AE456)),"N","Y")</f>
        <v>Y</v>
      </c>
      <c r="AW456" s="90" t="s">
        <v>119</v>
      </c>
      <c r="AX456" s="24" t="s">
        <v>119</v>
      </c>
      <c r="AY456" s="90" t="str">
        <f>CONCATENATE(AZ456,BA456,BB456,BC456)</f>
        <v/>
      </c>
      <c r="AZ456" s="90" t="str">
        <f>IF(ISNUMBER(SEARCH("Y",AC456)),"R","")</f>
        <v/>
      </c>
      <c r="BA456" s="90" t="str">
        <f>IF(ISNUMBER(SEARCH("Y",Y456)),"M","")</f>
        <v/>
      </c>
      <c r="BB456" s="90" t="str">
        <f>IF(ISNUMBER(SEARCH("Y",AB456)),"QC","")</f>
        <v/>
      </c>
      <c r="BC456" s="90" t="str">
        <f>IF(ISNUMBER(SEARCH("Y",Z456)),"S","")</f>
        <v/>
      </c>
      <c r="BD456" s="90"/>
      <c r="BE456" s="24" t="s">
        <v>119</v>
      </c>
      <c r="BF456" s="125" t="str">
        <f>IF(AND(AW456&gt;=56543,AW456&lt;=76543,LEN(AW456)&gt;0),"3 Feb 2020",IF(AND(AW456&gt;=66544,AW456&lt;=99999,LEN(AW456)&gt;0),"12 Sep 2020",""))</f>
        <v/>
      </c>
      <c r="BG456" s="125" t="str">
        <f>IF((AND(BF456="3 Feb 2020",LEN(BF456)&gt;0)),"Completed",IF((AND(BF456="12 Sep 2020",LEN(BF456)&gt;0)),"Pending",""))</f>
        <v/>
      </c>
      <c r="BH456" s="90" t="str">
        <f>IF((AND(BF456="3 Feb 2020",LEN(BF456)&gt;0)),"3 Feb 2020","")</f>
        <v/>
      </c>
      <c r="BI456" s="90">
        <v>222650</v>
      </c>
      <c r="BJ456" s="90" t="str">
        <f>L456</f>
        <v>4D43IT87111-53</v>
      </c>
      <c r="BK456" s="127">
        <v>43508</v>
      </c>
      <c r="BL456" s="127">
        <v>44239</v>
      </c>
      <c r="BM456" s="128">
        <f>P456*1.1</f>
        <v>3029912.6</v>
      </c>
      <c r="BN456" s="129">
        <f>P456*0.9</f>
        <v>2479019.4</v>
      </c>
      <c r="BO456" s="130">
        <f>P456*0.8</f>
        <v>2203572.8000000003</v>
      </c>
      <c r="BP456" s="90">
        <f>IF(Z456="Y",BM456*0.4,BM456*1.05)</f>
        <v>3181408.2300000004</v>
      </c>
      <c r="BQ456" s="90">
        <f>BP456*0.8</f>
        <v>2545126.5840000007</v>
      </c>
      <c r="BR456" s="90" t="str">
        <f>IF(ISNUMBER(SEARCH("subrecipient",AI452)),P456*0.6,"")</f>
        <v/>
      </c>
      <c r="BS456" s="90">
        <v>222650</v>
      </c>
      <c r="BT456" s="90" t="str">
        <f>BJ456</f>
        <v>4D43IT87111-53</v>
      </c>
      <c r="BU456" s="127">
        <f>BK456</f>
        <v>43508</v>
      </c>
      <c r="BV456" s="127">
        <f>BL456</f>
        <v>44239</v>
      </c>
      <c r="BW456" s="90" t="str">
        <f>H456</f>
        <v>CDC</v>
      </c>
      <c r="BX456" s="90" t="str">
        <f>IF(H456="NATIONAL HEMOPHILIA FOUNDATION","Non Federal","Federal")</f>
        <v>Federal</v>
      </c>
      <c r="BY456" s="128">
        <f>BM456</f>
        <v>3029912.6</v>
      </c>
      <c r="BZ456" s="90" t="str">
        <f>IF(LEN(BR456)&gt;0,1,"")</f>
        <v/>
      </c>
      <c r="CA456" s="90" t="str">
        <f>IF(LEN(BR456)&gt;0,"VIRAL HEPATITIS PROJECT","")</f>
        <v/>
      </c>
      <c r="CB456" s="129" t="str">
        <f>IF(LEN(BR456)&gt;0,BM456*0.7,"")</f>
        <v/>
      </c>
      <c r="CC456" s="90">
        <f>BP456</f>
        <v>3181408.2300000004</v>
      </c>
      <c r="CD456" s="90" t="str">
        <f>IF(LEN(BR456)&gt;0,"70%","")</f>
        <v/>
      </c>
      <c r="CE456" s="90">
        <f>BS456</f>
        <v>222650</v>
      </c>
      <c r="CF456" s="90" t="str">
        <f>CA456</f>
        <v/>
      </c>
      <c r="CG456" s="90"/>
      <c r="CH456" s="90"/>
      <c r="CI456" s="90"/>
      <c r="CJ456" s="90"/>
      <c r="CK456" s="90"/>
      <c r="CL456" s="90"/>
      <c r="CM456" s="90"/>
      <c r="CN456" s="90"/>
      <c r="CO456" s="90"/>
      <c r="CP456" s="90"/>
      <c r="CQ456" s="90"/>
      <c r="CR456" s="90"/>
      <c r="CS456" s="90"/>
      <c r="CT456" s="137"/>
    </row>
    <row r="457" spans="1:98" ht="75">
      <c r="A457" s="89">
        <v>222650</v>
      </c>
      <c r="B457" s="90">
        <v>2020</v>
      </c>
      <c r="C457" s="90" t="s">
        <v>81</v>
      </c>
      <c r="D457" s="90" t="s">
        <v>1313</v>
      </c>
      <c r="E457" s="125" t="s">
        <v>784</v>
      </c>
      <c r="F457" s="24" t="s">
        <v>1314</v>
      </c>
      <c r="G457" s="90" t="s">
        <v>85</v>
      </c>
      <c r="H457" s="90" t="s">
        <v>86</v>
      </c>
      <c r="I457" s="90">
        <v>93</v>
      </c>
      <c r="J457" s="90">
        <v>157</v>
      </c>
      <c r="K457" s="90" t="s">
        <v>85</v>
      </c>
      <c r="L457" s="90" t="s">
        <v>1315</v>
      </c>
      <c r="M457" s="90" t="s">
        <v>119</v>
      </c>
      <c r="N457" s="24" t="s">
        <v>152</v>
      </c>
      <c r="O457" s="24" t="str">
        <f>IF(ISNUMBER(SEARCH("Cancer",N457)),"Cancer",IF(ISNUMBER(SEARCH("health",N457)),"Public health",IF(ISNUMBER(SEARCH("disabilities",N457)),"Disabilities","Other")))</f>
        <v>Other</v>
      </c>
      <c r="P457" s="126">
        <v>2754466</v>
      </c>
      <c r="Q457" s="90" t="s">
        <v>85</v>
      </c>
      <c r="R457" s="90" t="str">
        <f>IF(P457&gt;20000000,"B","A")</f>
        <v>A</v>
      </c>
      <c r="S457" s="90" t="s">
        <v>90</v>
      </c>
      <c r="T457" s="90" t="s">
        <v>119</v>
      </c>
      <c r="U457" s="90" t="s">
        <v>119</v>
      </c>
      <c r="V457" s="90" t="s">
        <v>119</v>
      </c>
      <c r="W457" s="90" t="s">
        <v>119</v>
      </c>
      <c r="X457" s="90" t="s">
        <v>119</v>
      </c>
      <c r="Y457" s="90" t="s">
        <v>119</v>
      </c>
      <c r="Z457" s="90" t="s">
        <v>119</v>
      </c>
      <c r="AA457" s="90" t="s">
        <v>119</v>
      </c>
      <c r="AB457" s="90" t="s">
        <v>119</v>
      </c>
      <c r="AC457" s="90" t="s">
        <v>119</v>
      </c>
      <c r="AD457" s="90" t="s">
        <v>119</v>
      </c>
      <c r="AE457" s="24">
        <v>0</v>
      </c>
      <c r="AF457" s="90">
        <v>0</v>
      </c>
      <c r="AG457" s="24">
        <v>0</v>
      </c>
      <c r="AH457" s="90">
        <v>87112</v>
      </c>
      <c r="AI457" s="24" t="s">
        <v>102</v>
      </c>
      <c r="AJ457" s="24" t="s">
        <v>103</v>
      </c>
      <c r="AK457" s="90" t="s">
        <v>85</v>
      </c>
      <c r="AL457" s="90">
        <v>222650</v>
      </c>
      <c r="AM457" s="90" t="s">
        <v>81</v>
      </c>
      <c r="AN457" s="90" t="s">
        <v>1313</v>
      </c>
      <c r="AO457" s="125" t="s">
        <v>784</v>
      </c>
      <c r="AP457" s="24" t="s">
        <v>152</v>
      </c>
      <c r="AQ457" s="90" t="s">
        <v>1315</v>
      </c>
      <c r="AR457" s="24" t="s">
        <v>152</v>
      </c>
      <c r="AS457" s="90" t="s">
        <v>119</v>
      </c>
      <c r="AT457" s="24" t="s">
        <v>102</v>
      </c>
      <c r="AU457" s="90" t="s">
        <v>119</v>
      </c>
      <c r="AV457" s="90" t="str">
        <f>IF(ISNUMBER(SEARCH("disagree",AE457)),"N","Y")</f>
        <v>Y</v>
      </c>
      <c r="AW457" s="90" t="s">
        <v>119</v>
      </c>
      <c r="AX457" s="24" t="s">
        <v>119</v>
      </c>
      <c r="AY457" s="90" t="str">
        <f>CONCATENATE(AZ457,BA457,BB457,BC457)</f>
        <v/>
      </c>
      <c r="AZ457" s="90" t="str">
        <f>IF(ISNUMBER(SEARCH("Y",AC457)),"R","")</f>
        <v/>
      </c>
      <c r="BA457" s="90" t="str">
        <f>IF(ISNUMBER(SEARCH("Y",Y457)),"M","")</f>
        <v/>
      </c>
      <c r="BB457" s="90" t="str">
        <f>IF(ISNUMBER(SEARCH("Y",AB457)),"QC","")</f>
        <v/>
      </c>
      <c r="BC457" s="90" t="str">
        <f>IF(ISNUMBER(SEARCH("Y",Z457)),"S","")</f>
        <v/>
      </c>
      <c r="BD457" s="90"/>
      <c r="BE457" s="24" t="s">
        <v>119</v>
      </c>
      <c r="BF457" s="125" t="str">
        <f>IF(AND(AW457&gt;=56543,AW457&lt;=76543,LEN(AW457)&gt;0),"3 Feb 2020",IF(AND(AW457&gt;=66544,AW457&lt;=99999,LEN(AW457)&gt;0),"12 Sep 2020",""))</f>
        <v/>
      </c>
      <c r="BG457" s="125" t="str">
        <f>IF((AND(BF457="3 Feb 2020",LEN(BF457)&gt;0)),"Completed",IF((AND(BF457="12 Sep 2020",LEN(BF457)&gt;0)),"Pending",""))</f>
        <v/>
      </c>
      <c r="BH457" s="90" t="str">
        <f>IF((AND(BF457="3 Feb 2020",LEN(BF457)&gt;0)),"3 Feb 2020","")</f>
        <v/>
      </c>
      <c r="BI457" s="90">
        <v>222650</v>
      </c>
      <c r="BJ457" s="90" t="str">
        <f>L457</f>
        <v>4D43IT87111-53</v>
      </c>
      <c r="BK457" s="127">
        <v>43508</v>
      </c>
      <c r="BL457" s="127">
        <v>44239</v>
      </c>
      <c r="BM457" s="128">
        <f>P457*1.1</f>
        <v>3029912.6</v>
      </c>
      <c r="BN457" s="129">
        <f>P457*0.9</f>
        <v>2479019.4</v>
      </c>
      <c r="BO457" s="130">
        <f>P457*0.8</f>
        <v>2203572.8000000003</v>
      </c>
      <c r="BP457" s="90">
        <f>IF(Z457="Y",BM457*0.4,BM457*1.05)</f>
        <v>3181408.2300000004</v>
      </c>
      <c r="BQ457" s="90">
        <f>BP457*0.8</f>
        <v>2545126.5840000007</v>
      </c>
      <c r="BR457" s="90" t="str">
        <f>IF(ISNUMBER(SEARCH("subrecipient",AI453)),P457*0.6,"")</f>
        <v/>
      </c>
      <c r="BS457" s="90">
        <v>222650</v>
      </c>
      <c r="BT457" s="90" t="str">
        <f>BJ457</f>
        <v>4D43IT87111-53</v>
      </c>
      <c r="BU457" s="127">
        <f>BK457</f>
        <v>43508</v>
      </c>
      <c r="BV457" s="127">
        <f>BL457</f>
        <v>44239</v>
      </c>
      <c r="BW457" s="90" t="str">
        <f>H457</f>
        <v>CDC</v>
      </c>
      <c r="BX457" s="90" t="str">
        <f>IF(H457="NATIONAL HEMOPHILIA FOUNDATION","Non Federal","Federal")</f>
        <v>Federal</v>
      </c>
      <c r="BY457" s="128">
        <f>BM457</f>
        <v>3029912.6</v>
      </c>
      <c r="BZ457" s="90" t="str">
        <f>IF(LEN(BR457)&gt;0,1,"")</f>
        <v/>
      </c>
      <c r="CA457" s="90" t="str">
        <f>IF(LEN(BR457)&gt;0,"VIRAL HEPATITIS PROJECT","")</f>
        <v/>
      </c>
      <c r="CB457" s="129" t="str">
        <f>IF(LEN(BR457)&gt;0,BM457*0.7,"")</f>
        <v/>
      </c>
      <c r="CC457" s="90">
        <f>BP457</f>
        <v>3181408.2300000004</v>
      </c>
      <c r="CD457" s="90" t="str">
        <f>IF(LEN(BR457)&gt;0,"70%","")</f>
        <v/>
      </c>
      <c r="CE457" s="90">
        <f>BS457</f>
        <v>222650</v>
      </c>
      <c r="CF457" s="90" t="str">
        <f>CA457</f>
        <v/>
      </c>
      <c r="CG457" s="90"/>
      <c r="CH457" s="90"/>
      <c r="CI457" s="90"/>
      <c r="CJ457" s="90"/>
      <c r="CK457" s="90"/>
      <c r="CL457" s="90"/>
      <c r="CM457" s="90"/>
      <c r="CN457" s="90"/>
      <c r="CO457" s="90"/>
      <c r="CP457" s="90"/>
      <c r="CQ457" s="90"/>
      <c r="CR457" s="90"/>
      <c r="CS457" s="90"/>
      <c r="CT457" s="137"/>
    </row>
    <row r="458" spans="1:98" ht="165">
      <c r="A458" s="89">
        <v>224763</v>
      </c>
      <c r="B458" s="90">
        <v>2020</v>
      </c>
      <c r="C458" s="90" t="s">
        <v>81</v>
      </c>
      <c r="D458" s="90" t="s">
        <v>1317</v>
      </c>
      <c r="E458" s="125" t="s">
        <v>790</v>
      </c>
      <c r="F458" s="24" t="s">
        <v>1318</v>
      </c>
      <c r="G458" s="90" t="s">
        <v>85</v>
      </c>
      <c r="H458" s="90" t="s">
        <v>117</v>
      </c>
      <c r="I458" s="90">
        <v>93</v>
      </c>
      <c r="J458" s="90">
        <v>157</v>
      </c>
      <c r="K458" s="90" t="s">
        <v>85</v>
      </c>
      <c r="L458" s="90" t="s">
        <v>1319</v>
      </c>
      <c r="M458" s="90" t="s">
        <v>85</v>
      </c>
      <c r="N458" s="24" t="s">
        <v>1320</v>
      </c>
      <c r="O458" s="24" t="str">
        <f>IF(ISNUMBER(SEARCH("Cancer",N458)),"Cancer",IF(ISNUMBER(SEARCH("health",N458)),"Public health",IF(ISNUMBER(SEARCH("disabilities",N458)),"Disabilities","Other")))</f>
        <v>Other</v>
      </c>
      <c r="P458" s="126">
        <v>2904996</v>
      </c>
      <c r="Q458" s="90" t="s">
        <v>87</v>
      </c>
      <c r="R458" s="90" t="str">
        <f>IF(P458&gt;20000000,"B","A")</f>
        <v>A</v>
      </c>
      <c r="S458" s="90" t="s">
        <v>90</v>
      </c>
      <c r="T458" s="90">
        <v>2568745</v>
      </c>
      <c r="U458" s="90" t="s">
        <v>91</v>
      </c>
      <c r="V458" s="90" t="s">
        <v>85</v>
      </c>
      <c r="W458" s="90" t="s">
        <v>85</v>
      </c>
      <c r="X458" s="90" t="s">
        <v>87</v>
      </c>
      <c r="Y458" s="90" t="s">
        <v>85</v>
      </c>
      <c r="Z458" s="90" t="s">
        <v>87</v>
      </c>
      <c r="AA458" s="90" t="s">
        <v>85</v>
      </c>
      <c r="AB458" s="90" t="s">
        <v>85</v>
      </c>
      <c r="AC458" s="90" t="s">
        <v>85</v>
      </c>
      <c r="AD458" s="90">
        <v>0</v>
      </c>
      <c r="AE458" s="24" t="s">
        <v>1289</v>
      </c>
      <c r="AF458" s="90" t="s">
        <v>91</v>
      </c>
      <c r="AG458" s="24" t="s">
        <v>1290</v>
      </c>
      <c r="AH458" s="90">
        <v>89009</v>
      </c>
      <c r="AI458" s="24" t="s">
        <v>94</v>
      </c>
      <c r="AJ458" s="24" t="s">
        <v>1321</v>
      </c>
      <c r="AK458" s="90" t="s">
        <v>85</v>
      </c>
      <c r="AL458" s="90">
        <v>224763</v>
      </c>
      <c r="AM458" s="90" t="s">
        <v>81</v>
      </c>
      <c r="AN458" s="90" t="s">
        <v>1317</v>
      </c>
      <c r="AO458" s="125" t="s">
        <v>790</v>
      </c>
      <c r="AP458" s="24" t="s">
        <v>1320</v>
      </c>
      <c r="AQ458" s="90" t="s">
        <v>1319</v>
      </c>
      <c r="AR458" s="24" t="s">
        <v>1320</v>
      </c>
      <c r="AS458" s="90">
        <v>2568745</v>
      </c>
      <c r="AT458" s="24" t="s">
        <v>94</v>
      </c>
      <c r="AU458" s="90" t="s">
        <v>85</v>
      </c>
      <c r="AV458" s="90" t="str">
        <f>IF(ISNUMBER(SEARCH("disagree",AE458)),"N","Y")</f>
        <v>Y</v>
      </c>
      <c r="AW458" s="90">
        <v>87793</v>
      </c>
      <c r="AX458" s="24" t="s">
        <v>96</v>
      </c>
      <c r="AY458" s="90" t="str">
        <f>CONCATENATE(AZ458,BA458,BB458,BC458)</f>
        <v>S</v>
      </c>
      <c r="AZ458" s="90" t="str">
        <f>IF(ISNUMBER(SEARCH("Y",AC458)),"R","")</f>
        <v/>
      </c>
      <c r="BA458" s="90" t="str">
        <f>IF(ISNUMBER(SEARCH("Y",Y458)),"M","")</f>
        <v/>
      </c>
      <c r="BB458" s="90" t="str">
        <f>IF(ISNUMBER(SEARCH("Y",AB458)),"QC","")</f>
        <v/>
      </c>
      <c r="BC458" s="90" t="str">
        <f>IF(ISNUMBER(SEARCH("Y",Z458)),"S","")</f>
        <v>S</v>
      </c>
      <c r="BD458" s="90"/>
      <c r="BE458" s="24" t="s">
        <v>97</v>
      </c>
      <c r="BF458" s="125" t="str">
        <f>IF(AND(AW458&gt;=56543,AW458&lt;=76543,LEN(AW458)&gt;0),"3 Feb 2020",IF(AND(AW458&gt;=66544,AW458&lt;=99999,LEN(AW458)&gt;0),"12 Sep 2020",""))</f>
        <v>12 Sep 2020</v>
      </c>
      <c r="BG458" s="125" t="str">
        <f>IF((AND(BF458="3 Feb 2020",LEN(BF458)&gt;0)),"Completed",IF((AND(BF458="12 Sep 2020",LEN(BF458)&gt;0)),"Pending",""))</f>
        <v>Pending</v>
      </c>
      <c r="BH458" s="90" t="str">
        <f>IF((AND(BF458="3 Feb 2020",LEN(BF458)&gt;0)),"3 Feb 2020","")</f>
        <v/>
      </c>
      <c r="BI458" s="90">
        <v>224763</v>
      </c>
      <c r="BJ458" s="90" t="str">
        <f>L458</f>
        <v>6D64ET89010-11</v>
      </c>
      <c r="BK458" s="127">
        <v>43508</v>
      </c>
      <c r="BL458" s="127">
        <v>44239</v>
      </c>
      <c r="BM458" s="128">
        <f>P458*1.1</f>
        <v>3195495.6</v>
      </c>
      <c r="BN458" s="129">
        <f>P458*0.9</f>
        <v>2614496.4</v>
      </c>
      <c r="BO458" s="130">
        <f>P458*0.8</f>
        <v>2323996.8000000003</v>
      </c>
      <c r="BP458" s="90">
        <f>IF(Z458="Y",BM458*0.4,BM458*1.05)</f>
        <v>1278198.2400000002</v>
      </c>
      <c r="BQ458" s="90">
        <f>BP458*0.8</f>
        <v>1022558.5920000002</v>
      </c>
      <c r="BR458" s="90" t="str">
        <f>IF(ISNUMBER(SEARCH("subrecipient",AI454)),P458*0.6,"")</f>
        <v/>
      </c>
      <c r="BS458" s="90">
        <v>224763</v>
      </c>
      <c r="BT458" s="90" t="str">
        <f>BJ458</f>
        <v>6D64ET89010-11</v>
      </c>
      <c r="BU458" s="127">
        <f>BK458</f>
        <v>43508</v>
      </c>
      <c r="BV458" s="127">
        <f>BL458</f>
        <v>44239</v>
      </c>
      <c r="BW458" s="90" t="str">
        <f>H458</f>
        <v>NIH</v>
      </c>
      <c r="BX458" s="90" t="str">
        <f>IF(H458="NATIONAL HEMOPHILIA FOUNDATION","Non Federal","Federal")</f>
        <v>Federal</v>
      </c>
      <c r="BY458" s="128">
        <f>BM458</f>
        <v>3195495.6</v>
      </c>
      <c r="BZ458" s="90" t="str">
        <f>IF(LEN(BR458)&gt;0,1,"")</f>
        <v/>
      </c>
      <c r="CA458" s="90" t="str">
        <f>IF(LEN(BR458)&gt;0,"VIRAL HEPATITIS PROJECT","")</f>
        <v/>
      </c>
      <c r="CB458" s="129" t="str">
        <f>IF(LEN(BR458)&gt;0,BM458*0.7,"")</f>
        <v/>
      </c>
      <c r="CC458" s="90">
        <f>BP458</f>
        <v>1278198.2400000002</v>
      </c>
      <c r="CD458" s="90" t="str">
        <f>IF(LEN(BR458)&gt;0,"70%","")</f>
        <v/>
      </c>
      <c r="CE458" s="90">
        <f>BS458</f>
        <v>224763</v>
      </c>
      <c r="CF458" s="90" t="str">
        <f>CA458</f>
        <v/>
      </c>
      <c r="CG458" s="90"/>
      <c r="CH458" s="90"/>
      <c r="CI458" s="90"/>
      <c r="CJ458" s="90"/>
      <c r="CK458" s="90"/>
      <c r="CL458" s="90"/>
      <c r="CM458" s="90"/>
      <c r="CN458" s="90"/>
      <c r="CO458" s="90"/>
      <c r="CP458" s="90"/>
      <c r="CQ458" s="90"/>
      <c r="CR458" s="90"/>
      <c r="CS458" s="90"/>
      <c r="CT458" s="137"/>
    </row>
    <row r="459" spans="1:98" ht="105">
      <c r="A459" s="89">
        <v>224763</v>
      </c>
      <c r="B459" s="90">
        <v>2020</v>
      </c>
      <c r="C459" s="90" t="s">
        <v>81</v>
      </c>
      <c r="D459" s="90" t="s">
        <v>1317</v>
      </c>
      <c r="E459" s="125" t="s">
        <v>791</v>
      </c>
      <c r="F459" s="24" t="s">
        <v>1318</v>
      </c>
      <c r="G459" s="90" t="s">
        <v>85</v>
      </c>
      <c r="H459" s="90" t="s">
        <v>117</v>
      </c>
      <c r="I459" s="90">
        <v>93</v>
      </c>
      <c r="J459" s="90">
        <v>157</v>
      </c>
      <c r="K459" s="90" t="s">
        <v>85</v>
      </c>
      <c r="L459" s="90" t="s">
        <v>1319</v>
      </c>
      <c r="M459" s="90" t="s">
        <v>85</v>
      </c>
      <c r="N459" s="24" t="s">
        <v>1320</v>
      </c>
      <c r="O459" s="24" t="str">
        <f>IF(ISNUMBER(SEARCH("Cancer",N459)),"Cancer",IF(ISNUMBER(SEARCH("health",N459)),"Public health",IF(ISNUMBER(SEARCH("disabilities",N459)),"Disabilities","Other")))</f>
        <v>Other</v>
      </c>
      <c r="P459" s="126">
        <v>2904996</v>
      </c>
      <c r="Q459" s="90" t="s">
        <v>85</v>
      </c>
      <c r="R459" s="90" t="str">
        <f>IF(P459&gt;20000000,"B","A")</f>
        <v>A</v>
      </c>
      <c r="S459" s="90" t="s">
        <v>90</v>
      </c>
      <c r="T459" s="90">
        <v>2568745</v>
      </c>
      <c r="U459" s="90" t="s">
        <v>91</v>
      </c>
      <c r="V459" s="90" t="s">
        <v>85</v>
      </c>
      <c r="W459" s="90" t="s">
        <v>85</v>
      </c>
      <c r="X459" s="90" t="s">
        <v>87</v>
      </c>
      <c r="Y459" s="90" t="s">
        <v>85</v>
      </c>
      <c r="Z459" s="90" t="s">
        <v>87</v>
      </c>
      <c r="AA459" s="90" t="s">
        <v>85</v>
      </c>
      <c r="AB459" s="90" t="s">
        <v>85</v>
      </c>
      <c r="AC459" s="90" t="s">
        <v>85</v>
      </c>
      <c r="AD459" s="90">
        <v>0</v>
      </c>
      <c r="AE459" s="24">
        <v>0</v>
      </c>
      <c r="AF459" s="90">
        <v>0</v>
      </c>
      <c r="AG459" s="24">
        <v>0</v>
      </c>
      <c r="AH459" s="90">
        <v>89010</v>
      </c>
      <c r="AI459" s="24" t="s">
        <v>102</v>
      </c>
      <c r="AJ459" s="24" t="s">
        <v>103</v>
      </c>
      <c r="AK459" s="90" t="s">
        <v>85</v>
      </c>
      <c r="AL459" s="90">
        <v>224763</v>
      </c>
      <c r="AM459" s="90" t="s">
        <v>81</v>
      </c>
      <c r="AN459" s="90" t="s">
        <v>1317</v>
      </c>
      <c r="AO459" s="125" t="s">
        <v>791</v>
      </c>
      <c r="AP459" s="24" t="s">
        <v>1320</v>
      </c>
      <c r="AQ459" s="90" t="s">
        <v>1319</v>
      </c>
      <c r="AR459" s="24" t="s">
        <v>1320</v>
      </c>
      <c r="AS459" s="90">
        <v>2568745</v>
      </c>
      <c r="AT459" s="24" t="s">
        <v>102</v>
      </c>
      <c r="AU459" s="90" t="s">
        <v>85</v>
      </c>
      <c r="AV459" s="90" t="str">
        <f>IF(ISNUMBER(SEARCH("disagree",AE459)),"N","Y")</f>
        <v>Y</v>
      </c>
      <c r="AW459" s="90">
        <v>65413</v>
      </c>
      <c r="AX459" s="24" t="s">
        <v>104</v>
      </c>
      <c r="AY459" s="90" t="str">
        <f>CONCATENATE(AZ459,BA459,BB459,BC459)</f>
        <v>S</v>
      </c>
      <c r="AZ459" s="90" t="str">
        <f>IF(ISNUMBER(SEARCH("Y",AC459)),"R","")</f>
        <v/>
      </c>
      <c r="BA459" s="90" t="str">
        <f>IF(ISNUMBER(SEARCH("Y",Y459)),"M","")</f>
        <v/>
      </c>
      <c r="BB459" s="90" t="str">
        <f>IF(ISNUMBER(SEARCH("Y",AB459)),"QC","")</f>
        <v/>
      </c>
      <c r="BC459" s="90" t="str">
        <f>IF(ISNUMBER(SEARCH("Y",Z459)),"S","")</f>
        <v>S</v>
      </c>
      <c r="BD459" s="90"/>
      <c r="BE459" s="24" t="s">
        <v>327</v>
      </c>
      <c r="BF459" s="125" t="str">
        <f>IF(AND(AW459&gt;=56543,AW459&lt;=76543,LEN(AW459)&gt;0),"3 Feb 2020",IF(AND(AW459&gt;=66544,AW459&lt;=99999,LEN(AW459)&gt;0),"12 Sep 2020",""))</f>
        <v>3 Feb 2020</v>
      </c>
      <c r="BG459" s="125" t="str">
        <f>IF((AND(BF459="3 Feb 2020",LEN(BF459)&gt;0)),"Completed",IF((AND(BF459="12 Sep 2020",LEN(BF459)&gt;0)),"Pending",""))</f>
        <v>Completed</v>
      </c>
      <c r="BH459" s="90" t="str">
        <f>IF((AND(BF459="3 Feb 2020",LEN(BF459)&gt;0)),"3 Feb 2020","")</f>
        <v>3 Feb 2020</v>
      </c>
      <c r="BI459" s="90">
        <v>224763</v>
      </c>
      <c r="BJ459" s="90" t="str">
        <f>L459</f>
        <v>6D64ET89010-11</v>
      </c>
      <c r="BK459" s="127">
        <v>43508</v>
      </c>
      <c r="BL459" s="127">
        <v>44239</v>
      </c>
      <c r="BM459" s="128">
        <f>P459*1.1</f>
        <v>3195495.6</v>
      </c>
      <c r="BN459" s="129">
        <f>P459*0.9</f>
        <v>2614496.4</v>
      </c>
      <c r="BO459" s="130">
        <f>P459*0.8</f>
        <v>2323996.8000000003</v>
      </c>
      <c r="BP459" s="90">
        <f>IF(Z459="Y",BM459*0.4,BM459*1.05)</f>
        <v>1278198.2400000002</v>
      </c>
      <c r="BQ459" s="90">
        <f>BP459*0.8</f>
        <v>1022558.5920000002</v>
      </c>
      <c r="BR459" s="90" t="str">
        <f>IF(ISNUMBER(SEARCH("subrecipient",AI455)),P459*0.6,"")</f>
        <v/>
      </c>
      <c r="BS459" s="90">
        <v>224763</v>
      </c>
      <c r="BT459" s="90" t="str">
        <f>BJ459</f>
        <v>6D64ET89010-11</v>
      </c>
      <c r="BU459" s="127">
        <f>BK459</f>
        <v>43508</v>
      </c>
      <c r="BV459" s="127">
        <f>BL459</f>
        <v>44239</v>
      </c>
      <c r="BW459" s="90" t="str">
        <f>H459</f>
        <v>NIH</v>
      </c>
      <c r="BX459" s="90" t="str">
        <f>IF(H459="NATIONAL HEMOPHILIA FOUNDATION","Non Federal","Federal")</f>
        <v>Federal</v>
      </c>
      <c r="BY459" s="128">
        <f>BM459</f>
        <v>3195495.6</v>
      </c>
      <c r="BZ459" s="90" t="str">
        <f>IF(LEN(BR459)&gt;0,1,"")</f>
        <v/>
      </c>
      <c r="CA459" s="90" t="str">
        <f>IF(LEN(BR459)&gt;0,"VIRAL HEPATITIS PROJECT","")</f>
        <v/>
      </c>
      <c r="CB459" s="129" t="str">
        <f>IF(LEN(BR459)&gt;0,BM459*0.7,"")</f>
        <v/>
      </c>
      <c r="CC459" s="90">
        <f>BP459</f>
        <v>1278198.2400000002</v>
      </c>
      <c r="CD459" s="90" t="str">
        <f>IF(LEN(BR459)&gt;0,"70%","")</f>
        <v/>
      </c>
      <c r="CE459" s="90">
        <f>BS459</f>
        <v>224763</v>
      </c>
      <c r="CF459" s="90" t="str">
        <f>CA459</f>
        <v/>
      </c>
      <c r="CG459" s="90"/>
      <c r="CH459" s="90"/>
      <c r="CI459" s="90"/>
      <c r="CJ459" s="90"/>
      <c r="CK459" s="90"/>
      <c r="CL459" s="90"/>
      <c r="CM459" s="90"/>
      <c r="CN459" s="90"/>
      <c r="CO459" s="90"/>
      <c r="CP459" s="90"/>
      <c r="CQ459" s="90"/>
      <c r="CR459" s="90"/>
      <c r="CS459" s="90"/>
      <c r="CT459" s="137"/>
    </row>
    <row r="460" spans="1:98" ht="105">
      <c r="A460" s="89">
        <v>224763</v>
      </c>
      <c r="B460" s="90">
        <v>2020</v>
      </c>
      <c r="C460" s="90" t="s">
        <v>81</v>
      </c>
      <c r="D460" s="90" t="s">
        <v>1317</v>
      </c>
      <c r="E460" s="125" t="s">
        <v>793</v>
      </c>
      <c r="F460" s="24" t="s">
        <v>1318</v>
      </c>
      <c r="G460" s="90" t="s">
        <v>85</v>
      </c>
      <c r="H460" s="90" t="s">
        <v>117</v>
      </c>
      <c r="I460" s="90">
        <v>93</v>
      </c>
      <c r="J460" s="90">
        <v>157</v>
      </c>
      <c r="K460" s="90" t="s">
        <v>85</v>
      </c>
      <c r="L460" s="90" t="s">
        <v>1319</v>
      </c>
      <c r="M460" s="90" t="s">
        <v>85</v>
      </c>
      <c r="N460" s="24" t="s">
        <v>1320</v>
      </c>
      <c r="O460" s="24" t="str">
        <f>IF(ISNUMBER(SEARCH("Cancer",N460)),"Cancer",IF(ISNUMBER(SEARCH("health",N460)),"Public health",IF(ISNUMBER(SEARCH("disabilities",N460)),"Disabilities","Other")))</f>
        <v>Other</v>
      </c>
      <c r="P460" s="126">
        <v>2904996</v>
      </c>
      <c r="Q460" s="90" t="s">
        <v>85</v>
      </c>
      <c r="R460" s="90" t="str">
        <f>IF(P460&gt;20000000,"B","A")</f>
        <v>A</v>
      </c>
      <c r="S460" s="90" t="s">
        <v>90</v>
      </c>
      <c r="T460" s="90">
        <v>2568745</v>
      </c>
      <c r="U460" s="90" t="s">
        <v>91</v>
      </c>
      <c r="V460" s="90" t="s">
        <v>85</v>
      </c>
      <c r="W460" s="90" t="s">
        <v>85</v>
      </c>
      <c r="X460" s="90" t="s">
        <v>87</v>
      </c>
      <c r="Y460" s="90" t="s">
        <v>85</v>
      </c>
      <c r="Z460" s="90" t="s">
        <v>87</v>
      </c>
      <c r="AA460" s="90" t="s">
        <v>85</v>
      </c>
      <c r="AB460" s="90" t="s">
        <v>85</v>
      </c>
      <c r="AC460" s="90" t="s">
        <v>85</v>
      </c>
      <c r="AD460" s="90">
        <v>0</v>
      </c>
      <c r="AE460" s="24">
        <v>0</v>
      </c>
      <c r="AF460" s="90">
        <v>0</v>
      </c>
      <c r="AG460" s="24">
        <v>0</v>
      </c>
      <c r="AH460" s="90">
        <v>89012</v>
      </c>
      <c r="AI460" s="24" t="s">
        <v>235</v>
      </c>
      <c r="AJ460" s="24" t="s">
        <v>1322</v>
      </c>
      <c r="AK460" s="90" t="s">
        <v>85</v>
      </c>
      <c r="AL460" s="90">
        <v>224763</v>
      </c>
      <c r="AM460" s="90" t="s">
        <v>81</v>
      </c>
      <c r="AN460" s="90" t="s">
        <v>1317</v>
      </c>
      <c r="AO460" s="125" t="s">
        <v>793</v>
      </c>
      <c r="AP460" s="24" t="s">
        <v>1320</v>
      </c>
      <c r="AQ460" s="90" t="s">
        <v>1319</v>
      </c>
      <c r="AR460" s="24" t="s">
        <v>1320</v>
      </c>
      <c r="AS460" s="90">
        <v>2568745</v>
      </c>
      <c r="AT460" s="24" t="s">
        <v>235</v>
      </c>
      <c r="AU460" s="90" t="s">
        <v>85</v>
      </c>
      <c r="AV460" s="90" t="str">
        <f>IF(ISNUMBER(SEARCH("disagree",AE460)),"N","Y")</f>
        <v>Y</v>
      </c>
      <c r="AW460" s="90">
        <v>76010</v>
      </c>
      <c r="AX460" s="24" t="s">
        <v>811</v>
      </c>
      <c r="AY460" s="90" t="str">
        <f>CONCATENATE(AZ460,BA460,BB460,BC460)</f>
        <v>S</v>
      </c>
      <c r="AZ460" s="90" t="str">
        <f>IF(ISNUMBER(SEARCH("Y",AC460)),"R","")</f>
        <v/>
      </c>
      <c r="BA460" s="90" t="str">
        <f>IF(ISNUMBER(SEARCH("Y",Y460)),"M","")</f>
        <v/>
      </c>
      <c r="BB460" s="90" t="str">
        <f>IF(ISNUMBER(SEARCH("Y",AB460)),"QC","")</f>
        <v/>
      </c>
      <c r="BC460" s="90" t="str">
        <f>IF(ISNUMBER(SEARCH("Y",Z460)),"S","")</f>
        <v>S</v>
      </c>
      <c r="BD460" s="90"/>
      <c r="BE460" s="24" t="s">
        <v>812</v>
      </c>
      <c r="BF460" s="125" t="str">
        <f>IF(AND(AW460&gt;=56543,AW460&lt;=76543,LEN(AW460)&gt;0),"3 Feb 2020",IF(AND(AW460&gt;=66544,AW460&lt;=99999,LEN(AW460)&gt;0),"12 Sep 2020",""))</f>
        <v>3 Feb 2020</v>
      </c>
      <c r="BG460" s="125" t="str">
        <f>IF((AND(BF460="3 Feb 2020",LEN(BF460)&gt;0)),"Completed",IF((AND(BF460="12 Sep 2020",LEN(BF460)&gt;0)),"Pending",""))</f>
        <v>Completed</v>
      </c>
      <c r="BH460" s="90" t="str">
        <f>IF((AND(BF460="3 Feb 2020",LEN(BF460)&gt;0)),"3 Feb 2020","")</f>
        <v>3 Feb 2020</v>
      </c>
      <c r="BI460" s="90">
        <v>224763</v>
      </c>
      <c r="BJ460" s="90" t="str">
        <f>L460</f>
        <v>6D64ET89010-11</v>
      </c>
      <c r="BK460" s="127">
        <v>43508</v>
      </c>
      <c r="BL460" s="127">
        <v>44239</v>
      </c>
      <c r="BM460" s="128">
        <f>P460*1.1</f>
        <v>3195495.6</v>
      </c>
      <c r="BN460" s="129">
        <f>P460*0.9</f>
        <v>2614496.4</v>
      </c>
      <c r="BO460" s="130">
        <f>P460*0.8</f>
        <v>2323996.8000000003</v>
      </c>
      <c r="BP460" s="90">
        <f>IF(Z460="Y",BM460*0.4,BM460*1.05)</f>
        <v>1278198.2400000002</v>
      </c>
      <c r="BQ460" s="90">
        <f>BP460*0.8</f>
        <v>1022558.5920000002</v>
      </c>
      <c r="BR460" s="90" t="str">
        <f>IF(ISNUMBER(SEARCH("subrecipient",AI456)),P460*0.6,"")</f>
        <v/>
      </c>
      <c r="BS460" s="90">
        <v>224763</v>
      </c>
      <c r="BT460" s="90" t="str">
        <f>BJ460</f>
        <v>6D64ET89010-11</v>
      </c>
      <c r="BU460" s="127">
        <f>BK460</f>
        <v>43508</v>
      </c>
      <c r="BV460" s="127">
        <f>BL460</f>
        <v>44239</v>
      </c>
      <c r="BW460" s="90" t="str">
        <f>H460</f>
        <v>NIH</v>
      </c>
      <c r="BX460" s="90" t="str">
        <f>IF(H460="NATIONAL HEMOPHILIA FOUNDATION","Non Federal","Federal")</f>
        <v>Federal</v>
      </c>
      <c r="BY460" s="128">
        <f>BM460</f>
        <v>3195495.6</v>
      </c>
      <c r="BZ460" s="90" t="str">
        <f>IF(LEN(BR460)&gt;0,1,"")</f>
        <v/>
      </c>
      <c r="CA460" s="90" t="str">
        <f>IF(LEN(BR460)&gt;0,"VIRAL HEPATITIS PROJECT","")</f>
        <v/>
      </c>
      <c r="CB460" s="129" t="str">
        <f>IF(LEN(BR460)&gt;0,BM460*0.7,"")</f>
        <v/>
      </c>
      <c r="CC460" s="90">
        <f>BP460</f>
        <v>1278198.2400000002</v>
      </c>
      <c r="CD460" s="90" t="str">
        <f>IF(LEN(BR460)&gt;0,"70%","")</f>
        <v/>
      </c>
      <c r="CE460" s="90">
        <f>BS460</f>
        <v>224763</v>
      </c>
      <c r="CF460" s="90" t="str">
        <f>CA460</f>
        <v/>
      </c>
      <c r="CG460" s="90"/>
      <c r="CH460" s="90"/>
      <c r="CI460" s="90"/>
      <c r="CJ460" s="90"/>
      <c r="CK460" s="90"/>
      <c r="CL460" s="90"/>
      <c r="CM460" s="90"/>
      <c r="CN460" s="90"/>
      <c r="CO460" s="90"/>
      <c r="CP460" s="90"/>
      <c r="CQ460" s="90"/>
      <c r="CR460" s="90"/>
      <c r="CS460" s="90"/>
      <c r="CT460" s="137"/>
    </row>
    <row r="461" spans="1:98" ht="105">
      <c r="A461" s="89">
        <v>224763</v>
      </c>
      <c r="B461" s="90">
        <v>2020</v>
      </c>
      <c r="C461" s="90" t="s">
        <v>81</v>
      </c>
      <c r="D461" s="90" t="s">
        <v>1317</v>
      </c>
      <c r="E461" s="125" t="s">
        <v>780</v>
      </c>
      <c r="F461" s="24" t="s">
        <v>1318</v>
      </c>
      <c r="G461" s="90" t="s">
        <v>85</v>
      </c>
      <c r="H461" s="90" t="s">
        <v>117</v>
      </c>
      <c r="I461" s="90">
        <v>93</v>
      </c>
      <c r="J461" s="90">
        <v>157</v>
      </c>
      <c r="K461" s="90" t="s">
        <v>85</v>
      </c>
      <c r="L461" s="90" t="s">
        <v>1319</v>
      </c>
      <c r="M461" s="90" t="s">
        <v>85</v>
      </c>
      <c r="N461" s="24" t="s">
        <v>1320</v>
      </c>
      <c r="O461" s="24" t="str">
        <f>IF(ISNUMBER(SEARCH("Cancer",N461)),"Cancer",IF(ISNUMBER(SEARCH("health",N461)),"Public health",IF(ISNUMBER(SEARCH("disabilities",N461)),"Disabilities","Other")))</f>
        <v>Other</v>
      </c>
      <c r="P461" s="126">
        <v>2904996</v>
      </c>
      <c r="Q461" s="90" t="s">
        <v>85</v>
      </c>
      <c r="R461" s="90" t="str">
        <f>IF(P461&gt;20000000,"B","A")</f>
        <v>A</v>
      </c>
      <c r="S461" s="90" t="s">
        <v>90</v>
      </c>
      <c r="T461" s="90">
        <v>2568745</v>
      </c>
      <c r="U461" s="90" t="s">
        <v>91</v>
      </c>
      <c r="V461" s="90" t="s">
        <v>85</v>
      </c>
      <c r="W461" s="90" t="s">
        <v>85</v>
      </c>
      <c r="X461" s="90" t="s">
        <v>87</v>
      </c>
      <c r="Y461" s="90" t="s">
        <v>85</v>
      </c>
      <c r="Z461" s="90" t="s">
        <v>87</v>
      </c>
      <c r="AA461" s="90" t="s">
        <v>85</v>
      </c>
      <c r="AB461" s="90" t="s">
        <v>85</v>
      </c>
      <c r="AC461" s="90" t="s">
        <v>85</v>
      </c>
      <c r="AD461" s="90">
        <v>0</v>
      </c>
      <c r="AE461" s="24">
        <v>0</v>
      </c>
      <c r="AF461" s="90">
        <v>0</v>
      </c>
      <c r="AG461" s="24">
        <v>0</v>
      </c>
      <c r="AH461" s="90">
        <v>89011</v>
      </c>
      <c r="AI461" s="24" t="s">
        <v>124</v>
      </c>
      <c r="AJ461" s="24" t="s">
        <v>1323</v>
      </c>
      <c r="AK461" s="90" t="s">
        <v>85</v>
      </c>
      <c r="AL461" s="90">
        <v>224763</v>
      </c>
      <c r="AM461" s="90" t="s">
        <v>81</v>
      </c>
      <c r="AN461" s="90" t="s">
        <v>1317</v>
      </c>
      <c r="AO461" s="125" t="s">
        <v>780</v>
      </c>
      <c r="AP461" s="24" t="s">
        <v>1320</v>
      </c>
      <c r="AQ461" s="90" t="s">
        <v>1319</v>
      </c>
      <c r="AR461" s="24" t="s">
        <v>1320</v>
      </c>
      <c r="AS461" s="90">
        <v>2568745</v>
      </c>
      <c r="AT461" s="24" t="s">
        <v>124</v>
      </c>
      <c r="AU461" s="90" t="s">
        <v>85</v>
      </c>
      <c r="AV461" s="90" t="str">
        <f>IF(ISNUMBER(SEARCH("disagree",AE461)),"N","Y")</f>
        <v>Y</v>
      </c>
      <c r="AW461" s="90">
        <v>75670</v>
      </c>
      <c r="AX461" s="24" t="s">
        <v>811</v>
      </c>
      <c r="AY461" s="90" t="str">
        <f>CONCATENATE(AZ461,BA461,BB461,BC461)</f>
        <v>S</v>
      </c>
      <c r="AZ461" s="90" t="str">
        <f>IF(ISNUMBER(SEARCH("Y",AC461)),"R","")</f>
        <v/>
      </c>
      <c r="BA461" s="90" t="str">
        <f>IF(ISNUMBER(SEARCH("Y",Y461)),"M","")</f>
        <v/>
      </c>
      <c r="BB461" s="90" t="str">
        <f>IF(ISNUMBER(SEARCH("Y",AB461)),"QC","")</f>
        <v/>
      </c>
      <c r="BC461" s="90" t="str">
        <f>IF(ISNUMBER(SEARCH("Y",Z461)),"S","")</f>
        <v>S</v>
      </c>
      <c r="BD461" s="90"/>
      <c r="BE461" s="24" t="s">
        <v>812</v>
      </c>
      <c r="BF461" s="125" t="str">
        <f>IF(AND(AW461&gt;=56543,AW461&lt;=76543,LEN(AW461)&gt;0),"3 Feb 2020",IF(AND(AW461&gt;=66544,AW461&lt;=99999,LEN(AW461)&gt;0),"12 Sep 2020",""))</f>
        <v>3 Feb 2020</v>
      </c>
      <c r="BG461" s="125" t="str">
        <f>IF((AND(BF461="3 Feb 2020",LEN(BF461)&gt;0)),"Completed",IF((AND(BF461="12 Sep 2020",LEN(BF461)&gt;0)),"Pending",""))</f>
        <v>Completed</v>
      </c>
      <c r="BH461" s="90" t="str">
        <f>IF((AND(BF461="3 Feb 2020",LEN(BF461)&gt;0)),"3 Feb 2020","")</f>
        <v>3 Feb 2020</v>
      </c>
      <c r="BI461" s="90">
        <v>224763</v>
      </c>
      <c r="BJ461" s="90" t="str">
        <f>L461</f>
        <v>6D64ET89010-11</v>
      </c>
      <c r="BK461" s="127">
        <v>43508</v>
      </c>
      <c r="BL461" s="127">
        <v>44239</v>
      </c>
      <c r="BM461" s="128">
        <f>P461*1.1</f>
        <v>3195495.6</v>
      </c>
      <c r="BN461" s="129">
        <f>P461*0.9</f>
        <v>2614496.4</v>
      </c>
      <c r="BO461" s="130">
        <f>P461*0.8</f>
        <v>2323996.8000000003</v>
      </c>
      <c r="BP461" s="90">
        <f>IF(Z461="Y",BM461*0.4,BM461*1.05)</f>
        <v>1278198.2400000002</v>
      </c>
      <c r="BQ461" s="90">
        <f>BP461*0.8</f>
        <v>1022558.5920000002</v>
      </c>
      <c r="BR461" s="90" t="str">
        <f>IF(ISNUMBER(SEARCH("subrecipient",AI457)),P461*0.6,"")</f>
        <v/>
      </c>
      <c r="BS461" s="90">
        <v>224763</v>
      </c>
      <c r="BT461" s="90" t="str">
        <f>BJ461</f>
        <v>6D64ET89010-11</v>
      </c>
      <c r="BU461" s="127">
        <f>BK461</f>
        <v>43508</v>
      </c>
      <c r="BV461" s="127">
        <f>BL461</f>
        <v>44239</v>
      </c>
      <c r="BW461" s="90" t="str">
        <f>H461</f>
        <v>NIH</v>
      </c>
      <c r="BX461" s="90" t="str">
        <f>IF(H461="NATIONAL HEMOPHILIA FOUNDATION","Non Federal","Federal")</f>
        <v>Federal</v>
      </c>
      <c r="BY461" s="128">
        <f>BM461</f>
        <v>3195495.6</v>
      </c>
      <c r="BZ461" s="90" t="str">
        <f>IF(LEN(BR461)&gt;0,1,"")</f>
        <v/>
      </c>
      <c r="CA461" s="90" t="str">
        <f>IF(LEN(BR461)&gt;0,"VIRAL HEPATITIS PROJECT","")</f>
        <v/>
      </c>
      <c r="CB461" s="129" t="str">
        <f>IF(LEN(BR461)&gt;0,BM461*0.7,"")</f>
        <v/>
      </c>
      <c r="CC461" s="90">
        <f>BP461</f>
        <v>1278198.2400000002</v>
      </c>
      <c r="CD461" s="90" t="str">
        <f>IF(LEN(BR461)&gt;0,"70%","")</f>
        <v/>
      </c>
      <c r="CE461" s="90">
        <f>BS461</f>
        <v>224763</v>
      </c>
      <c r="CF461" s="90" t="str">
        <f>CA461</f>
        <v/>
      </c>
      <c r="CG461" s="90"/>
      <c r="CH461" s="90"/>
      <c r="CI461" s="90"/>
      <c r="CJ461" s="90"/>
      <c r="CK461" s="90"/>
      <c r="CL461" s="90"/>
      <c r="CM461" s="90"/>
      <c r="CN461" s="90"/>
      <c r="CO461" s="90"/>
      <c r="CP461" s="90"/>
      <c r="CQ461" s="90"/>
      <c r="CR461" s="90"/>
      <c r="CS461" s="90"/>
      <c r="CT461" s="137"/>
    </row>
    <row r="462" spans="1:98" ht="120">
      <c r="A462" s="89">
        <v>224786</v>
      </c>
      <c r="B462" s="90">
        <v>2020</v>
      </c>
      <c r="C462" s="90" t="s">
        <v>81</v>
      </c>
      <c r="D462" s="90" t="s">
        <v>1324</v>
      </c>
      <c r="E462" s="125" t="s">
        <v>781</v>
      </c>
      <c r="F462" s="24" t="s">
        <v>1325</v>
      </c>
      <c r="G462" s="90" t="s">
        <v>85</v>
      </c>
      <c r="H462" s="90" t="s">
        <v>132</v>
      </c>
      <c r="I462" s="90">
        <v>93</v>
      </c>
      <c r="J462" s="90">
        <v>157</v>
      </c>
      <c r="K462" s="90" t="s">
        <v>85</v>
      </c>
      <c r="L462" s="90" t="s">
        <v>1326</v>
      </c>
      <c r="M462" s="90" t="s">
        <v>119</v>
      </c>
      <c r="N462" s="24" t="s">
        <v>1327</v>
      </c>
      <c r="O462" s="24" t="str">
        <f>IF(ISNUMBER(SEARCH("Cancer",N462)),"Cancer",IF(ISNUMBER(SEARCH("health",N462)),"Public health",IF(ISNUMBER(SEARCH("disabilities",N462)),"Disabilities","Other")))</f>
        <v>Other</v>
      </c>
      <c r="P462" s="126">
        <v>2726481</v>
      </c>
      <c r="Q462" s="90" t="s">
        <v>85</v>
      </c>
      <c r="R462" s="90" t="str">
        <f>IF(P462&gt;20000000,"B","A")</f>
        <v>A</v>
      </c>
      <c r="S462" s="90" t="s">
        <v>90</v>
      </c>
      <c r="T462" s="90" t="s">
        <v>119</v>
      </c>
      <c r="U462" s="90" t="s">
        <v>119</v>
      </c>
      <c r="V462" s="90" t="s">
        <v>119</v>
      </c>
      <c r="W462" s="90" t="s">
        <v>119</v>
      </c>
      <c r="X462" s="90" t="s">
        <v>119</v>
      </c>
      <c r="Y462" s="90" t="s">
        <v>119</v>
      </c>
      <c r="Z462" s="90" t="s">
        <v>119</v>
      </c>
      <c r="AA462" s="90" t="s">
        <v>119</v>
      </c>
      <c r="AB462" s="90" t="s">
        <v>119</v>
      </c>
      <c r="AC462" s="90" t="s">
        <v>119</v>
      </c>
      <c r="AD462" s="90" t="s">
        <v>119</v>
      </c>
      <c r="AE462" s="24">
        <v>0</v>
      </c>
      <c r="AF462" s="90">
        <v>0</v>
      </c>
      <c r="AG462" s="24">
        <v>0</v>
      </c>
      <c r="AH462" s="90">
        <v>88267</v>
      </c>
      <c r="AI462" s="24" t="s">
        <v>94</v>
      </c>
      <c r="AJ462" s="24" t="s">
        <v>95</v>
      </c>
      <c r="AK462" s="90" t="s">
        <v>85</v>
      </c>
      <c r="AL462" s="90">
        <v>224786</v>
      </c>
      <c r="AM462" s="90" t="s">
        <v>81</v>
      </c>
      <c r="AN462" s="90" t="s">
        <v>1324</v>
      </c>
      <c r="AO462" s="125" t="s">
        <v>781</v>
      </c>
      <c r="AP462" s="24" t="s">
        <v>1327</v>
      </c>
      <c r="AQ462" s="90" t="s">
        <v>1326</v>
      </c>
      <c r="AR462" s="24" t="s">
        <v>1327</v>
      </c>
      <c r="AS462" s="90" t="s">
        <v>119</v>
      </c>
      <c r="AT462" s="24" t="s">
        <v>94</v>
      </c>
      <c r="AU462" s="90" t="s">
        <v>119</v>
      </c>
      <c r="AV462" s="90" t="str">
        <f>IF(ISNUMBER(SEARCH("disagree",AE462)),"N","Y")</f>
        <v>Y</v>
      </c>
      <c r="AW462" s="90" t="s">
        <v>119</v>
      </c>
      <c r="AX462" s="24" t="s">
        <v>119</v>
      </c>
      <c r="AY462" s="90" t="str">
        <f>CONCATENATE(AZ462,BA462,BB462,BC462)</f>
        <v/>
      </c>
      <c r="AZ462" s="90" t="str">
        <f>IF(ISNUMBER(SEARCH("Y",AC462)),"R","")</f>
        <v/>
      </c>
      <c r="BA462" s="90" t="str">
        <f>IF(ISNUMBER(SEARCH("Y",Y462)),"M","")</f>
        <v/>
      </c>
      <c r="BB462" s="90" t="str">
        <f>IF(ISNUMBER(SEARCH("Y",AB462)),"QC","")</f>
        <v/>
      </c>
      <c r="BC462" s="90" t="str">
        <f>IF(ISNUMBER(SEARCH("Y",Z462)),"S","")</f>
        <v/>
      </c>
      <c r="BD462" s="90"/>
      <c r="BE462" s="24" t="s">
        <v>119</v>
      </c>
      <c r="BF462" s="125" t="str">
        <f>IF(AND(AW462&gt;=56543,AW462&lt;=76543,LEN(AW462)&gt;0),"3 Feb 2020",IF(AND(AW462&gt;=66544,AW462&lt;=99999,LEN(AW462)&gt;0),"12 Sep 2020",""))</f>
        <v/>
      </c>
      <c r="BG462" s="125" t="str">
        <f>IF((AND(BF462="3 Feb 2020",LEN(BF462)&gt;0)),"Completed",IF((AND(BF462="12 Sep 2020",LEN(BF462)&gt;0)),"Pending",""))</f>
        <v/>
      </c>
      <c r="BH462" s="90" t="str">
        <f>IF((AND(BF462="3 Feb 2020",LEN(BF462)&gt;0)),"3 Feb 2020","")</f>
        <v/>
      </c>
      <c r="BI462" s="90">
        <v>224786</v>
      </c>
      <c r="BJ462" s="90" t="str">
        <f>L462</f>
        <v>5D82BT88267-47</v>
      </c>
      <c r="BK462" s="127">
        <v>43508</v>
      </c>
      <c r="BL462" s="127">
        <v>44239</v>
      </c>
      <c r="BM462" s="128">
        <f>P462*1.1</f>
        <v>2999129.1</v>
      </c>
      <c r="BN462" s="129">
        <f>P462*0.9</f>
        <v>2453832.9</v>
      </c>
      <c r="BO462" s="130">
        <f>P462*0.8</f>
        <v>2181184.8000000003</v>
      </c>
      <c r="BP462" s="90">
        <f>IF(Z462="Y",BM462*0.4,BM462*1.05)</f>
        <v>3149085.5550000002</v>
      </c>
      <c r="BQ462" s="90">
        <f>BP462*0.8</f>
        <v>2519268.4440000001</v>
      </c>
      <c r="BR462" s="90" t="str">
        <f>IF(ISNUMBER(SEARCH("subrecipient",AI458)),P462*0.6,"")</f>
        <v/>
      </c>
      <c r="BS462" s="90">
        <v>224786</v>
      </c>
      <c r="BT462" s="90" t="str">
        <f>BJ462</f>
        <v>5D82BT88267-47</v>
      </c>
      <c r="BU462" s="127">
        <f>BK462</f>
        <v>43508</v>
      </c>
      <c r="BV462" s="127">
        <f>BL462</f>
        <v>44239</v>
      </c>
      <c r="BW462" s="90" t="str">
        <f>H462</f>
        <v>FDA</v>
      </c>
      <c r="BX462" s="90" t="str">
        <f>IF(H462="NATIONAL HEMOPHILIA FOUNDATION","Non Federal","Federal")</f>
        <v>Federal</v>
      </c>
      <c r="BY462" s="128">
        <f>BM462</f>
        <v>2999129.1</v>
      </c>
      <c r="BZ462" s="90" t="str">
        <f>IF(LEN(BR462)&gt;0,1,"")</f>
        <v/>
      </c>
      <c r="CA462" s="90" t="str">
        <f>IF(LEN(BR462)&gt;0,"VIRAL HEPATITIS PROJECT","")</f>
        <v/>
      </c>
      <c r="CB462" s="129" t="str">
        <f>IF(LEN(BR462)&gt;0,BM462*0.7,"")</f>
        <v/>
      </c>
      <c r="CC462" s="90">
        <f>BP462</f>
        <v>3149085.5550000002</v>
      </c>
      <c r="CD462" s="90" t="str">
        <f>IF(LEN(BR462)&gt;0,"70%","")</f>
        <v/>
      </c>
      <c r="CE462" s="90">
        <f>BS462</f>
        <v>224786</v>
      </c>
      <c r="CF462" s="90" t="str">
        <f>CA462</f>
        <v/>
      </c>
      <c r="CG462" s="90"/>
      <c r="CH462" s="90"/>
      <c r="CI462" s="90"/>
      <c r="CJ462" s="90"/>
      <c r="CK462" s="90"/>
      <c r="CL462" s="90"/>
      <c r="CM462" s="90"/>
      <c r="CN462" s="90"/>
      <c r="CO462" s="90"/>
      <c r="CP462" s="90"/>
      <c r="CQ462" s="90"/>
      <c r="CR462" s="90"/>
      <c r="CS462" s="90"/>
      <c r="CT462" s="137"/>
    </row>
    <row r="463" spans="1:98" ht="120">
      <c r="A463" s="89">
        <v>224786</v>
      </c>
      <c r="B463" s="90">
        <v>2020</v>
      </c>
      <c r="C463" s="90" t="s">
        <v>81</v>
      </c>
      <c r="D463" s="90" t="s">
        <v>1324</v>
      </c>
      <c r="E463" s="125" t="s">
        <v>784</v>
      </c>
      <c r="F463" s="24" t="s">
        <v>1325</v>
      </c>
      <c r="G463" s="90" t="s">
        <v>85</v>
      </c>
      <c r="H463" s="90" t="s">
        <v>132</v>
      </c>
      <c r="I463" s="90">
        <v>93</v>
      </c>
      <c r="J463" s="90">
        <v>157</v>
      </c>
      <c r="K463" s="90" t="s">
        <v>85</v>
      </c>
      <c r="L463" s="90" t="s">
        <v>1326</v>
      </c>
      <c r="M463" s="90" t="s">
        <v>119</v>
      </c>
      <c r="N463" s="24" t="s">
        <v>1327</v>
      </c>
      <c r="O463" s="24" t="str">
        <f>IF(ISNUMBER(SEARCH("Cancer",N463)),"Cancer",IF(ISNUMBER(SEARCH("health",N463)),"Public health",IF(ISNUMBER(SEARCH("disabilities",N463)),"Disabilities","Other")))</f>
        <v>Other</v>
      </c>
      <c r="P463" s="126">
        <v>2726481</v>
      </c>
      <c r="Q463" s="90" t="s">
        <v>85</v>
      </c>
      <c r="R463" s="90" t="str">
        <f>IF(P463&gt;20000000,"B","A")</f>
        <v>A</v>
      </c>
      <c r="S463" s="90" t="s">
        <v>90</v>
      </c>
      <c r="T463" s="90" t="s">
        <v>119</v>
      </c>
      <c r="U463" s="90" t="s">
        <v>119</v>
      </c>
      <c r="V463" s="90" t="s">
        <v>119</v>
      </c>
      <c r="W463" s="90" t="s">
        <v>119</v>
      </c>
      <c r="X463" s="90" t="s">
        <v>119</v>
      </c>
      <c r="Y463" s="90" t="s">
        <v>119</v>
      </c>
      <c r="Z463" s="90" t="s">
        <v>119</v>
      </c>
      <c r="AA463" s="90" t="s">
        <v>119</v>
      </c>
      <c r="AB463" s="90" t="s">
        <v>119</v>
      </c>
      <c r="AC463" s="90" t="s">
        <v>119</v>
      </c>
      <c r="AD463" s="90" t="s">
        <v>119</v>
      </c>
      <c r="AE463" s="24">
        <v>0</v>
      </c>
      <c r="AF463" s="90">
        <v>0</v>
      </c>
      <c r="AG463" s="24">
        <v>0</v>
      </c>
      <c r="AH463" s="90">
        <v>88266</v>
      </c>
      <c r="AI463" s="24" t="s">
        <v>102</v>
      </c>
      <c r="AJ463" s="24" t="s">
        <v>103</v>
      </c>
      <c r="AK463" s="90" t="s">
        <v>85</v>
      </c>
      <c r="AL463" s="90">
        <v>224786</v>
      </c>
      <c r="AM463" s="90" t="s">
        <v>81</v>
      </c>
      <c r="AN463" s="90" t="s">
        <v>1324</v>
      </c>
      <c r="AO463" s="125" t="s">
        <v>784</v>
      </c>
      <c r="AP463" s="24" t="s">
        <v>1327</v>
      </c>
      <c r="AQ463" s="90" t="s">
        <v>1326</v>
      </c>
      <c r="AR463" s="24" t="s">
        <v>1327</v>
      </c>
      <c r="AS463" s="90" t="s">
        <v>119</v>
      </c>
      <c r="AT463" s="24" t="s">
        <v>102</v>
      </c>
      <c r="AU463" s="90" t="s">
        <v>119</v>
      </c>
      <c r="AV463" s="90" t="str">
        <f>IF(ISNUMBER(SEARCH("disagree",AE463)),"N","Y")</f>
        <v>Y</v>
      </c>
      <c r="AW463" s="90" t="s">
        <v>119</v>
      </c>
      <c r="AX463" s="24" t="s">
        <v>119</v>
      </c>
      <c r="AY463" s="90" t="str">
        <f>CONCATENATE(AZ463,BA463,BB463,BC463)</f>
        <v/>
      </c>
      <c r="AZ463" s="90" t="str">
        <f>IF(ISNUMBER(SEARCH("Y",AC463)),"R","")</f>
        <v/>
      </c>
      <c r="BA463" s="90" t="str">
        <f>IF(ISNUMBER(SEARCH("Y",Y463)),"M","")</f>
        <v/>
      </c>
      <c r="BB463" s="90" t="str">
        <f>IF(ISNUMBER(SEARCH("Y",AB463)),"QC","")</f>
        <v/>
      </c>
      <c r="BC463" s="90" t="str">
        <f>IF(ISNUMBER(SEARCH("Y",Z463)),"S","")</f>
        <v/>
      </c>
      <c r="BD463" s="90"/>
      <c r="BE463" s="24" t="s">
        <v>119</v>
      </c>
      <c r="BF463" s="125" t="str">
        <f>IF(AND(AW463&gt;=56543,AW463&lt;=76543,LEN(AW463)&gt;0),"3 Feb 2020",IF(AND(AW463&gt;=66544,AW463&lt;=99999,LEN(AW463)&gt;0),"12 Sep 2020",""))</f>
        <v/>
      </c>
      <c r="BG463" s="125" t="str">
        <f>IF((AND(BF463="3 Feb 2020",LEN(BF463)&gt;0)),"Completed",IF((AND(BF463="12 Sep 2020",LEN(BF463)&gt;0)),"Pending",""))</f>
        <v/>
      </c>
      <c r="BH463" s="90" t="str">
        <f>IF((AND(BF463="3 Feb 2020",LEN(BF463)&gt;0)),"3 Feb 2020","")</f>
        <v/>
      </c>
      <c r="BI463" s="90">
        <v>224786</v>
      </c>
      <c r="BJ463" s="90" t="str">
        <f>L463</f>
        <v>5D82BT88267-47</v>
      </c>
      <c r="BK463" s="127">
        <v>43508</v>
      </c>
      <c r="BL463" s="127">
        <v>44239</v>
      </c>
      <c r="BM463" s="128">
        <f>P463*1.1</f>
        <v>2999129.1</v>
      </c>
      <c r="BN463" s="129">
        <f>P463*0.9</f>
        <v>2453832.9</v>
      </c>
      <c r="BO463" s="130">
        <f>P463*0.8</f>
        <v>2181184.8000000003</v>
      </c>
      <c r="BP463" s="90">
        <f>IF(Z463="Y",BM463*0.4,BM463*1.05)</f>
        <v>3149085.5550000002</v>
      </c>
      <c r="BQ463" s="90">
        <f>BP463*0.8</f>
        <v>2519268.4440000001</v>
      </c>
      <c r="BR463" s="90" t="str">
        <f>IF(ISNUMBER(SEARCH("subrecipient",AI459)),P463*0.6,"")</f>
        <v/>
      </c>
      <c r="BS463" s="90">
        <v>224786</v>
      </c>
      <c r="BT463" s="90" t="str">
        <f>BJ463</f>
        <v>5D82BT88267-47</v>
      </c>
      <c r="BU463" s="127">
        <f>BK463</f>
        <v>43508</v>
      </c>
      <c r="BV463" s="127">
        <f>BL463</f>
        <v>44239</v>
      </c>
      <c r="BW463" s="90" t="str">
        <f>H463</f>
        <v>FDA</v>
      </c>
      <c r="BX463" s="90" t="str">
        <f>IF(H463="NATIONAL HEMOPHILIA FOUNDATION","Non Federal","Federal")</f>
        <v>Federal</v>
      </c>
      <c r="BY463" s="128">
        <f>BM463</f>
        <v>2999129.1</v>
      </c>
      <c r="BZ463" s="90" t="str">
        <f>IF(LEN(BR463)&gt;0,1,"")</f>
        <v/>
      </c>
      <c r="CA463" s="90" t="str">
        <f>IF(LEN(BR463)&gt;0,"VIRAL HEPATITIS PROJECT","")</f>
        <v/>
      </c>
      <c r="CB463" s="129" t="str">
        <f>IF(LEN(BR463)&gt;0,BM463*0.7,"")</f>
        <v/>
      </c>
      <c r="CC463" s="90">
        <f>BP463</f>
        <v>3149085.5550000002</v>
      </c>
      <c r="CD463" s="90" t="str">
        <f>IF(LEN(BR463)&gt;0,"70%","")</f>
        <v/>
      </c>
      <c r="CE463" s="90">
        <f>BS463</f>
        <v>224786</v>
      </c>
      <c r="CF463" s="90" t="str">
        <f>CA463</f>
        <v/>
      </c>
      <c r="CG463" s="90"/>
      <c r="CH463" s="90"/>
      <c r="CI463" s="90"/>
      <c r="CJ463" s="90"/>
      <c r="CK463" s="90"/>
      <c r="CL463" s="90"/>
      <c r="CM463" s="90"/>
      <c r="CN463" s="90"/>
      <c r="CO463" s="90"/>
      <c r="CP463" s="90"/>
      <c r="CQ463" s="90"/>
      <c r="CR463" s="90"/>
      <c r="CS463" s="90"/>
      <c r="CT463" s="137"/>
    </row>
    <row r="464" spans="1:98" ht="120">
      <c r="A464" s="89">
        <v>224786</v>
      </c>
      <c r="B464" s="90">
        <v>2020</v>
      </c>
      <c r="C464" s="90" t="s">
        <v>81</v>
      </c>
      <c r="D464" s="90" t="s">
        <v>1324</v>
      </c>
      <c r="E464" s="125" t="s">
        <v>790</v>
      </c>
      <c r="F464" s="24" t="s">
        <v>1325</v>
      </c>
      <c r="G464" s="90" t="s">
        <v>85</v>
      </c>
      <c r="H464" s="90" t="s">
        <v>132</v>
      </c>
      <c r="I464" s="90">
        <v>93</v>
      </c>
      <c r="J464" s="90">
        <v>157</v>
      </c>
      <c r="K464" s="90" t="s">
        <v>85</v>
      </c>
      <c r="L464" s="90" t="s">
        <v>1326</v>
      </c>
      <c r="M464" s="90" t="s">
        <v>119</v>
      </c>
      <c r="N464" s="24" t="s">
        <v>1327</v>
      </c>
      <c r="O464" s="24" t="str">
        <f>IF(ISNUMBER(SEARCH("Cancer",N464)),"Cancer",IF(ISNUMBER(SEARCH("health",N464)),"Public health",IF(ISNUMBER(SEARCH("disabilities",N464)),"Disabilities","Other")))</f>
        <v>Other</v>
      </c>
      <c r="P464" s="126">
        <v>2726481</v>
      </c>
      <c r="Q464" s="90" t="s">
        <v>85</v>
      </c>
      <c r="R464" s="90" t="str">
        <f>IF(P464&gt;20000000,"B","A")</f>
        <v>A</v>
      </c>
      <c r="S464" s="90" t="s">
        <v>90</v>
      </c>
      <c r="T464" s="90" t="s">
        <v>119</v>
      </c>
      <c r="U464" s="90" t="s">
        <v>119</v>
      </c>
      <c r="V464" s="90" t="s">
        <v>119</v>
      </c>
      <c r="W464" s="90" t="s">
        <v>119</v>
      </c>
      <c r="X464" s="90" t="s">
        <v>119</v>
      </c>
      <c r="Y464" s="90" t="s">
        <v>119</v>
      </c>
      <c r="Z464" s="90" t="s">
        <v>119</v>
      </c>
      <c r="AA464" s="90" t="s">
        <v>119</v>
      </c>
      <c r="AB464" s="90" t="s">
        <v>119</v>
      </c>
      <c r="AC464" s="90" t="s">
        <v>119</v>
      </c>
      <c r="AD464" s="90" t="s">
        <v>119</v>
      </c>
      <c r="AE464" s="24">
        <v>0</v>
      </c>
      <c r="AF464" s="90">
        <v>0</v>
      </c>
      <c r="AG464" s="24">
        <v>0</v>
      </c>
      <c r="AH464" s="90">
        <v>88268</v>
      </c>
      <c r="AI464" s="24" t="s">
        <v>110</v>
      </c>
      <c r="AJ464" s="24" t="s">
        <v>1328</v>
      </c>
      <c r="AK464" s="90" t="s">
        <v>85</v>
      </c>
      <c r="AL464" s="90">
        <v>224786</v>
      </c>
      <c r="AM464" s="90" t="s">
        <v>81</v>
      </c>
      <c r="AN464" s="90" t="s">
        <v>1324</v>
      </c>
      <c r="AO464" s="125" t="s">
        <v>790</v>
      </c>
      <c r="AP464" s="24" t="s">
        <v>1327</v>
      </c>
      <c r="AQ464" s="90" t="s">
        <v>1326</v>
      </c>
      <c r="AR464" s="24" t="s">
        <v>1327</v>
      </c>
      <c r="AS464" s="90" t="s">
        <v>119</v>
      </c>
      <c r="AT464" s="24" t="s">
        <v>110</v>
      </c>
      <c r="AU464" s="90" t="s">
        <v>119</v>
      </c>
      <c r="AV464" s="90" t="str">
        <f>IF(ISNUMBER(SEARCH("disagree",AE464)),"N","Y")</f>
        <v>Y</v>
      </c>
      <c r="AW464" s="90" t="s">
        <v>119</v>
      </c>
      <c r="AX464" s="24" t="s">
        <v>119</v>
      </c>
      <c r="AY464" s="90" t="str">
        <f>CONCATENATE(AZ464,BA464,BB464,BC464)</f>
        <v/>
      </c>
      <c r="AZ464" s="90" t="str">
        <f>IF(ISNUMBER(SEARCH("Y",AC464)),"R","")</f>
        <v/>
      </c>
      <c r="BA464" s="90" t="str">
        <f>IF(ISNUMBER(SEARCH("Y",Y464)),"M","")</f>
        <v/>
      </c>
      <c r="BB464" s="90" t="str">
        <f>IF(ISNUMBER(SEARCH("Y",AB464)),"QC","")</f>
        <v/>
      </c>
      <c r="BC464" s="90" t="str">
        <f>IF(ISNUMBER(SEARCH("Y",Z464)),"S","")</f>
        <v/>
      </c>
      <c r="BD464" s="90"/>
      <c r="BE464" s="24" t="s">
        <v>119</v>
      </c>
      <c r="BF464" s="125" t="str">
        <f>IF(AND(AW464&gt;=56543,AW464&lt;=76543,LEN(AW464)&gt;0),"3 Feb 2020",IF(AND(AW464&gt;=66544,AW464&lt;=99999,LEN(AW464)&gt;0),"12 Sep 2020",""))</f>
        <v/>
      </c>
      <c r="BG464" s="125" t="str">
        <f>IF((AND(BF464="3 Feb 2020",LEN(BF464)&gt;0)),"Completed",IF((AND(BF464="12 Sep 2020",LEN(BF464)&gt;0)),"Pending",""))</f>
        <v/>
      </c>
      <c r="BH464" s="90" t="str">
        <f>IF((AND(BF464="3 Feb 2020",LEN(BF464)&gt;0)),"3 Feb 2020","")</f>
        <v/>
      </c>
      <c r="BI464" s="90">
        <v>224786</v>
      </c>
      <c r="BJ464" s="90" t="str">
        <f>L464</f>
        <v>5D82BT88267-47</v>
      </c>
      <c r="BK464" s="127">
        <v>43508</v>
      </c>
      <c r="BL464" s="127">
        <v>44239</v>
      </c>
      <c r="BM464" s="128">
        <f>P464*1.1</f>
        <v>2999129.1</v>
      </c>
      <c r="BN464" s="129">
        <f>P464*0.9</f>
        <v>2453832.9</v>
      </c>
      <c r="BO464" s="130">
        <f>P464*0.8</f>
        <v>2181184.8000000003</v>
      </c>
      <c r="BP464" s="90">
        <f>IF(Z464="Y",BM464*0.4,BM464*1.05)</f>
        <v>3149085.5550000002</v>
      </c>
      <c r="BQ464" s="90">
        <f>BP464*0.8</f>
        <v>2519268.4440000001</v>
      </c>
      <c r="BR464" s="90" t="str">
        <f>IF(ISNUMBER(SEARCH("subrecipient",AI460)),P464*0.6,"")</f>
        <v/>
      </c>
      <c r="BS464" s="90">
        <v>224786</v>
      </c>
      <c r="BT464" s="90" t="str">
        <f>BJ464</f>
        <v>5D82BT88267-47</v>
      </c>
      <c r="BU464" s="127">
        <f>BK464</f>
        <v>43508</v>
      </c>
      <c r="BV464" s="127">
        <f>BL464</f>
        <v>44239</v>
      </c>
      <c r="BW464" s="90" t="str">
        <f>H464</f>
        <v>FDA</v>
      </c>
      <c r="BX464" s="90" t="str">
        <f>IF(H464="NATIONAL HEMOPHILIA FOUNDATION","Non Federal","Federal")</f>
        <v>Federal</v>
      </c>
      <c r="BY464" s="128">
        <f>BM464</f>
        <v>2999129.1</v>
      </c>
      <c r="BZ464" s="90" t="str">
        <f>IF(LEN(BR464)&gt;0,1,"")</f>
        <v/>
      </c>
      <c r="CA464" s="90" t="str">
        <f>IF(LEN(BR464)&gt;0,"VIRAL HEPATITIS PROJECT","")</f>
        <v/>
      </c>
      <c r="CB464" s="129" t="str">
        <f>IF(LEN(BR464)&gt;0,BM464*0.7,"")</f>
        <v/>
      </c>
      <c r="CC464" s="90">
        <f>BP464</f>
        <v>3149085.5550000002</v>
      </c>
      <c r="CD464" s="90" t="str">
        <f>IF(LEN(BR464)&gt;0,"70%","")</f>
        <v/>
      </c>
      <c r="CE464" s="90">
        <f>BS464</f>
        <v>224786</v>
      </c>
      <c r="CF464" s="90" t="str">
        <f>CA464</f>
        <v/>
      </c>
      <c r="CG464" s="90"/>
      <c r="CH464" s="90"/>
      <c r="CI464" s="90"/>
      <c r="CJ464" s="90"/>
      <c r="CK464" s="90"/>
      <c r="CL464" s="90"/>
      <c r="CM464" s="90"/>
      <c r="CN464" s="90"/>
      <c r="CO464" s="90"/>
      <c r="CP464" s="90"/>
      <c r="CQ464" s="90"/>
      <c r="CR464" s="90"/>
      <c r="CS464" s="90"/>
      <c r="CT464" s="137"/>
    </row>
    <row r="465" spans="1:98" ht="75">
      <c r="A465" s="89">
        <v>224787</v>
      </c>
      <c r="B465" s="90">
        <v>2020</v>
      </c>
      <c r="C465" s="90" t="s">
        <v>81</v>
      </c>
      <c r="D465" s="90" t="s">
        <v>1329</v>
      </c>
      <c r="E465" s="125" t="s">
        <v>791</v>
      </c>
      <c r="F465" s="24" t="s">
        <v>1330</v>
      </c>
      <c r="G465" s="90" t="s">
        <v>85</v>
      </c>
      <c r="H465" s="90" t="s">
        <v>150</v>
      </c>
      <c r="I465" s="90">
        <v>93</v>
      </c>
      <c r="J465" s="90">
        <v>157</v>
      </c>
      <c r="K465" s="90" t="s">
        <v>85</v>
      </c>
      <c r="L465" s="90" t="s">
        <v>1331</v>
      </c>
      <c r="M465" s="90" t="s">
        <v>119</v>
      </c>
      <c r="N465" s="24" t="s">
        <v>1332</v>
      </c>
      <c r="O465" s="24" t="str">
        <f>IF(ISNUMBER(SEARCH("Cancer",N465)),"Cancer",IF(ISNUMBER(SEARCH("health",N465)),"Public health",IF(ISNUMBER(SEARCH("disabilities",N465)),"Disabilities","Other")))</f>
        <v>Public health</v>
      </c>
      <c r="P465" s="126">
        <v>2615303</v>
      </c>
      <c r="Q465" s="90" t="s">
        <v>85</v>
      </c>
      <c r="R465" s="90" t="str">
        <f>IF(P465&gt;20000000,"B","A")</f>
        <v>A</v>
      </c>
      <c r="S465" s="90" t="s">
        <v>90</v>
      </c>
      <c r="T465" s="90" t="s">
        <v>119</v>
      </c>
      <c r="U465" s="90" t="s">
        <v>119</v>
      </c>
      <c r="V465" s="90" t="s">
        <v>119</v>
      </c>
      <c r="W465" s="90" t="s">
        <v>119</v>
      </c>
      <c r="X465" s="90" t="s">
        <v>119</v>
      </c>
      <c r="Y465" s="90" t="s">
        <v>119</v>
      </c>
      <c r="Z465" s="90" t="s">
        <v>119</v>
      </c>
      <c r="AA465" s="90" t="s">
        <v>119</v>
      </c>
      <c r="AB465" s="90" t="s">
        <v>119</v>
      </c>
      <c r="AC465" s="90" t="s">
        <v>119</v>
      </c>
      <c r="AD465" s="90" t="s">
        <v>119</v>
      </c>
      <c r="AE465" s="24">
        <v>0</v>
      </c>
      <c r="AF465" s="90">
        <v>0</v>
      </c>
      <c r="AG465" s="24">
        <v>0</v>
      </c>
      <c r="AH465" s="90">
        <v>88261</v>
      </c>
      <c r="AI465" s="24" t="s">
        <v>94</v>
      </c>
      <c r="AJ465" s="24" t="s">
        <v>95</v>
      </c>
      <c r="AK465" s="90" t="s">
        <v>85</v>
      </c>
      <c r="AL465" s="90">
        <v>224787</v>
      </c>
      <c r="AM465" s="90" t="s">
        <v>81</v>
      </c>
      <c r="AN465" s="90" t="s">
        <v>1329</v>
      </c>
      <c r="AO465" s="125" t="s">
        <v>791</v>
      </c>
      <c r="AP465" s="24" t="s">
        <v>1332</v>
      </c>
      <c r="AQ465" s="90" t="s">
        <v>1331</v>
      </c>
      <c r="AR465" s="24" t="s">
        <v>1332</v>
      </c>
      <c r="AS465" s="90" t="s">
        <v>119</v>
      </c>
      <c r="AT465" s="24" t="s">
        <v>94</v>
      </c>
      <c r="AU465" s="90" t="s">
        <v>119</v>
      </c>
      <c r="AV465" s="90" t="str">
        <f>IF(ISNUMBER(SEARCH("disagree",AE465)),"N","Y")</f>
        <v>Y</v>
      </c>
      <c r="AW465" s="90" t="s">
        <v>119</v>
      </c>
      <c r="AX465" s="24" t="s">
        <v>119</v>
      </c>
      <c r="AY465" s="90" t="str">
        <f>CONCATENATE(AZ465,BA465,BB465,BC465)</f>
        <v/>
      </c>
      <c r="AZ465" s="90" t="str">
        <f>IF(ISNUMBER(SEARCH("Y",AC465)),"R","")</f>
        <v/>
      </c>
      <c r="BA465" s="90" t="str">
        <f>IF(ISNUMBER(SEARCH("Y",Y465)),"M","")</f>
        <v/>
      </c>
      <c r="BB465" s="90" t="str">
        <f>IF(ISNUMBER(SEARCH("Y",AB465)),"QC","")</f>
        <v/>
      </c>
      <c r="BC465" s="90" t="str">
        <f>IF(ISNUMBER(SEARCH("Y",Z465)),"S","")</f>
        <v/>
      </c>
      <c r="BD465" s="90"/>
      <c r="BE465" s="24" t="s">
        <v>119</v>
      </c>
      <c r="BF465" s="125" t="str">
        <f>IF(AND(AW465&gt;=56543,AW465&lt;=76543,LEN(AW465)&gt;0),"3 Feb 2020",IF(AND(AW465&gt;=66544,AW465&lt;=99999,LEN(AW465)&gt;0),"12 Sep 2020",""))</f>
        <v/>
      </c>
      <c r="BG465" s="125" t="str">
        <f>IF((AND(BF465="3 Feb 2020",LEN(BF465)&gt;0)),"Completed",IF((AND(BF465="12 Sep 2020",LEN(BF465)&gt;0)),"Pending",""))</f>
        <v/>
      </c>
      <c r="BH465" s="90" t="str">
        <f>IF((AND(BF465="3 Feb 2020",LEN(BF465)&gt;0)),"3 Feb 2020","")</f>
        <v/>
      </c>
      <c r="BI465" s="90">
        <v>224787</v>
      </c>
      <c r="BJ465" s="90" t="str">
        <f>L465</f>
        <v>4C36GS88268-86</v>
      </c>
      <c r="BK465" s="127">
        <v>43508</v>
      </c>
      <c r="BL465" s="127">
        <v>44239</v>
      </c>
      <c r="BM465" s="128">
        <f>P465*1.1</f>
        <v>2876833.3000000003</v>
      </c>
      <c r="BN465" s="129">
        <f>P465*0.9</f>
        <v>2353772.7000000002</v>
      </c>
      <c r="BO465" s="130">
        <f>P465*0.8</f>
        <v>2092242.4000000001</v>
      </c>
      <c r="BP465" s="90">
        <f>IF(Z465="Y",BM465*0.4,BM465*1.05)</f>
        <v>3020674.9650000003</v>
      </c>
      <c r="BQ465" s="90">
        <f>BP465*0.8</f>
        <v>2416539.9720000005</v>
      </c>
      <c r="BR465" s="90" t="str">
        <f>IF(ISNUMBER(SEARCH("subrecipient",AI461)),P465*0.6,"")</f>
        <v/>
      </c>
      <c r="BS465" s="90">
        <v>224787</v>
      </c>
      <c r="BT465" s="90" t="str">
        <f>BJ465</f>
        <v>4C36GS88268-86</v>
      </c>
      <c r="BU465" s="127">
        <f>BK465</f>
        <v>43508</v>
      </c>
      <c r="BV465" s="127">
        <f>BL465</f>
        <v>44239</v>
      </c>
      <c r="BW465" s="90" t="str">
        <f>H465</f>
        <v>ACF</v>
      </c>
      <c r="BX465" s="90" t="str">
        <f>IF(H465="NATIONAL HEMOPHILIA FOUNDATION","Non Federal","Federal")</f>
        <v>Federal</v>
      </c>
      <c r="BY465" s="128">
        <f>BM465</f>
        <v>2876833.3000000003</v>
      </c>
      <c r="BZ465" s="90" t="str">
        <f>IF(LEN(BR465)&gt;0,1,"")</f>
        <v/>
      </c>
      <c r="CA465" s="90" t="str">
        <f>IF(LEN(BR465)&gt;0,"VIRAL HEPATITIS PROJECT","")</f>
        <v/>
      </c>
      <c r="CB465" s="129" t="str">
        <f>IF(LEN(BR465)&gt;0,BM465*0.7,"")</f>
        <v/>
      </c>
      <c r="CC465" s="90">
        <f>BP465</f>
        <v>3020674.9650000003</v>
      </c>
      <c r="CD465" s="90" t="str">
        <f>IF(LEN(BR465)&gt;0,"70%","")</f>
        <v/>
      </c>
      <c r="CE465" s="90">
        <f>BS465</f>
        <v>224787</v>
      </c>
      <c r="CF465" s="90" t="str">
        <f>CA465</f>
        <v/>
      </c>
      <c r="CG465" s="90"/>
      <c r="CH465" s="90"/>
      <c r="CI465" s="90"/>
      <c r="CJ465" s="90"/>
      <c r="CK465" s="90"/>
      <c r="CL465" s="90"/>
      <c r="CM465" s="90"/>
      <c r="CN465" s="90"/>
      <c r="CO465" s="90"/>
      <c r="CP465" s="90"/>
      <c r="CQ465" s="90"/>
      <c r="CR465" s="90"/>
      <c r="CS465" s="90"/>
      <c r="CT465" s="137"/>
    </row>
    <row r="466" spans="1:98" ht="75">
      <c r="A466" s="89">
        <v>224787</v>
      </c>
      <c r="B466" s="90">
        <v>2020</v>
      </c>
      <c r="C466" s="90" t="s">
        <v>81</v>
      </c>
      <c r="D466" s="90" t="s">
        <v>1329</v>
      </c>
      <c r="E466" s="125" t="s">
        <v>793</v>
      </c>
      <c r="F466" s="24" t="s">
        <v>1330</v>
      </c>
      <c r="G466" s="90" t="s">
        <v>85</v>
      </c>
      <c r="H466" s="90" t="s">
        <v>150</v>
      </c>
      <c r="I466" s="90">
        <v>93</v>
      </c>
      <c r="J466" s="90">
        <v>157</v>
      </c>
      <c r="K466" s="90" t="s">
        <v>85</v>
      </c>
      <c r="L466" s="90" t="s">
        <v>1331</v>
      </c>
      <c r="M466" s="90" t="s">
        <v>119</v>
      </c>
      <c r="N466" s="24" t="s">
        <v>1332</v>
      </c>
      <c r="O466" s="24" t="str">
        <f>IF(ISNUMBER(SEARCH("Cancer",N466)),"Cancer",IF(ISNUMBER(SEARCH("health",N466)),"Public health",IF(ISNUMBER(SEARCH("disabilities",N466)),"Disabilities","Other")))</f>
        <v>Public health</v>
      </c>
      <c r="P466" s="126">
        <v>2615303</v>
      </c>
      <c r="Q466" s="90" t="s">
        <v>85</v>
      </c>
      <c r="R466" s="90" t="str">
        <f>IF(P466&gt;20000000,"B","A")</f>
        <v>A</v>
      </c>
      <c r="S466" s="90" t="s">
        <v>90</v>
      </c>
      <c r="T466" s="90" t="s">
        <v>119</v>
      </c>
      <c r="U466" s="90" t="s">
        <v>119</v>
      </c>
      <c r="V466" s="90" t="s">
        <v>119</v>
      </c>
      <c r="W466" s="90" t="s">
        <v>119</v>
      </c>
      <c r="X466" s="90" t="s">
        <v>119</v>
      </c>
      <c r="Y466" s="90" t="s">
        <v>119</v>
      </c>
      <c r="Z466" s="90" t="s">
        <v>119</v>
      </c>
      <c r="AA466" s="90" t="s">
        <v>119</v>
      </c>
      <c r="AB466" s="90" t="s">
        <v>119</v>
      </c>
      <c r="AC466" s="90" t="s">
        <v>119</v>
      </c>
      <c r="AD466" s="90" t="s">
        <v>119</v>
      </c>
      <c r="AE466" s="24">
        <v>0</v>
      </c>
      <c r="AF466" s="90">
        <v>0</v>
      </c>
      <c r="AG466" s="24">
        <v>0</v>
      </c>
      <c r="AH466" s="90">
        <v>88262</v>
      </c>
      <c r="AI466" s="24" t="s">
        <v>102</v>
      </c>
      <c r="AJ466" s="24" t="s">
        <v>103</v>
      </c>
      <c r="AK466" s="90" t="s">
        <v>85</v>
      </c>
      <c r="AL466" s="90">
        <v>224787</v>
      </c>
      <c r="AM466" s="90" t="s">
        <v>81</v>
      </c>
      <c r="AN466" s="90" t="s">
        <v>1329</v>
      </c>
      <c r="AO466" s="125" t="s">
        <v>793</v>
      </c>
      <c r="AP466" s="24" t="s">
        <v>1332</v>
      </c>
      <c r="AQ466" s="90" t="s">
        <v>1331</v>
      </c>
      <c r="AR466" s="24" t="s">
        <v>1332</v>
      </c>
      <c r="AS466" s="90" t="s">
        <v>119</v>
      </c>
      <c r="AT466" s="24" t="s">
        <v>102</v>
      </c>
      <c r="AU466" s="90" t="s">
        <v>119</v>
      </c>
      <c r="AV466" s="90" t="str">
        <f>IF(ISNUMBER(SEARCH("disagree",AE466)),"N","Y")</f>
        <v>Y</v>
      </c>
      <c r="AW466" s="90" t="s">
        <v>119</v>
      </c>
      <c r="AX466" s="24" t="s">
        <v>119</v>
      </c>
      <c r="AY466" s="90" t="str">
        <f>CONCATENATE(AZ466,BA466,BB466,BC466)</f>
        <v/>
      </c>
      <c r="AZ466" s="90" t="str">
        <f>IF(ISNUMBER(SEARCH("Y",AC466)),"R","")</f>
        <v/>
      </c>
      <c r="BA466" s="90" t="str">
        <f>IF(ISNUMBER(SEARCH("Y",Y466)),"M","")</f>
        <v/>
      </c>
      <c r="BB466" s="90" t="str">
        <f>IF(ISNUMBER(SEARCH("Y",AB466)),"QC","")</f>
        <v/>
      </c>
      <c r="BC466" s="90" t="str">
        <f>IF(ISNUMBER(SEARCH("Y",Z466)),"S","")</f>
        <v/>
      </c>
      <c r="BD466" s="90"/>
      <c r="BE466" s="24" t="s">
        <v>119</v>
      </c>
      <c r="BF466" s="125" t="str">
        <f>IF(AND(AW466&gt;=56543,AW466&lt;=76543,LEN(AW466)&gt;0),"3 Feb 2020",IF(AND(AW466&gt;=66544,AW466&lt;=99999,LEN(AW466)&gt;0),"12 Sep 2020",""))</f>
        <v/>
      </c>
      <c r="BG466" s="125" t="str">
        <f>IF((AND(BF466="3 Feb 2020",LEN(BF466)&gt;0)),"Completed",IF((AND(BF466="12 Sep 2020",LEN(BF466)&gt;0)),"Pending",""))</f>
        <v/>
      </c>
      <c r="BH466" s="90" t="str">
        <f>IF((AND(BF466="3 Feb 2020",LEN(BF466)&gt;0)),"3 Feb 2020","")</f>
        <v/>
      </c>
      <c r="BI466" s="90">
        <v>224787</v>
      </c>
      <c r="BJ466" s="90" t="str">
        <f>L466</f>
        <v>4C36GS88268-86</v>
      </c>
      <c r="BK466" s="127">
        <v>43508</v>
      </c>
      <c r="BL466" s="127">
        <v>44239</v>
      </c>
      <c r="BM466" s="128">
        <f>P466*1.1</f>
        <v>2876833.3000000003</v>
      </c>
      <c r="BN466" s="129">
        <f>P466*0.9</f>
        <v>2353772.7000000002</v>
      </c>
      <c r="BO466" s="130">
        <f>P466*0.8</f>
        <v>2092242.4000000001</v>
      </c>
      <c r="BP466" s="90">
        <f>IF(Z466="Y",BM466*0.4,BM466*1.05)</f>
        <v>3020674.9650000003</v>
      </c>
      <c r="BQ466" s="90">
        <f>BP466*0.8</f>
        <v>2416539.9720000005</v>
      </c>
      <c r="BR466" s="90" t="str">
        <f>IF(ISNUMBER(SEARCH("subrecipient",AI462)),P466*0.6,"")</f>
        <v/>
      </c>
      <c r="BS466" s="90">
        <v>224787</v>
      </c>
      <c r="BT466" s="90" t="str">
        <f>BJ466</f>
        <v>4C36GS88268-86</v>
      </c>
      <c r="BU466" s="127">
        <f>BK466</f>
        <v>43508</v>
      </c>
      <c r="BV466" s="127">
        <f>BL466</f>
        <v>44239</v>
      </c>
      <c r="BW466" s="90" t="str">
        <f>H466</f>
        <v>ACF</v>
      </c>
      <c r="BX466" s="90" t="str">
        <f>IF(H466="NATIONAL HEMOPHILIA FOUNDATION","Non Federal","Federal")</f>
        <v>Federal</v>
      </c>
      <c r="BY466" s="128">
        <f>BM466</f>
        <v>2876833.3000000003</v>
      </c>
      <c r="BZ466" s="90" t="str">
        <f>IF(LEN(BR466)&gt;0,1,"")</f>
        <v/>
      </c>
      <c r="CA466" s="90" t="str">
        <f>IF(LEN(BR466)&gt;0,"VIRAL HEPATITIS PROJECT","")</f>
        <v/>
      </c>
      <c r="CB466" s="129" t="str">
        <f>IF(LEN(BR466)&gt;0,BM466*0.7,"")</f>
        <v/>
      </c>
      <c r="CC466" s="90">
        <f>BP466</f>
        <v>3020674.9650000003</v>
      </c>
      <c r="CD466" s="90" t="str">
        <f>IF(LEN(BR466)&gt;0,"70%","")</f>
        <v/>
      </c>
      <c r="CE466" s="90">
        <f>BS466</f>
        <v>224787</v>
      </c>
      <c r="CF466" s="90" t="str">
        <f>CA466</f>
        <v/>
      </c>
      <c r="CG466" s="90"/>
      <c r="CH466" s="90"/>
      <c r="CI466" s="90"/>
      <c r="CJ466" s="90"/>
      <c r="CK466" s="90"/>
      <c r="CL466" s="90"/>
      <c r="CM466" s="90"/>
      <c r="CN466" s="90"/>
      <c r="CO466" s="90"/>
      <c r="CP466" s="90"/>
      <c r="CQ466" s="90"/>
      <c r="CR466" s="90"/>
      <c r="CS466" s="90"/>
      <c r="CT466" s="137"/>
    </row>
    <row r="467" spans="1:98" ht="75">
      <c r="A467" s="89">
        <v>224787</v>
      </c>
      <c r="B467" s="90">
        <v>2020</v>
      </c>
      <c r="C467" s="90" t="s">
        <v>81</v>
      </c>
      <c r="D467" s="90" t="s">
        <v>1329</v>
      </c>
      <c r="E467" s="125" t="s">
        <v>780</v>
      </c>
      <c r="F467" s="24" t="s">
        <v>1330</v>
      </c>
      <c r="G467" s="90" t="s">
        <v>85</v>
      </c>
      <c r="H467" s="90" t="s">
        <v>150</v>
      </c>
      <c r="I467" s="90">
        <v>93</v>
      </c>
      <c r="J467" s="90">
        <v>157</v>
      </c>
      <c r="K467" s="90" t="s">
        <v>85</v>
      </c>
      <c r="L467" s="90" t="s">
        <v>1331</v>
      </c>
      <c r="M467" s="90" t="s">
        <v>119</v>
      </c>
      <c r="N467" s="24" t="s">
        <v>1332</v>
      </c>
      <c r="O467" s="24" t="str">
        <f>IF(ISNUMBER(SEARCH("Cancer",N467)),"Cancer",IF(ISNUMBER(SEARCH("health",N467)),"Public health",IF(ISNUMBER(SEARCH("disabilities",N467)),"Disabilities","Other")))</f>
        <v>Public health</v>
      </c>
      <c r="P467" s="126">
        <v>2615303</v>
      </c>
      <c r="Q467" s="90" t="s">
        <v>85</v>
      </c>
      <c r="R467" s="90" t="str">
        <f>IF(P467&gt;20000000,"B","A")</f>
        <v>A</v>
      </c>
      <c r="S467" s="90" t="s">
        <v>90</v>
      </c>
      <c r="T467" s="90" t="s">
        <v>119</v>
      </c>
      <c r="U467" s="90" t="s">
        <v>119</v>
      </c>
      <c r="V467" s="90" t="s">
        <v>119</v>
      </c>
      <c r="W467" s="90" t="s">
        <v>119</v>
      </c>
      <c r="X467" s="90" t="s">
        <v>119</v>
      </c>
      <c r="Y467" s="90" t="s">
        <v>119</v>
      </c>
      <c r="Z467" s="90" t="s">
        <v>119</v>
      </c>
      <c r="AA467" s="90" t="s">
        <v>119</v>
      </c>
      <c r="AB467" s="90" t="s">
        <v>119</v>
      </c>
      <c r="AC467" s="90" t="s">
        <v>119</v>
      </c>
      <c r="AD467" s="90" t="s">
        <v>119</v>
      </c>
      <c r="AE467" s="24">
        <v>0</v>
      </c>
      <c r="AF467" s="90">
        <v>0</v>
      </c>
      <c r="AG467" s="24">
        <v>0</v>
      </c>
      <c r="AH467" s="90">
        <v>88263</v>
      </c>
      <c r="AI467" s="24" t="s">
        <v>110</v>
      </c>
      <c r="AJ467" s="24" t="s">
        <v>1333</v>
      </c>
      <c r="AK467" s="90" t="s">
        <v>85</v>
      </c>
      <c r="AL467" s="90">
        <v>224787</v>
      </c>
      <c r="AM467" s="90" t="s">
        <v>81</v>
      </c>
      <c r="AN467" s="90" t="s">
        <v>1329</v>
      </c>
      <c r="AO467" s="125" t="s">
        <v>780</v>
      </c>
      <c r="AP467" s="24" t="s">
        <v>1332</v>
      </c>
      <c r="AQ467" s="90" t="s">
        <v>1331</v>
      </c>
      <c r="AR467" s="24" t="s">
        <v>1332</v>
      </c>
      <c r="AS467" s="90" t="s">
        <v>119</v>
      </c>
      <c r="AT467" s="24" t="s">
        <v>110</v>
      </c>
      <c r="AU467" s="90" t="s">
        <v>119</v>
      </c>
      <c r="AV467" s="90" t="str">
        <f>IF(ISNUMBER(SEARCH("disagree",AE467)),"N","Y")</f>
        <v>Y</v>
      </c>
      <c r="AW467" s="90" t="s">
        <v>119</v>
      </c>
      <c r="AX467" s="24" t="s">
        <v>119</v>
      </c>
      <c r="AY467" s="90" t="str">
        <f>CONCATENATE(AZ467,BA467,BB467,BC467)</f>
        <v/>
      </c>
      <c r="AZ467" s="90" t="str">
        <f>IF(ISNUMBER(SEARCH("Y",AC467)),"R","")</f>
        <v/>
      </c>
      <c r="BA467" s="90" t="str">
        <f>IF(ISNUMBER(SEARCH("Y",Y467)),"M","")</f>
        <v/>
      </c>
      <c r="BB467" s="90" t="str">
        <f>IF(ISNUMBER(SEARCH("Y",AB467)),"QC","")</f>
        <v/>
      </c>
      <c r="BC467" s="90" t="str">
        <f>IF(ISNUMBER(SEARCH("Y",Z467)),"S","")</f>
        <v/>
      </c>
      <c r="BD467" s="90"/>
      <c r="BE467" s="24" t="s">
        <v>119</v>
      </c>
      <c r="BF467" s="125" t="str">
        <f>IF(AND(AW467&gt;=56543,AW467&lt;=76543,LEN(AW467)&gt;0),"3 Feb 2020",IF(AND(AW467&gt;=66544,AW467&lt;=99999,LEN(AW467)&gt;0),"12 Sep 2020",""))</f>
        <v/>
      </c>
      <c r="BG467" s="125" t="str">
        <f>IF((AND(BF467="3 Feb 2020",LEN(BF467)&gt;0)),"Completed",IF((AND(BF467="12 Sep 2020",LEN(BF467)&gt;0)),"Pending",""))</f>
        <v/>
      </c>
      <c r="BH467" s="90" t="str">
        <f>IF((AND(BF467="3 Feb 2020",LEN(BF467)&gt;0)),"3 Feb 2020","")</f>
        <v/>
      </c>
      <c r="BI467" s="90">
        <v>224787</v>
      </c>
      <c r="BJ467" s="90" t="str">
        <f>L467</f>
        <v>4C36GS88268-86</v>
      </c>
      <c r="BK467" s="127">
        <v>43508</v>
      </c>
      <c r="BL467" s="127">
        <v>44239</v>
      </c>
      <c r="BM467" s="128">
        <f>P467*1.1</f>
        <v>2876833.3000000003</v>
      </c>
      <c r="BN467" s="129">
        <f>P467*0.9</f>
        <v>2353772.7000000002</v>
      </c>
      <c r="BO467" s="130">
        <f>P467*0.8</f>
        <v>2092242.4000000001</v>
      </c>
      <c r="BP467" s="90">
        <f>IF(Z467="Y",BM467*0.4,BM467*1.05)</f>
        <v>3020674.9650000003</v>
      </c>
      <c r="BQ467" s="90">
        <f>BP467*0.8</f>
        <v>2416539.9720000005</v>
      </c>
      <c r="BR467" s="90" t="str">
        <f>IF(ISNUMBER(SEARCH("subrecipient",AI463)),P467*0.6,"")</f>
        <v/>
      </c>
      <c r="BS467" s="90">
        <v>224787</v>
      </c>
      <c r="BT467" s="90" t="str">
        <f>BJ467</f>
        <v>4C36GS88268-86</v>
      </c>
      <c r="BU467" s="127">
        <f>BK467</f>
        <v>43508</v>
      </c>
      <c r="BV467" s="127">
        <f>BL467</f>
        <v>44239</v>
      </c>
      <c r="BW467" s="90" t="str">
        <f>H467</f>
        <v>ACF</v>
      </c>
      <c r="BX467" s="90" t="str">
        <f>IF(H467="NATIONAL HEMOPHILIA FOUNDATION","Non Federal","Federal")</f>
        <v>Federal</v>
      </c>
      <c r="BY467" s="128">
        <f>BM467</f>
        <v>2876833.3000000003</v>
      </c>
      <c r="BZ467" s="90" t="str">
        <f>IF(LEN(BR467)&gt;0,1,"")</f>
        <v/>
      </c>
      <c r="CA467" s="90" t="str">
        <f>IF(LEN(BR467)&gt;0,"VIRAL HEPATITIS PROJECT","")</f>
        <v/>
      </c>
      <c r="CB467" s="129" t="str">
        <f>IF(LEN(BR467)&gt;0,BM467*0.7,"")</f>
        <v/>
      </c>
      <c r="CC467" s="90">
        <f>BP467</f>
        <v>3020674.9650000003</v>
      </c>
      <c r="CD467" s="90" t="str">
        <f>IF(LEN(BR467)&gt;0,"70%","")</f>
        <v/>
      </c>
      <c r="CE467" s="90">
        <f>BS467</f>
        <v>224787</v>
      </c>
      <c r="CF467" s="90" t="str">
        <f>CA467</f>
        <v/>
      </c>
      <c r="CG467" s="90"/>
      <c r="CH467" s="90"/>
      <c r="CI467" s="90"/>
      <c r="CJ467" s="90"/>
      <c r="CK467" s="90"/>
      <c r="CL467" s="90"/>
      <c r="CM467" s="90"/>
      <c r="CN467" s="90"/>
      <c r="CO467" s="90"/>
      <c r="CP467" s="90"/>
      <c r="CQ467" s="90"/>
      <c r="CR467" s="90"/>
      <c r="CS467" s="90"/>
      <c r="CT467" s="137"/>
    </row>
    <row r="468" spans="1:98" ht="120">
      <c r="A468" s="89">
        <v>224793</v>
      </c>
      <c r="B468" s="90">
        <v>2020</v>
      </c>
      <c r="C468" s="90" t="s">
        <v>81</v>
      </c>
      <c r="D468" s="90" t="s">
        <v>1334</v>
      </c>
      <c r="E468" s="125" t="s">
        <v>781</v>
      </c>
      <c r="F468" s="24" t="s">
        <v>1335</v>
      </c>
      <c r="G468" s="90" t="s">
        <v>85</v>
      </c>
      <c r="H468" s="90" t="s">
        <v>86</v>
      </c>
      <c r="I468" s="90">
        <v>93</v>
      </c>
      <c r="J468" s="90">
        <v>157</v>
      </c>
      <c r="K468" s="90" t="s">
        <v>85</v>
      </c>
      <c r="L468" s="90" t="s">
        <v>1336</v>
      </c>
      <c r="M468" s="90" t="s">
        <v>119</v>
      </c>
      <c r="N468" s="24" t="s">
        <v>1337</v>
      </c>
      <c r="O468" s="24" t="str">
        <f>IF(ISNUMBER(SEARCH("Cancer",N468)),"Cancer",IF(ISNUMBER(SEARCH("health",N468)),"Public health",IF(ISNUMBER(SEARCH("disabilities",N468)),"Disabilities","Other")))</f>
        <v>Other</v>
      </c>
      <c r="P468" s="126">
        <v>2298557</v>
      </c>
      <c r="Q468" s="90" t="s">
        <v>85</v>
      </c>
      <c r="R468" s="90" t="str">
        <f>IF(P468&gt;20000000,"B","A")</f>
        <v>A</v>
      </c>
      <c r="S468" s="90" t="s">
        <v>90</v>
      </c>
      <c r="T468" s="90" t="s">
        <v>119</v>
      </c>
      <c r="U468" s="90" t="s">
        <v>119</v>
      </c>
      <c r="V468" s="90" t="s">
        <v>119</v>
      </c>
      <c r="W468" s="90" t="s">
        <v>119</v>
      </c>
      <c r="X468" s="90" t="s">
        <v>119</v>
      </c>
      <c r="Y468" s="90" t="s">
        <v>119</v>
      </c>
      <c r="Z468" s="90" t="s">
        <v>119</v>
      </c>
      <c r="AA468" s="90" t="s">
        <v>119</v>
      </c>
      <c r="AB468" s="90" t="s">
        <v>119</v>
      </c>
      <c r="AC468" s="90" t="s">
        <v>119</v>
      </c>
      <c r="AD468" s="90" t="s">
        <v>119</v>
      </c>
      <c r="AE468" s="24">
        <v>0</v>
      </c>
      <c r="AF468" s="90">
        <v>0</v>
      </c>
      <c r="AG468" s="24">
        <v>0</v>
      </c>
      <c r="AH468" s="90">
        <v>89189</v>
      </c>
      <c r="AI468" s="24" t="s">
        <v>94</v>
      </c>
      <c r="AJ468" s="24" t="s">
        <v>1338</v>
      </c>
      <c r="AK468" s="90" t="s">
        <v>85</v>
      </c>
      <c r="AL468" s="90">
        <v>224793</v>
      </c>
      <c r="AM468" s="90" t="s">
        <v>81</v>
      </c>
      <c r="AN468" s="90" t="s">
        <v>1334</v>
      </c>
      <c r="AO468" s="125" t="s">
        <v>781</v>
      </c>
      <c r="AP468" s="24" t="s">
        <v>1337</v>
      </c>
      <c r="AQ468" s="90" t="s">
        <v>1336</v>
      </c>
      <c r="AR468" s="24" t="s">
        <v>1337</v>
      </c>
      <c r="AS468" s="90" t="s">
        <v>119</v>
      </c>
      <c r="AT468" s="24" t="s">
        <v>94</v>
      </c>
      <c r="AU468" s="90" t="s">
        <v>119</v>
      </c>
      <c r="AV468" s="90" t="str">
        <f>IF(ISNUMBER(SEARCH("disagree",AE468)),"N","Y")</f>
        <v>Y</v>
      </c>
      <c r="AW468" s="90" t="s">
        <v>119</v>
      </c>
      <c r="AX468" s="24" t="s">
        <v>119</v>
      </c>
      <c r="AY468" s="90" t="str">
        <f>CONCATENATE(AZ468,BA468,BB468,BC468)</f>
        <v/>
      </c>
      <c r="AZ468" s="90" t="str">
        <f>IF(ISNUMBER(SEARCH("Y",AC468)),"R","")</f>
        <v/>
      </c>
      <c r="BA468" s="90" t="str">
        <f>IF(ISNUMBER(SEARCH("Y",Y468)),"M","")</f>
        <v/>
      </c>
      <c r="BB468" s="90" t="str">
        <f>IF(ISNUMBER(SEARCH("Y",AB468)),"QC","")</f>
        <v/>
      </c>
      <c r="BC468" s="90" t="str">
        <f>IF(ISNUMBER(SEARCH("Y",Z468)),"S","")</f>
        <v/>
      </c>
      <c r="BD468" s="90"/>
      <c r="BE468" s="24" t="s">
        <v>119</v>
      </c>
      <c r="BF468" s="125" t="str">
        <f>IF(AND(AW468&gt;=56543,AW468&lt;=76543,LEN(AW468)&gt;0),"3 Feb 2020",IF(AND(AW468&gt;=66544,AW468&lt;=99999,LEN(AW468)&gt;0),"12 Sep 2020",""))</f>
        <v/>
      </c>
      <c r="BG468" s="125" t="str">
        <f>IF((AND(BF468="3 Feb 2020",LEN(BF468)&gt;0)),"Completed",IF((AND(BF468="12 Sep 2020",LEN(BF468)&gt;0)),"Pending",""))</f>
        <v/>
      </c>
      <c r="BH468" s="90" t="str">
        <f>IF((AND(BF468="3 Feb 2020",LEN(BF468)&gt;0)),"3 Feb 2020","")</f>
        <v/>
      </c>
      <c r="BI468" s="90">
        <v>224793</v>
      </c>
      <c r="BJ468" s="90" t="str">
        <f>L468</f>
        <v>2C15ES88263-74</v>
      </c>
      <c r="BK468" s="127">
        <v>43508</v>
      </c>
      <c r="BL468" s="127">
        <v>44239</v>
      </c>
      <c r="BM468" s="128">
        <f>P468*1.1</f>
        <v>2528412.7000000002</v>
      </c>
      <c r="BN468" s="129">
        <f>P468*0.9</f>
        <v>2068701.3</v>
      </c>
      <c r="BO468" s="130">
        <f>P468*0.8</f>
        <v>1838845.6</v>
      </c>
      <c r="BP468" s="90">
        <f>IF(Z468="Y",BM468*0.4,BM468*1.05)</f>
        <v>2654833.3350000004</v>
      </c>
      <c r="BQ468" s="90">
        <f>BP468*0.8</f>
        <v>2123866.6680000005</v>
      </c>
      <c r="BR468" s="90" t="str">
        <f>IF(ISNUMBER(SEARCH("subrecipient",AI464)),P468*0.6,"")</f>
        <v/>
      </c>
      <c r="BS468" s="90">
        <v>224793</v>
      </c>
      <c r="BT468" s="90" t="str">
        <f>BJ468</f>
        <v>2C15ES88263-74</v>
      </c>
      <c r="BU468" s="127">
        <f>BK468</f>
        <v>43508</v>
      </c>
      <c r="BV468" s="127">
        <f>BL468</f>
        <v>44239</v>
      </c>
      <c r="BW468" s="90" t="str">
        <f>H468</f>
        <v>CDC</v>
      </c>
      <c r="BX468" s="90" t="str">
        <f>IF(H468="NATIONAL HEMOPHILIA FOUNDATION","Non Federal","Federal")</f>
        <v>Federal</v>
      </c>
      <c r="BY468" s="128">
        <f>BM468</f>
        <v>2528412.7000000002</v>
      </c>
      <c r="BZ468" s="90" t="str">
        <f>IF(LEN(BR468)&gt;0,1,"")</f>
        <v/>
      </c>
      <c r="CA468" s="90" t="str">
        <f>IF(LEN(BR468)&gt;0,"VIRAL HEPATITIS PROJECT","")</f>
        <v/>
      </c>
      <c r="CB468" s="129" t="str">
        <f>IF(LEN(BR468)&gt;0,BM468*0.7,"")</f>
        <v/>
      </c>
      <c r="CC468" s="90">
        <f>BP468</f>
        <v>2654833.3350000004</v>
      </c>
      <c r="CD468" s="90" t="str">
        <f>IF(LEN(BR468)&gt;0,"70%","")</f>
        <v/>
      </c>
      <c r="CE468" s="90">
        <f>BS468</f>
        <v>224793</v>
      </c>
      <c r="CF468" s="90" t="str">
        <f>CA468</f>
        <v/>
      </c>
      <c r="CG468" s="90"/>
      <c r="CH468" s="90"/>
      <c r="CI468" s="90"/>
      <c r="CJ468" s="90"/>
      <c r="CK468" s="90"/>
      <c r="CL468" s="90"/>
      <c r="CM468" s="90"/>
      <c r="CN468" s="90"/>
      <c r="CO468" s="90"/>
      <c r="CP468" s="90"/>
      <c r="CQ468" s="90"/>
      <c r="CR468" s="90"/>
      <c r="CS468" s="90"/>
      <c r="CT468" s="137"/>
    </row>
    <row r="469" spans="1:98" ht="120">
      <c r="A469" s="89">
        <v>224793</v>
      </c>
      <c r="B469" s="90">
        <v>2020</v>
      </c>
      <c r="C469" s="90" t="s">
        <v>81</v>
      </c>
      <c r="D469" s="90" t="s">
        <v>1334</v>
      </c>
      <c r="E469" s="125" t="s">
        <v>784</v>
      </c>
      <c r="F469" s="24" t="s">
        <v>1335</v>
      </c>
      <c r="G469" s="90" t="s">
        <v>85</v>
      </c>
      <c r="H469" s="90" t="s">
        <v>86</v>
      </c>
      <c r="I469" s="90">
        <v>93</v>
      </c>
      <c r="J469" s="90">
        <v>157</v>
      </c>
      <c r="K469" s="90" t="s">
        <v>85</v>
      </c>
      <c r="L469" s="90" t="s">
        <v>1336</v>
      </c>
      <c r="M469" s="90" t="s">
        <v>119</v>
      </c>
      <c r="N469" s="24" t="s">
        <v>1337</v>
      </c>
      <c r="O469" s="24" t="str">
        <f>IF(ISNUMBER(SEARCH("Cancer",N469)),"Cancer",IF(ISNUMBER(SEARCH("health",N469)),"Public health",IF(ISNUMBER(SEARCH("disabilities",N469)),"Disabilities","Other")))</f>
        <v>Other</v>
      </c>
      <c r="P469" s="126">
        <v>2298557</v>
      </c>
      <c r="Q469" s="90" t="s">
        <v>85</v>
      </c>
      <c r="R469" s="90" t="str">
        <f>IF(P469&gt;20000000,"B","A")</f>
        <v>A</v>
      </c>
      <c r="S469" s="90" t="s">
        <v>90</v>
      </c>
      <c r="T469" s="90" t="s">
        <v>119</v>
      </c>
      <c r="U469" s="90" t="s">
        <v>119</v>
      </c>
      <c r="V469" s="90" t="s">
        <v>119</v>
      </c>
      <c r="W469" s="90" t="s">
        <v>119</v>
      </c>
      <c r="X469" s="90" t="s">
        <v>119</v>
      </c>
      <c r="Y469" s="90" t="s">
        <v>119</v>
      </c>
      <c r="Z469" s="90" t="s">
        <v>119</v>
      </c>
      <c r="AA469" s="90" t="s">
        <v>119</v>
      </c>
      <c r="AB469" s="90" t="s">
        <v>119</v>
      </c>
      <c r="AC469" s="90" t="s">
        <v>119</v>
      </c>
      <c r="AD469" s="90" t="s">
        <v>119</v>
      </c>
      <c r="AE469" s="24">
        <v>0</v>
      </c>
      <c r="AF469" s="90">
        <v>0</v>
      </c>
      <c r="AG469" s="24">
        <v>0</v>
      </c>
      <c r="AH469" s="90">
        <v>89190</v>
      </c>
      <c r="AI469" s="24" t="s">
        <v>102</v>
      </c>
      <c r="AJ469" s="24" t="s">
        <v>916</v>
      </c>
      <c r="AK469" s="90" t="s">
        <v>85</v>
      </c>
      <c r="AL469" s="90">
        <v>224793</v>
      </c>
      <c r="AM469" s="90" t="s">
        <v>81</v>
      </c>
      <c r="AN469" s="90" t="s">
        <v>1334</v>
      </c>
      <c r="AO469" s="125" t="s">
        <v>784</v>
      </c>
      <c r="AP469" s="24" t="s">
        <v>1337</v>
      </c>
      <c r="AQ469" s="90" t="s">
        <v>1336</v>
      </c>
      <c r="AR469" s="24" t="s">
        <v>1337</v>
      </c>
      <c r="AS469" s="90" t="s">
        <v>119</v>
      </c>
      <c r="AT469" s="24" t="s">
        <v>102</v>
      </c>
      <c r="AU469" s="90" t="s">
        <v>119</v>
      </c>
      <c r="AV469" s="90" t="str">
        <f>IF(ISNUMBER(SEARCH("disagree",AE469)),"N","Y")</f>
        <v>Y</v>
      </c>
      <c r="AW469" s="90" t="s">
        <v>119</v>
      </c>
      <c r="AX469" s="24" t="s">
        <v>119</v>
      </c>
      <c r="AY469" s="90" t="str">
        <f>CONCATENATE(AZ469,BA469,BB469,BC469)</f>
        <v/>
      </c>
      <c r="AZ469" s="90" t="str">
        <f>IF(ISNUMBER(SEARCH("Y",AC469)),"R","")</f>
        <v/>
      </c>
      <c r="BA469" s="90" t="str">
        <f>IF(ISNUMBER(SEARCH("Y",Y469)),"M","")</f>
        <v/>
      </c>
      <c r="BB469" s="90" t="str">
        <f>IF(ISNUMBER(SEARCH("Y",AB469)),"QC","")</f>
        <v/>
      </c>
      <c r="BC469" s="90" t="str">
        <f>IF(ISNUMBER(SEARCH("Y",Z469)),"S","")</f>
        <v/>
      </c>
      <c r="BD469" s="90"/>
      <c r="BE469" s="24" t="s">
        <v>119</v>
      </c>
      <c r="BF469" s="125" t="str">
        <f>IF(AND(AW469&gt;=56543,AW469&lt;=76543,LEN(AW469)&gt;0),"3 Feb 2020",IF(AND(AW469&gt;=66544,AW469&lt;=99999,LEN(AW469)&gt;0),"12 Sep 2020",""))</f>
        <v/>
      </c>
      <c r="BG469" s="125" t="str">
        <f>IF((AND(BF469="3 Feb 2020",LEN(BF469)&gt;0)),"Completed",IF((AND(BF469="12 Sep 2020",LEN(BF469)&gt;0)),"Pending",""))</f>
        <v/>
      </c>
      <c r="BH469" s="90" t="str">
        <f>IF((AND(BF469="3 Feb 2020",LEN(BF469)&gt;0)),"3 Feb 2020","")</f>
        <v/>
      </c>
      <c r="BI469" s="90">
        <v>224793</v>
      </c>
      <c r="BJ469" s="90" t="str">
        <f>L469</f>
        <v>2C15ES88263-74</v>
      </c>
      <c r="BK469" s="127">
        <v>43508</v>
      </c>
      <c r="BL469" s="127">
        <v>44239</v>
      </c>
      <c r="BM469" s="128">
        <f>P469*1.1</f>
        <v>2528412.7000000002</v>
      </c>
      <c r="BN469" s="129">
        <f>P469*0.9</f>
        <v>2068701.3</v>
      </c>
      <c r="BO469" s="130">
        <f>P469*0.8</f>
        <v>1838845.6</v>
      </c>
      <c r="BP469" s="90">
        <f>IF(Z469="Y",BM469*0.4,BM469*1.05)</f>
        <v>2654833.3350000004</v>
      </c>
      <c r="BQ469" s="90">
        <f>BP469*0.8</f>
        <v>2123866.6680000005</v>
      </c>
      <c r="BR469" s="90" t="str">
        <f>IF(ISNUMBER(SEARCH("subrecipient",AI465)),P469*0.6,"")</f>
        <v/>
      </c>
      <c r="BS469" s="90">
        <v>224793</v>
      </c>
      <c r="BT469" s="90" t="str">
        <f>BJ469</f>
        <v>2C15ES88263-74</v>
      </c>
      <c r="BU469" s="127">
        <f>BK469</f>
        <v>43508</v>
      </c>
      <c r="BV469" s="127">
        <f>BL469</f>
        <v>44239</v>
      </c>
      <c r="BW469" s="90" t="str">
        <f>H469</f>
        <v>CDC</v>
      </c>
      <c r="BX469" s="90" t="str">
        <f>IF(H469="NATIONAL HEMOPHILIA FOUNDATION","Non Federal","Federal")</f>
        <v>Federal</v>
      </c>
      <c r="BY469" s="128">
        <f>BM469</f>
        <v>2528412.7000000002</v>
      </c>
      <c r="BZ469" s="90" t="str">
        <f>IF(LEN(BR469)&gt;0,1,"")</f>
        <v/>
      </c>
      <c r="CA469" s="90" t="str">
        <f>IF(LEN(BR469)&gt;0,"VIRAL HEPATITIS PROJECT","")</f>
        <v/>
      </c>
      <c r="CB469" s="129" t="str">
        <f>IF(LEN(BR469)&gt;0,BM469*0.7,"")</f>
        <v/>
      </c>
      <c r="CC469" s="90">
        <f>BP469</f>
        <v>2654833.3350000004</v>
      </c>
      <c r="CD469" s="90" t="str">
        <f>IF(LEN(BR469)&gt;0,"70%","")</f>
        <v/>
      </c>
      <c r="CE469" s="90">
        <f>BS469</f>
        <v>224793</v>
      </c>
      <c r="CF469" s="90" t="str">
        <f>CA469</f>
        <v/>
      </c>
      <c r="CG469" s="90"/>
      <c r="CH469" s="90"/>
      <c r="CI469" s="90"/>
      <c r="CJ469" s="90"/>
      <c r="CK469" s="90"/>
      <c r="CL469" s="90"/>
      <c r="CM469" s="90"/>
      <c r="CN469" s="90"/>
      <c r="CO469" s="90"/>
      <c r="CP469" s="90"/>
      <c r="CQ469" s="90"/>
      <c r="CR469" s="90"/>
      <c r="CS469" s="90"/>
      <c r="CT469" s="137"/>
    </row>
    <row r="470" spans="1:98" ht="120">
      <c r="A470" s="89">
        <v>224793</v>
      </c>
      <c r="B470" s="90">
        <v>2020</v>
      </c>
      <c r="C470" s="90" t="s">
        <v>81</v>
      </c>
      <c r="D470" s="90" t="s">
        <v>1334</v>
      </c>
      <c r="E470" s="125" t="s">
        <v>790</v>
      </c>
      <c r="F470" s="24" t="s">
        <v>1335</v>
      </c>
      <c r="G470" s="90" t="s">
        <v>85</v>
      </c>
      <c r="H470" s="90" t="s">
        <v>86</v>
      </c>
      <c r="I470" s="90">
        <v>93</v>
      </c>
      <c r="J470" s="90">
        <v>157</v>
      </c>
      <c r="K470" s="90" t="s">
        <v>85</v>
      </c>
      <c r="L470" s="90" t="s">
        <v>1336</v>
      </c>
      <c r="M470" s="90" t="s">
        <v>119</v>
      </c>
      <c r="N470" s="24" t="s">
        <v>1337</v>
      </c>
      <c r="O470" s="24" t="str">
        <f>IF(ISNUMBER(SEARCH("Cancer",N470)),"Cancer",IF(ISNUMBER(SEARCH("health",N470)),"Public health",IF(ISNUMBER(SEARCH("disabilities",N470)),"Disabilities","Other")))</f>
        <v>Other</v>
      </c>
      <c r="P470" s="126">
        <v>2298557</v>
      </c>
      <c r="Q470" s="90" t="s">
        <v>85</v>
      </c>
      <c r="R470" s="90" t="str">
        <f>IF(P470&gt;20000000,"B","A")</f>
        <v>A</v>
      </c>
      <c r="S470" s="90" t="s">
        <v>90</v>
      </c>
      <c r="T470" s="90" t="s">
        <v>119</v>
      </c>
      <c r="U470" s="90" t="s">
        <v>119</v>
      </c>
      <c r="V470" s="90" t="s">
        <v>119</v>
      </c>
      <c r="W470" s="90" t="s">
        <v>119</v>
      </c>
      <c r="X470" s="90" t="s">
        <v>119</v>
      </c>
      <c r="Y470" s="90" t="s">
        <v>119</v>
      </c>
      <c r="Z470" s="90" t="s">
        <v>119</v>
      </c>
      <c r="AA470" s="90" t="s">
        <v>119</v>
      </c>
      <c r="AB470" s="90" t="s">
        <v>119</v>
      </c>
      <c r="AC470" s="90" t="s">
        <v>119</v>
      </c>
      <c r="AD470" s="90" t="s">
        <v>119</v>
      </c>
      <c r="AE470" s="24">
        <v>0</v>
      </c>
      <c r="AF470" s="90">
        <v>0</v>
      </c>
      <c r="AG470" s="24">
        <v>0</v>
      </c>
      <c r="AH470" s="90">
        <v>89191</v>
      </c>
      <c r="AI470" s="24" t="s">
        <v>917</v>
      </c>
      <c r="AJ470" s="24" t="s">
        <v>1339</v>
      </c>
      <c r="AK470" s="90" t="s">
        <v>85</v>
      </c>
      <c r="AL470" s="90">
        <v>224793</v>
      </c>
      <c r="AM470" s="90" t="s">
        <v>81</v>
      </c>
      <c r="AN470" s="90" t="s">
        <v>1334</v>
      </c>
      <c r="AO470" s="125" t="s">
        <v>790</v>
      </c>
      <c r="AP470" s="24" t="s">
        <v>1337</v>
      </c>
      <c r="AQ470" s="90" t="s">
        <v>1336</v>
      </c>
      <c r="AR470" s="24" t="s">
        <v>1337</v>
      </c>
      <c r="AS470" s="90" t="s">
        <v>119</v>
      </c>
      <c r="AT470" s="24" t="s">
        <v>917</v>
      </c>
      <c r="AU470" s="90" t="s">
        <v>119</v>
      </c>
      <c r="AV470" s="90" t="str">
        <f>IF(ISNUMBER(SEARCH("disagree",AE470)),"N","Y")</f>
        <v>Y</v>
      </c>
      <c r="AW470" s="90" t="s">
        <v>119</v>
      </c>
      <c r="AX470" s="24" t="s">
        <v>119</v>
      </c>
      <c r="AY470" s="90" t="str">
        <f>CONCATENATE(AZ470,BA470,BB470,BC470)</f>
        <v/>
      </c>
      <c r="AZ470" s="90" t="str">
        <f>IF(ISNUMBER(SEARCH("Y",AC470)),"R","")</f>
        <v/>
      </c>
      <c r="BA470" s="90" t="str">
        <f>IF(ISNUMBER(SEARCH("Y",Y470)),"M","")</f>
        <v/>
      </c>
      <c r="BB470" s="90" t="str">
        <f>IF(ISNUMBER(SEARCH("Y",AB470)),"QC","")</f>
        <v/>
      </c>
      <c r="BC470" s="90" t="str">
        <f>IF(ISNUMBER(SEARCH("Y",Z470)),"S","")</f>
        <v/>
      </c>
      <c r="BD470" s="90"/>
      <c r="BE470" s="24" t="s">
        <v>119</v>
      </c>
      <c r="BF470" s="125" t="str">
        <f>IF(AND(AW470&gt;=56543,AW470&lt;=76543,LEN(AW470)&gt;0),"3 Feb 2020",IF(AND(AW470&gt;=66544,AW470&lt;=99999,LEN(AW470)&gt;0),"12 Sep 2020",""))</f>
        <v/>
      </c>
      <c r="BG470" s="125" t="str">
        <f>IF((AND(BF470="3 Feb 2020",LEN(BF470)&gt;0)),"Completed",IF((AND(BF470="12 Sep 2020",LEN(BF470)&gt;0)),"Pending",""))</f>
        <v/>
      </c>
      <c r="BH470" s="90" t="str">
        <f>IF((AND(BF470="3 Feb 2020",LEN(BF470)&gt;0)),"3 Feb 2020","")</f>
        <v/>
      </c>
      <c r="BI470" s="90">
        <v>224793</v>
      </c>
      <c r="BJ470" s="90" t="str">
        <f>L470</f>
        <v>2C15ES88263-74</v>
      </c>
      <c r="BK470" s="127">
        <v>43508</v>
      </c>
      <c r="BL470" s="127">
        <v>44239</v>
      </c>
      <c r="BM470" s="128">
        <f>P470*1.1</f>
        <v>2528412.7000000002</v>
      </c>
      <c r="BN470" s="129">
        <f>P470*0.9</f>
        <v>2068701.3</v>
      </c>
      <c r="BO470" s="130">
        <f>P470*0.8</f>
        <v>1838845.6</v>
      </c>
      <c r="BP470" s="90">
        <f>IF(Z470="Y",BM470*0.4,BM470*1.05)</f>
        <v>2654833.3350000004</v>
      </c>
      <c r="BQ470" s="90">
        <f>BP470*0.8</f>
        <v>2123866.6680000005</v>
      </c>
      <c r="BR470" s="90" t="str">
        <f>IF(ISNUMBER(SEARCH("subrecipient",AI466)),P470*0.6,"")</f>
        <v/>
      </c>
      <c r="BS470" s="90">
        <v>224793</v>
      </c>
      <c r="BT470" s="90" t="str">
        <f>BJ470</f>
        <v>2C15ES88263-74</v>
      </c>
      <c r="BU470" s="127">
        <f>BK470</f>
        <v>43508</v>
      </c>
      <c r="BV470" s="127">
        <f>BL470</f>
        <v>44239</v>
      </c>
      <c r="BW470" s="90" t="str">
        <f>H470</f>
        <v>CDC</v>
      </c>
      <c r="BX470" s="90" t="str">
        <f>IF(H470="NATIONAL HEMOPHILIA FOUNDATION","Non Federal","Federal")</f>
        <v>Federal</v>
      </c>
      <c r="BY470" s="128">
        <f>BM470</f>
        <v>2528412.7000000002</v>
      </c>
      <c r="BZ470" s="90" t="str">
        <f>IF(LEN(BR470)&gt;0,1,"")</f>
        <v/>
      </c>
      <c r="CA470" s="90" t="str">
        <f>IF(LEN(BR470)&gt;0,"VIRAL HEPATITIS PROJECT","")</f>
        <v/>
      </c>
      <c r="CB470" s="129" t="str">
        <f>IF(LEN(BR470)&gt;0,BM470*0.7,"")</f>
        <v/>
      </c>
      <c r="CC470" s="90">
        <f>BP470</f>
        <v>2654833.3350000004</v>
      </c>
      <c r="CD470" s="90" t="str">
        <f>IF(LEN(BR470)&gt;0,"70%","")</f>
        <v/>
      </c>
      <c r="CE470" s="90">
        <f>BS470</f>
        <v>224793</v>
      </c>
      <c r="CF470" s="90" t="str">
        <f>CA470</f>
        <v/>
      </c>
      <c r="CG470" s="90"/>
      <c r="CH470" s="90"/>
      <c r="CI470" s="90"/>
      <c r="CJ470" s="90"/>
      <c r="CK470" s="90"/>
      <c r="CL470" s="90"/>
      <c r="CM470" s="90"/>
      <c r="CN470" s="90"/>
      <c r="CO470" s="90"/>
      <c r="CP470" s="90"/>
      <c r="CQ470" s="90"/>
      <c r="CR470" s="90"/>
      <c r="CS470" s="90"/>
      <c r="CT470" s="137"/>
    </row>
    <row r="471" spans="1:98" ht="120">
      <c r="A471" s="89">
        <v>224793</v>
      </c>
      <c r="B471" s="90">
        <v>2020</v>
      </c>
      <c r="C471" s="90" t="s">
        <v>81</v>
      </c>
      <c r="D471" s="90" t="s">
        <v>1334</v>
      </c>
      <c r="E471" s="125" t="s">
        <v>791</v>
      </c>
      <c r="F471" s="24" t="s">
        <v>1335</v>
      </c>
      <c r="G471" s="90" t="s">
        <v>85</v>
      </c>
      <c r="H471" s="90" t="s">
        <v>86</v>
      </c>
      <c r="I471" s="90">
        <v>93</v>
      </c>
      <c r="J471" s="90">
        <v>157</v>
      </c>
      <c r="K471" s="90" t="s">
        <v>85</v>
      </c>
      <c r="L471" s="90" t="s">
        <v>1336</v>
      </c>
      <c r="M471" s="90" t="s">
        <v>119</v>
      </c>
      <c r="N471" s="24" t="s">
        <v>1337</v>
      </c>
      <c r="O471" s="24" t="str">
        <f>IF(ISNUMBER(SEARCH("Cancer",N471)),"Cancer",IF(ISNUMBER(SEARCH("health",N471)),"Public health",IF(ISNUMBER(SEARCH("disabilities",N471)),"Disabilities","Other")))</f>
        <v>Other</v>
      </c>
      <c r="P471" s="126">
        <v>2298557</v>
      </c>
      <c r="Q471" s="90" t="s">
        <v>85</v>
      </c>
      <c r="R471" s="90" t="str">
        <f>IF(P471&gt;20000000,"B","A")</f>
        <v>A</v>
      </c>
      <c r="S471" s="90" t="s">
        <v>90</v>
      </c>
      <c r="T471" s="90" t="s">
        <v>119</v>
      </c>
      <c r="U471" s="90" t="s">
        <v>119</v>
      </c>
      <c r="V471" s="90" t="s">
        <v>119</v>
      </c>
      <c r="W471" s="90" t="s">
        <v>119</v>
      </c>
      <c r="X471" s="90" t="s">
        <v>119</v>
      </c>
      <c r="Y471" s="90" t="s">
        <v>119</v>
      </c>
      <c r="Z471" s="90" t="s">
        <v>119</v>
      </c>
      <c r="AA471" s="90" t="s">
        <v>119</v>
      </c>
      <c r="AB471" s="90" t="s">
        <v>119</v>
      </c>
      <c r="AC471" s="90" t="s">
        <v>119</v>
      </c>
      <c r="AD471" s="90" t="s">
        <v>119</v>
      </c>
      <c r="AE471" s="24">
        <v>0</v>
      </c>
      <c r="AF471" s="90">
        <v>0</v>
      </c>
      <c r="AG471" s="24">
        <v>0</v>
      </c>
      <c r="AH471" s="90">
        <v>89192</v>
      </c>
      <c r="AI471" s="24" t="s">
        <v>919</v>
      </c>
      <c r="AJ471" s="24" t="s">
        <v>920</v>
      </c>
      <c r="AK471" s="90" t="s">
        <v>85</v>
      </c>
      <c r="AL471" s="90">
        <v>224793</v>
      </c>
      <c r="AM471" s="90" t="s">
        <v>81</v>
      </c>
      <c r="AN471" s="90" t="s">
        <v>1334</v>
      </c>
      <c r="AO471" s="125" t="s">
        <v>791</v>
      </c>
      <c r="AP471" s="24" t="s">
        <v>1337</v>
      </c>
      <c r="AQ471" s="90" t="s">
        <v>1336</v>
      </c>
      <c r="AR471" s="24" t="s">
        <v>1337</v>
      </c>
      <c r="AS471" s="90" t="s">
        <v>119</v>
      </c>
      <c r="AT471" s="24" t="s">
        <v>919</v>
      </c>
      <c r="AU471" s="90" t="s">
        <v>119</v>
      </c>
      <c r="AV471" s="90" t="str">
        <f>IF(ISNUMBER(SEARCH("disagree",AE471)),"N","Y")</f>
        <v>Y</v>
      </c>
      <c r="AW471" s="90" t="s">
        <v>119</v>
      </c>
      <c r="AX471" s="24" t="s">
        <v>119</v>
      </c>
      <c r="AY471" s="90" t="str">
        <f>CONCATENATE(AZ471,BA471,BB471,BC471)</f>
        <v/>
      </c>
      <c r="AZ471" s="90" t="str">
        <f>IF(ISNUMBER(SEARCH("Y",AC471)),"R","")</f>
        <v/>
      </c>
      <c r="BA471" s="90" t="str">
        <f>IF(ISNUMBER(SEARCH("Y",Y471)),"M","")</f>
        <v/>
      </c>
      <c r="BB471" s="90" t="str">
        <f>IF(ISNUMBER(SEARCH("Y",AB471)),"QC","")</f>
        <v/>
      </c>
      <c r="BC471" s="90" t="str">
        <f>IF(ISNUMBER(SEARCH("Y",Z471)),"S","")</f>
        <v/>
      </c>
      <c r="BD471" s="90"/>
      <c r="BE471" s="24" t="s">
        <v>119</v>
      </c>
      <c r="BF471" s="125" t="str">
        <f>IF(AND(AW471&gt;=56543,AW471&lt;=76543,LEN(AW471)&gt;0),"3 Feb 2020",IF(AND(AW471&gt;=66544,AW471&lt;=99999,LEN(AW471)&gt;0),"12 Sep 2020",""))</f>
        <v/>
      </c>
      <c r="BG471" s="125" t="str">
        <f>IF((AND(BF471="3 Feb 2020",LEN(BF471)&gt;0)),"Completed",IF((AND(BF471="12 Sep 2020",LEN(BF471)&gt;0)),"Pending",""))</f>
        <v/>
      </c>
      <c r="BH471" s="90" t="str">
        <f>IF((AND(BF471="3 Feb 2020",LEN(BF471)&gt;0)),"3 Feb 2020","")</f>
        <v/>
      </c>
      <c r="BI471" s="90">
        <v>224793</v>
      </c>
      <c r="BJ471" s="90" t="str">
        <f>L471</f>
        <v>2C15ES88263-74</v>
      </c>
      <c r="BK471" s="127">
        <v>43508</v>
      </c>
      <c r="BL471" s="127">
        <v>44239</v>
      </c>
      <c r="BM471" s="128">
        <f>P471*1.1</f>
        <v>2528412.7000000002</v>
      </c>
      <c r="BN471" s="129">
        <f>P471*0.9</f>
        <v>2068701.3</v>
      </c>
      <c r="BO471" s="130">
        <f>P471*0.8</f>
        <v>1838845.6</v>
      </c>
      <c r="BP471" s="90">
        <f>IF(Z471="Y",BM471*0.4,BM471*1.05)</f>
        <v>2654833.3350000004</v>
      </c>
      <c r="BQ471" s="90">
        <f>BP471*0.8</f>
        <v>2123866.6680000005</v>
      </c>
      <c r="BR471" s="90" t="str">
        <f>IF(ISNUMBER(SEARCH("subrecipient",AI467)),P471*0.6,"")</f>
        <v/>
      </c>
      <c r="BS471" s="90">
        <v>224793</v>
      </c>
      <c r="BT471" s="90" t="str">
        <f>BJ471</f>
        <v>2C15ES88263-74</v>
      </c>
      <c r="BU471" s="127">
        <f>BK471</f>
        <v>43508</v>
      </c>
      <c r="BV471" s="127">
        <f>BL471</f>
        <v>44239</v>
      </c>
      <c r="BW471" s="90" t="str">
        <f>H471</f>
        <v>CDC</v>
      </c>
      <c r="BX471" s="90" t="str">
        <f>IF(H471="NATIONAL HEMOPHILIA FOUNDATION","Non Federal","Federal")</f>
        <v>Federal</v>
      </c>
      <c r="BY471" s="128">
        <f>BM471</f>
        <v>2528412.7000000002</v>
      </c>
      <c r="BZ471" s="90" t="str">
        <f>IF(LEN(BR471)&gt;0,1,"")</f>
        <v/>
      </c>
      <c r="CA471" s="90" t="str">
        <f>IF(LEN(BR471)&gt;0,"VIRAL HEPATITIS PROJECT","")</f>
        <v/>
      </c>
      <c r="CB471" s="129" t="str">
        <f>IF(LEN(BR471)&gt;0,BM471*0.7,"")</f>
        <v/>
      </c>
      <c r="CC471" s="90">
        <f>BP471</f>
        <v>2654833.3350000004</v>
      </c>
      <c r="CD471" s="90" t="str">
        <f>IF(LEN(BR471)&gt;0,"70%","")</f>
        <v/>
      </c>
      <c r="CE471" s="90">
        <f>BS471</f>
        <v>224793</v>
      </c>
      <c r="CF471" s="90" t="str">
        <f>CA471</f>
        <v/>
      </c>
      <c r="CG471" s="90"/>
      <c r="CH471" s="90"/>
      <c r="CI471" s="90"/>
      <c r="CJ471" s="90"/>
      <c r="CK471" s="90"/>
      <c r="CL471" s="90"/>
      <c r="CM471" s="90"/>
      <c r="CN471" s="90"/>
      <c r="CO471" s="90"/>
      <c r="CP471" s="90"/>
      <c r="CQ471" s="90"/>
      <c r="CR471" s="90"/>
      <c r="CS471" s="90"/>
      <c r="CT471" s="137"/>
    </row>
    <row r="472" spans="1:98" ht="105">
      <c r="A472" s="89">
        <v>224818</v>
      </c>
      <c r="B472" s="90">
        <v>2020</v>
      </c>
      <c r="C472" s="90" t="s">
        <v>81</v>
      </c>
      <c r="D472" s="90" t="s">
        <v>1340</v>
      </c>
      <c r="E472" s="125" t="s">
        <v>793</v>
      </c>
      <c r="F472" s="24" t="s">
        <v>1341</v>
      </c>
      <c r="G472" s="90" t="s">
        <v>85</v>
      </c>
      <c r="H472" s="90" t="s">
        <v>117</v>
      </c>
      <c r="I472" s="90">
        <v>93</v>
      </c>
      <c r="J472" s="90">
        <v>157</v>
      </c>
      <c r="K472" s="90" t="s">
        <v>85</v>
      </c>
      <c r="L472" s="90" t="s">
        <v>1342</v>
      </c>
      <c r="M472" s="90" t="s">
        <v>119</v>
      </c>
      <c r="N472" s="24" t="s">
        <v>1343</v>
      </c>
      <c r="O472" s="24" t="str">
        <f>IF(ISNUMBER(SEARCH("Cancer",N472)),"Cancer",IF(ISNUMBER(SEARCH("health",N472)),"Public health",IF(ISNUMBER(SEARCH("disabilities",N472)),"Disabilities","Other")))</f>
        <v>Public health</v>
      </c>
      <c r="P472" s="126">
        <v>2959000</v>
      </c>
      <c r="Q472" s="90" t="s">
        <v>85</v>
      </c>
      <c r="R472" s="90" t="str">
        <f>IF(P472&gt;20000000,"B","A")</f>
        <v>A</v>
      </c>
      <c r="S472" s="90" t="s">
        <v>90</v>
      </c>
      <c r="T472" s="90" t="s">
        <v>119</v>
      </c>
      <c r="U472" s="90" t="s">
        <v>119</v>
      </c>
      <c r="V472" s="90" t="s">
        <v>119</v>
      </c>
      <c r="W472" s="90" t="s">
        <v>119</v>
      </c>
      <c r="X472" s="90" t="s">
        <v>119</v>
      </c>
      <c r="Y472" s="90" t="s">
        <v>119</v>
      </c>
      <c r="Z472" s="90" t="s">
        <v>119</v>
      </c>
      <c r="AA472" s="90" t="s">
        <v>119</v>
      </c>
      <c r="AB472" s="90" t="s">
        <v>119</v>
      </c>
      <c r="AC472" s="90" t="s">
        <v>119</v>
      </c>
      <c r="AD472" s="90" t="s">
        <v>119</v>
      </c>
      <c r="AE472" s="24">
        <v>0</v>
      </c>
      <c r="AF472" s="90">
        <v>0</v>
      </c>
      <c r="AG472" s="24">
        <v>0</v>
      </c>
      <c r="AH472" s="90">
        <v>90763</v>
      </c>
      <c r="AI472" s="24" t="s">
        <v>94</v>
      </c>
      <c r="AJ472" s="24" t="s">
        <v>1344</v>
      </c>
      <c r="AK472" s="90" t="s">
        <v>85</v>
      </c>
      <c r="AL472" s="90">
        <v>224818</v>
      </c>
      <c r="AM472" s="90" t="s">
        <v>81</v>
      </c>
      <c r="AN472" s="90" t="s">
        <v>1340</v>
      </c>
      <c r="AO472" s="125" t="s">
        <v>793</v>
      </c>
      <c r="AP472" s="24" t="s">
        <v>1343</v>
      </c>
      <c r="AQ472" s="90" t="s">
        <v>1342</v>
      </c>
      <c r="AR472" s="24" t="s">
        <v>1343</v>
      </c>
      <c r="AS472" s="90" t="s">
        <v>119</v>
      </c>
      <c r="AT472" s="24" t="s">
        <v>94</v>
      </c>
      <c r="AU472" s="90" t="s">
        <v>119</v>
      </c>
      <c r="AV472" s="90" t="str">
        <f>IF(ISNUMBER(SEARCH("disagree",AE472)),"N","Y")</f>
        <v>Y</v>
      </c>
      <c r="AW472" s="90" t="s">
        <v>119</v>
      </c>
      <c r="AX472" s="24" t="s">
        <v>119</v>
      </c>
      <c r="AY472" s="90" t="str">
        <f>CONCATENATE(AZ472,BA472,BB472,BC472)</f>
        <v/>
      </c>
      <c r="AZ472" s="90" t="str">
        <f>IF(ISNUMBER(SEARCH("Y",AC472)),"R","")</f>
        <v/>
      </c>
      <c r="BA472" s="90" t="str">
        <f>IF(ISNUMBER(SEARCH("Y",Y472)),"M","")</f>
        <v/>
      </c>
      <c r="BB472" s="90" t="str">
        <f>IF(ISNUMBER(SEARCH("Y",AB472)),"QC","")</f>
        <v/>
      </c>
      <c r="BC472" s="90" t="str">
        <f>IF(ISNUMBER(SEARCH("Y",Z472)),"S","")</f>
        <v/>
      </c>
      <c r="BD472" s="90"/>
      <c r="BE472" s="24" t="s">
        <v>119</v>
      </c>
      <c r="BF472" s="125" t="str">
        <f>IF(AND(AW472&gt;=56543,AW472&lt;=76543,LEN(AW472)&gt;0),"3 Feb 2020",IF(AND(AW472&gt;=66544,AW472&lt;=99999,LEN(AW472)&gt;0),"12 Sep 2020",""))</f>
        <v/>
      </c>
      <c r="BG472" s="125" t="str">
        <f>IF((AND(BF472="3 Feb 2020",LEN(BF472)&gt;0)),"Completed",IF((AND(BF472="12 Sep 2020",LEN(BF472)&gt;0)),"Pending",""))</f>
        <v/>
      </c>
      <c r="BH472" s="90" t="str">
        <f>IF((AND(BF472="3 Feb 2020",LEN(BF472)&gt;0)),"3 Feb 2020","")</f>
        <v/>
      </c>
      <c r="BI472" s="90">
        <v>224818</v>
      </c>
      <c r="BJ472" s="90" t="str">
        <f>L472</f>
        <v>6C21DS89191-18</v>
      </c>
      <c r="BK472" s="127">
        <v>43508</v>
      </c>
      <c r="BL472" s="127">
        <v>44239</v>
      </c>
      <c r="BM472" s="128">
        <f>P472*1.1</f>
        <v>3254900.0000000005</v>
      </c>
      <c r="BN472" s="129">
        <f>P472*0.9</f>
        <v>2663100</v>
      </c>
      <c r="BO472" s="130">
        <f>P472*0.8</f>
        <v>2367200</v>
      </c>
      <c r="BP472" s="90">
        <f>IF(Z472="Y",BM472*0.4,BM472*1.05)</f>
        <v>3417645.0000000005</v>
      </c>
      <c r="BQ472" s="90">
        <f>BP472*0.8</f>
        <v>2734116.0000000005</v>
      </c>
      <c r="BR472" s="90" t="str">
        <f>IF(ISNUMBER(SEARCH("subrecipient",AI468)),P472*0.6,"")</f>
        <v/>
      </c>
      <c r="BS472" s="90">
        <v>224818</v>
      </c>
      <c r="BT472" s="90" t="str">
        <f>BJ472</f>
        <v>6C21DS89191-18</v>
      </c>
      <c r="BU472" s="127">
        <f>BK472</f>
        <v>43508</v>
      </c>
      <c r="BV472" s="127">
        <f>BL472</f>
        <v>44239</v>
      </c>
      <c r="BW472" s="90" t="str">
        <f>H472</f>
        <v>NIH</v>
      </c>
      <c r="BX472" s="90" t="str">
        <f>IF(H472="NATIONAL HEMOPHILIA FOUNDATION","Non Federal","Federal")</f>
        <v>Federal</v>
      </c>
      <c r="BY472" s="128">
        <f>BM472</f>
        <v>3254900.0000000005</v>
      </c>
      <c r="BZ472" s="90" t="str">
        <f>IF(LEN(BR472)&gt;0,1,"")</f>
        <v/>
      </c>
      <c r="CA472" s="90" t="str">
        <f>IF(LEN(BR472)&gt;0,"VIRAL HEPATITIS PROJECT","")</f>
        <v/>
      </c>
      <c r="CB472" s="129" t="str">
        <f>IF(LEN(BR472)&gt;0,BM472*0.7,"")</f>
        <v/>
      </c>
      <c r="CC472" s="90">
        <f>BP472</f>
        <v>3417645.0000000005</v>
      </c>
      <c r="CD472" s="90" t="str">
        <f>IF(LEN(BR472)&gt;0,"70%","")</f>
        <v/>
      </c>
      <c r="CE472" s="90">
        <f>BS472</f>
        <v>224818</v>
      </c>
      <c r="CF472" s="90" t="str">
        <f>CA472</f>
        <v/>
      </c>
      <c r="CG472" s="90"/>
      <c r="CH472" s="90"/>
      <c r="CI472" s="90"/>
      <c r="CJ472" s="90"/>
      <c r="CK472" s="90"/>
      <c r="CL472" s="90"/>
      <c r="CM472" s="90"/>
      <c r="CN472" s="90"/>
      <c r="CO472" s="90"/>
      <c r="CP472" s="90"/>
      <c r="CQ472" s="90"/>
      <c r="CR472" s="90"/>
      <c r="CS472" s="90"/>
      <c r="CT472" s="137"/>
    </row>
    <row r="473" spans="1:98" ht="105">
      <c r="A473" s="89">
        <v>224818</v>
      </c>
      <c r="B473" s="90">
        <v>2020</v>
      </c>
      <c r="C473" s="90" t="s">
        <v>81</v>
      </c>
      <c r="D473" s="90" t="s">
        <v>1340</v>
      </c>
      <c r="E473" s="125" t="s">
        <v>780</v>
      </c>
      <c r="F473" s="24" t="s">
        <v>1341</v>
      </c>
      <c r="G473" s="90" t="s">
        <v>85</v>
      </c>
      <c r="H473" s="90" t="s">
        <v>117</v>
      </c>
      <c r="I473" s="90">
        <v>93</v>
      </c>
      <c r="J473" s="90">
        <v>157</v>
      </c>
      <c r="K473" s="90" t="s">
        <v>85</v>
      </c>
      <c r="L473" s="90" t="s">
        <v>1342</v>
      </c>
      <c r="M473" s="90" t="s">
        <v>119</v>
      </c>
      <c r="N473" s="24" t="s">
        <v>1343</v>
      </c>
      <c r="O473" s="24" t="str">
        <f>IF(ISNUMBER(SEARCH("Cancer",N473)),"Cancer",IF(ISNUMBER(SEARCH("health",N473)),"Public health",IF(ISNUMBER(SEARCH("disabilities",N473)),"Disabilities","Other")))</f>
        <v>Public health</v>
      </c>
      <c r="P473" s="126">
        <v>2959000</v>
      </c>
      <c r="Q473" s="90" t="s">
        <v>85</v>
      </c>
      <c r="R473" s="90" t="str">
        <f>IF(P473&gt;20000000,"B","A")</f>
        <v>A</v>
      </c>
      <c r="S473" s="90" t="s">
        <v>90</v>
      </c>
      <c r="T473" s="90" t="s">
        <v>119</v>
      </c>
      <c r="U473" s="90" t="s">
        <v>119</v>
      </c>
      <c r="V473" s="90" t="s">
        <v>119</v>
      </c>
      <c r="W473" s="90" t="s">
        <v>119</v>
      </c>
      <c r="X473" s="90" t="s">
        <v>119</v>
      </c>
      <c r="Y473" s="90" t="s">
        <v>119</v>
      </c>
      <c r="Z473" s="90" t="s">
        <v>119</v>
      </c>
      <c r="AA473" s="90" t="s">
        <v>119</v>
      </c>
      <c r="AB473" s="90" t="s">
        <v>119</v>
      </c>
      <c r="AC473" s="90" t="s">
        <v>119</v>
      </c>
      <c r="AD473" s="90" t="s">
        <v>119</v>
      </c>
      <c r="AE473" s="24">
        <v>0</v>
      </c>
      <c r="AF473" s="90">
        <v>0</v>
      </c>
      <c r="AG473" s="24">
        <v>0</v>
      </c>
      <c r="AH473" s="90">
        <v>90764</v>
      </c>
      <c r="AI473" s="24" t="s">
        <v>102</v>
      </c>
      <c r="AJ473" s="24" t="s">
        <v>1345</v>
      </c>
      <c r="AK473" s="90" t="s">
        <v>85</v>
      </c>
      <c r="AL473" s="90">
        <v>224818</v>
      </c>
      <c r="AM473" s="90" t="s">
        <v>81</v>
      </c>
      <c r="AN473" s="90" t="s">
        <v>1340</v>
      </c>
      <c r="AO473" s="125" t="s">
        <v>780</v>
      </c>
      <c r="AP473" s="24" t="s">
        <v>1343</v>
      </c>
      <c r="AQ473" s="90" t="s">
        <v>1342</v>
      </c>
      <c r="AR473" s="24" t="s">
        <v>1343</v>
      </c>
      <c r="AS473" s="90" t="s">
        <v>119</v>
      </c>
      <c r="AT473" s="24" t="s">
        <v>102</v>
      </c>
      <c r="AU473" s="90" t="s">
        <v>119</v>
      </c>
      <c r="AV473" s="90" t="str">
        <f>IF(ISNUMBER(SEARCH("disagree",AE473)),"N","Y")</f>
        <v>Y</v>
      </c>
      <c r="AW473" s="90" t="s">
        <v>119</v>
      </c>
      <c r="AX473" s="24" t="s">
        <v>119</v>
      </c>
      <c r="AY473" s="90" t="str">
        <f>CONCATENATE(AZ473,BA473,BB473,BC473)</f>
        <v/>
      </c>
      <c r="AZ473" s="90" t="str">
        <f>IF(ISNUMBER(SEARCH("Y",AC473)),"R","")</f>
        <v/>
      </c>
      <c r="BA473" s="90" t="str">
        <f>IF(ISNUMBER(SEARCH("Y",Y473)),"M","")</f>
        <v/>
      </c>
      <c r="BB473" s="90" t="str">
        <f>IF(ISNUMBER(SEARCH("Y",AB473)),"QC","")</f>
        <v/>
      </c>
      <c r="BC473" s="90" t="str">
        <f>IF(ISNUMBER(SEARCH("Y",Z473)),"S","")</f>
        <v/>
      </c>
      <c r="BD473" s="90"/>
      <c r="BE473" s="24" t="s">
        <v>119</v>
      </c>
      <c r="BF473" s="125" t="str">
        <f>IF(AND(AW473&gt;=56543,AW473&lt;=76543,LEN(AW473)&gt;0),"3 Feb 2020",IF(AND(AW473&gt;=66544,AW473&lt;=99999,LEN(AW473)&gt;0),"12 Sep 2020",""))</f>
        <v/>
      </c>
      <c r="BG473" s="125" t="str">
        <f>IF((AND(BF473="3 Feb 2020",LEN(BF473)&gt;0)),"Completed",IF((AND(BF473="12 Sep 2020",LEN(BF473)&gt;0)),"Pending",""))</f>
        <v/>
      </c>
      <c r="BH473" s="90" t="str">
        <f>IF((AND(BF473="3 Feb 2020",LEN(BF473)&gt;0)),"3 Feb 2020","")</f>
        <v/>
      </c>
      <c r="BI473" s="90">
        <v>224818</v>
      </c>
      <c r="BJ473" s="90" t="str">
        <f>L473</f>
        <v>6C21DS89191-18</v>
      </c>
      <c r="BK473" s="127">
        <v>43508</v>
      </c>
      <c r="BL473" s="127">
        <v>44239</v>
      </c>
      <c r="BM473" s="128">
        <f>P473*1.1</f>
        <v>3254900.0000000005</v>
      </c>
      <c r="BN473" s="129">
        <f>P473*0.9</f>
        <v>2663100</v>
      </c>
      <c r="BO473" s="130">
        <f>P473*0.8</f>
        <v>2367200</v>
      </c>
      <c r="BP473" s="90">
        <f>IF(Z473="Y",BM473*0.4,BM473*1.05)</f>
        <v>3417645.0000000005</v>
      </c>
      <c r="BQ473" s="90">
        <f>BP473*0.8</f>
        <v>2734116.0000000005</v>
      </c>
      <c r="BR473" s="90" t="str">
        <f>IF(ISNUMBER(SEARCH("subrecipient",AI469)),P473*0.6,"")</f>
        <v/>
      </c>
      <c r="BS473" s="90">
        <v>224818</v>
      </c>
      <c r="BT473" s="90" t="str">
        <f>BJ473</f>
        <v>6C21DS89191-18</v>
      </c>
      <c r="BU473" s="127">
        <f>BK473</f>
        <v>43508</v>
      </c>
      <c r="BV473" s="127">
        <f>BL473</f>
        <v>44239</v>
      </c>
      <c r="BW473" s="90" t="str">
        <f>H473</f>
        <v>NIH</v>
      </c>
      <c r="BX473" s="90" t="str">
        <f>IF(H473="NATIONAL HEMOPHILIA FOUNDATION","Non Federal","Federal")</f>
        <v>Federal</v>
      </c>
      <c r="BY473" s="128">
        <f>BM473</f>
        <v>3254900.0000000005</v>
      </c>
      <c r="BZ473" s="90" t="str">
        <f>IF(LEN(BR473)&gt;0,1,"")</f>
        <v/>
      </c>
      <c r="CA473" s="90" t="str">
        <f>IF(LEN(BR473)&gt;0,"VIRAL HEPATITIS PROJECT","")</f>
        <v/>
      </c>
      <c r="CB473" s="129" t="str">
        <f>IF(LEN(BR473)&gt;0,BM473*0.7,"")</f>
        <v/>
      </c>
      <c r="CC473" s="90">
        <f>BP473</f>
        <v>3417645.0000000005</v>
      </c>
      <c r="CD473" s="90" t="str">
        <f>IF(LEN(BR473)&gt;0,"70%","")</f>
        <v/>
      </c>
      <c r="CE473" s="90">
        <f>BS473</f>
        <v>224818</v>
      </c>
      <c r="CF473" s="90" t="str">
        <f>CA473</f>
        <v/>
      </c>
      <c r="CG473" s="90"/>
      <c r="CH473" s="90"/>
      <c r="CI473" s="90"/>
      <c r="CJ473" s="90"/>
      <c r="CK473" s="90"/>
      <c r="CL473" s="90"/>
      <c r="CM473" s="90"/>
      <c r="CN473" s="90"/>
      <c r="CO473" s="90"/>
      <c r="CP473" s="90"/>
      <c r="CQ473" s="90"/>
      <c r="CR473" s="90"/>
      <c r="CS473" s="90"/>
      <c r="CT473" s="137"/>
    </row>
    <row r="474" spans="1:98" ht="105">
      <c r="A474" s="89">
        <v>224818</v>
      </c>
      <c r="B474" s="90">
        <v>2020</v>
      </c>
      <c r="C474" s="90" t="s">
        <v>81</v>
      </c>
      <c r="D474" s="90" t="s">
        <v>1340</v>
      </c>
      <c r="E474" s="125" t="s">
        <v>781</v>
      </c>
      <c r="F474" s="24" t="s">
        <v>1341</v>
      </c>
      <c r="G474" s="90" t="s">
        <v>85</v>
      </c>
      <c r="H474" s="90" t="s">
        <v>117</v>
      </c>
      <c r="I474" s="90">
        <v>93</v>
      </c>
      <c r="J474" s="90">
        <v>157</v>
      </c>
      <c r="K474" s="90" t="s">
        <v>85</v>
      </c>
      <c r="L474" s="90" t="s">
        <v>1342</v>
      </c>
      <c r="M474" s="90" t="s">
        <v>119</v>
      </c>
      <c r="N474" s="24" t="s">
        <v>1343</v>
      </c>
      <c r="O474" s="24" t="str">
        <f>IF(ISNUMBER(SEARCH("Cancer",N474)),"Cancer",IF(ISNUMBER(SEARCH("health",N474)),"Public health",IF(ISNUMBER(SEARCH("disabilities",N474)),"Disabilities","Other")))</f>
        <v>Public health</v>
      </c>
      <c r="P474" s="126">
        <v>2959000</v>
      </c>
      <c r="Q474" s="90" t="s">
        <v>85</v>
      </c>
      <c r="R474" s="90" t="str">
        <f>IF(P474&gt;20000000,"B","A")</f>
        <v>A</v>
      </c>
      <c r="S474" s="90" t="s">
        <v>90</v>
      </c>
      <c r="T474" s="90" t="s">
        <v>119</v>
      </c>
      <c r="U474" s="90" t="s">
        <v>119</v>
      </c>
      <c r="V474" s="90" t="s">
        <v>119</v>
      </c>
      <c r="W474" s="90" t="s">
        <v>119</v>
      </c>
      <c r="X474" s="90" t="s">
        <v>119</v>
      </c>
      <c r="Y474" s="90" t="s">
        <v>119</v>
      </c>
      <c r="Z474" s="90" t="s">
        <v>119</v>
      </c>
      <c r="AA474" s="90" t="s">
        <v>119</v>
      </c>
      <c r="AB474" s="90" t="s">
        <v>119</v>
      </c>
      <c r="AC474" s="90" t="s">
        <v>119</v>
      </c>
      <c r="AD474" s="90" t="s">
        <v>119</v>
      </c>
      <c r="AE474" s="24">
        <v>0</v>
      </c>
      <c r="AF474" s="90">
        <v>0</v>
      </c>
      <c r="AG474" s="24">
        <v>0</v>
      </c>
      <c r="AH474" s="90">
        <v>90765</v>
      </c>
      <c r="AI474" s="24" t="s">
        <v>110</v>
      </c>
      <c r="AJ474" s="24" t="s">
        <v>1346</v>
      </c>
      <c r="AK474" s="90" t="s">
        <v>85</v>
      </c>
      <c r="AL474" s="90">
        <v>224818</v>
      </c>
      <c r="AM474" s="90" t="s">
        <v>81</v>
      </c>
      <c r="AN474" s="90" t="s">
        <v>1340</v>
      </c>
      <c r="AO474" s="125" t="s">
        <v>781</v>
      </c>
      <c r="AP474" s="24" t="s">
        <v>1343</v>
      </c>
      <c r="AQ474" s="90" t="s">
        <v>1342</v>
      </c>
      <c r="AR474" s="24" t="s">
        <v>1343</v>
      </c>
      <c r="AS474" s="90" t="s">
        <v>119</v>
      </c>
      <c r="AT474" s="24" t="s">
        <v>110</v>
      </c>
      <c r="AU474" s="90" t="s">
        <v>119</v>
      </c>
      <c r="AV474" s="90" t="str">
        <f>IF(ISNUMBER(SEARCH("disagree",AE474)),"N","Y")</f>
        <v>Y</v>
      </c>
      <c r="AW474" s="90" t="s">
        <v>119</v>
      </c>
      <c r="AX474" s="24" t="s">
        <v>119</v>
      </c>
      <c r="AY474" s="90" t="str">
        <f>CONCATENATE(AZ474,BA474,BB474,BC474)</f>
        <v/>
      </c>
      <c r="AZ474" s="90" t="str">
        <f>IF(ISNUMBER(SEARCH("Y",AC474)),"R","")</f>
        <v/>
      </c>
      <c r="BA474" s="90" t="str">
        <f>IF(ISNUMBER(SEARCH("Y",Y474)),"M","")</f>
        <v/>
      </c>
      <c r="BB474" s="90" t="str">
        <f>IF(ISNUMBER(SEARCH("Y",AB474)),"QC","")</f>
        <v/>
      </c>
      <c r="BC474" s="90" t="str">
        <f>IF(ISNUMBER(SEARCH("Y",Z474)),"S","")</f>
        <v/>
      </c>
      <c r="BD474" s="90"/>
      <c r="BE474" s="24" t="s">
        <v>119</v>
      </c>
      <c r="BF474" s="125" t="str">
        <f>IF(AND(AW474&gt;=56543,AW474&lt;=76543,LEN(AW474)&gt;0),"3 Feb 2020",IF(AND(AW474&gt;=66544,AW474&lt;=99999,LEN(AW474)&gt;0),"12 Sep 2020",""))</f>
        <v/>
      </c>
      <c r="BG474" s="125" t="str">
        <f>IF((AND(BF474="3 Feb 2020",LEN(BF474)&gt;0)),"Completed",IF((AND(BF474="12 Sep 2020",LEN(BF474)&gt;0)),"Pending",""))</f>
        <v/>
      </c>
      <c r="BH474" s="90" t="str">
        <f>IF((AND(BF474="3 Feb 2020",LEN(BF474)&gt;0)),"3 Feb 2020","")</f>
        <v/>
      </c>
      <c r="BI474" s="90">
        <v>224818</v>
      </c>
      <c r="BJ474" s="90" t="str">
        <f>L474</f>
        <v>6C21DS89191-18</v>
      </c>
      <c r="BK474" s="127">
        <v>43508</v>
      </c>
      <c r="BL474" s="127">
        <v>44239</v>
      </c>
      <c r="BM474" s="128">
        <f>P474*1.1</f>
        <v>3254900.0000000005</v>
      </c>
      <c r="BN474" s="129">
        <f>P474*0.9</f>
        <v>2663100</v>
      </c>
      <c r="BO474" s="130">
        <f>P474*0.8</f>
        <v>2367200</v>
      </c>
      <c r="BP474" s="90">
        <f>IF(Z474="Y",BM474*0.4,BM474*1.05)</f>
        <v>3417645.0000000005</v>
      </c>
      <c r="BQ474" s="90">
        <f>BP474*0.8</f>
        <v>2734116.0000000005</v>
      </c>
      <c r="BR474" s="90" t="str">
        <f>IF(ISNUMBER(SEARCH("subrecipient",AI470)),P474*0.6,"")</f>
        <v/>
      </c>
      <c r="BS474" s="90">
        <v>224818</v>
      </c>
      <c r="BT474" s="90" t="str">
        <f>BJ474</f>
        <v>6C21DS89191-18</v>
      </c>
      <c r="BU474" s="127">
        <f>BK474</f>
        <v>43508</v>
      </c>
      <c r="BV474" s="127">
        <f>BL474</f>
        <v>44239</v>
      </c>
      <c r="BW474" s="90" t="str">
        <f>H474</f>
        <v>NIH</v>
      </c>
      <c r="BX474" s="90" t="str">
        <f>IF(H474="NATIONAL HEMOPHILIA FOUNDATION","Non Federal","Federal")</f>
        <v>Federal</v>
      </c>
      <c r="BY474" s="128">
        <f>BM474</f>
        <v>3254900.0000000005</v>
      </c>
      <c r="BZ474" s="90" t="str">
        <f>IF(LEN(BR474)&gt;0,1,"")</f>
        <v/>
      </c>
      <c r="CA474" s="90" t="str">
        <f>IF(LEN(BR474)&gt;0,"VIRAL HEPATITIS PROJECT","")</f>
        <v/>
      </c>
      <c r="CB474" s="129" t="str">
        <f>IF(LEN(BR474)&gt;0,BM474*0.7,"")</f>
        <v/>
      </c>
      <c r="CC474" s="90">
        <f>BP474</f>
        <v>3417645.0000000005</v>
      </c>
      <c r="CD474" s="90" t="str">
        <f>IF(LEN(BR474)&gt;0,"70%","")</f>
        <v/>
      </c>
      <c r="CE474" s="90">
        <f>BS474</f>
        <v>224818</v>
      </c>
      <c r="CF474" s="90" t="str">
        <f>CA474</f>
        <v/>
      </c>
      <c r="CG474" s="90"/>
      <c r="CH474" s="90"/>
      <c r="CI474" s="90"/>
      <c r="CJ474" s="90"/>
      <c r="CK474" s="90"/>
      <c r="CL474" s="90"/>
      <c r="CM474" s="90"/>
      <c r="CN474" s="90"/>
      <c r="CO474" s="90"/>
      <c r="CP474" s="90"/>
      <c r="CQ474" s="90"/>
      <c r="CR474" s="90"/>
      <c r="CS474" s="90"/>
      <c r="CT474" s="137"/>
    </row>
    <row r="475" spans="1:98" ht="90">
      <c r="A475" s="89">
        <v>224851</v>
      </c>
      <c r="B475" s="90">
        <v>2020</v>
      </c>
      <c r="C475" s="90" t="s">
        <v>81</v>
      </c>
      <c r="D475" s="90" t="s">
        <v>1347</v>
      </c>
      <c r="E475" s="125" t="s">
        <v>784</v>
      </c>
      <c r="F475" s="24" t="s">
        <v>1348</v>
      </c>
      <c r="G475" s="90" t="s">
        <v>85</v>
      </c>
      <c r="H475" s="90" t="s">
        <v>132</v>
      </c>
      <c r="I475" s="90">
        <v>93</v>
      </c>
      <c r="J475" s="90">
        <v>157</v>
      </c>
      <c r="K475" s="90" t="s">
        <v>85</v>
      </c>
      <c r="L475" s="90" t="s">
        <v>1349</v>
      </c>
      <c r="M475" s="90" t="s">
        <v>119</v>
      </c>
      <c r="N475" s="24" t="s">
        <v>243</v>
      </c>
      <c r="O475" s="24" t="str">
        <f>IF(ISNUMBER(SEARCH("Cancer",N475)),"Cancer",IF(ISNUMBER(SEARCH("health",N475)),"Public health",IF(ISNUMBER(SEARCH("disabilities",N475)),"Disabilities","Other")))</f>
        <v>Other</v>
      </c>
      <c r="P475" s="126">
        <v>2004200</v>
      </c>
      <c r="Q475" s="90" t="s">
        <v>85</v>
      </c>
      <c r="R475" s="90" t="str">
        <f>IF(P475&gt;20000000,"B","A")</f>
        <v>A</v>
      </c>
      <c r="S475" s="90" t="s">
        <v>90</v>
      </c>
      <c r="T475" s="90" t="s">
        <v>119</v>
      </c>
      <c r="U475" s="90" t="s">
        <v>119</v>
      </c>
      <c r="V475" s="90" t="s">
        <v>119</v>
      </c>
      <c r="W475" s="90" t="s">
        <v>119</v>
      </c>
      <c r="X475" s="90" t="s">
        <v>119</v>
      </c>
      <c r="Y475" s="90" t="s">
        <v>119</v>
      </c>
      <c r="Z475" s="90" t="s">
        <v>119</v>
      </c>
      <c r="AA475" s="90" t="s">
        <v>119</v>
      </c>
      <c r="AB475" s="90" t="s">
        <v>119</v>
      </c>
      <c r="AC475" s="90" t="s">
        <v>119</v>
      </c>
      <c r="AD475" s="90" t="s">
        <v>119</v>
      </c>
      <c r="AE475" s="24">
        <v>0</v>
      </c>
      <c r="AF475" s="90">
        <v>0</v>
      </c>
      <c r="AG475" s="24">
        <v>0</v>
      </c>
      <c r="AH475" s="90">
        <v>89406</v>
      </c>
      <c r="AI475" s="24" t="s">
        <v>94</v>
      </c>
      <c r="AJ475" s="24" t="s">
        <v>700</v>
      </c>
      <c r="AK475" s="90" t="s">
        <v>85</v>
      </c>
      <c r="AL475" s="90">
        <v>224851</v>
      </c>
      <c r="AM475" s="90" t="s">
        <v>81</v>
      </c>
      <c r="AN475" s="90" t="s">
        <v>1347</v>
      </c>
      <c r="AO475" s="125" t="s">
        <v>784</v>
      </c>
      <c r="AP475" s="24" t="s">
        <v>243</v>
      </c>
      <c r="AQ475" s="90" t="s">
        <v>1349</v>
      </c>
      <c r="AR475" s="24" t="s">
        <v>243</v>
      </c>
      <c r="AS475" s="90" t="s">
        <v>119</v>
      </c>
      <c r="AT475" s="24" t="s">
        <v>94</v>
      </c>
      <c r="AU475" s="90" t="s">
        <v>119</v>
      </c>
      <c r="AV475" s="90" t="str">
        <f>IF(ISNUMBER(SEARCH("disagree",AE475)),"N","Y")</f>
        <v>Y</v>
      </c>
      <c r="AW475" s="90" t="s">
        <v>119</v>
      </c>
      <c r="AX475" s="24" t="s">
        <v>119</v>
      </c>
      <c r="AY475" s="90" t="str">
        <f>CONCATENATE(AZ475,BA475,BB475,BC475)</f>
        <v/>
      </c>
      <c r="AZ475" s="90" t="str">
        <f>IF(ISNUMBER(SEARCH("Y",AC475)),"R","")</f>
        <v/>
      </c>
      <c r="BA475" s="90" t="str">
        <f>IF(ISNUMBER(SEARCH("Y",Y475)),"M","")</f>
        <v/>
      </c>
      <c r="BB475" s="90" t="str">
        <f>IF(ISNUMBER(SEARCH("Y",AB475)),"QC","")</f>
        <v/>
      </c>
      <c r="BC475" s="90" t="str">
        <f>IF(ISNUMBER(SEARCH("Y",Z475)),"S","")</f>
        <v/>
      </c>
      <c r="BD475" s="90"/>
      <c r="BE475" s="24" t="s">
        <v>119</v>
      </c>
      <c r="BF475" s="125" t="str">
        <f>IF(AND(AW475&gt;=56543,AW475&lt;=76543,LEN(AW475)&gt;0),"3 Feb 2020",IF(AND(AW475&gt;=66544,AW475&lt;=99999,LEN(AW475)&gt;0),"12 Sep 2020",""))</f>
        <v/>
      </c>
      <c r="BG475" s="125" t="str">
        <f>IF((AND(BF475="3 Feb 2020",LEN(BF475)&gt;0)),"Completed",IF((AND(BF475="12 Sep 2020",LEN(BF475)&gt;0)),"Pending",""))</f>
        <v/>
      </c>
      <c r="BH475" s="90" t="str">
        <f>IF((AND(BF475="3 Feb 2020",LEN(BF475)&gt;0)),"3 Feb 2020","")</f>
        <v/>
      </c>
      <c r="BI475" s="90">
        <v>224851</v>
      </c>
      <c r="BJ475" s="90" t="str">
        <f>L475</f>
        <v>8B58HR90763-12</v>
      </c>
      <c r="BK475" s="127">
        <v>43508</v>
      </c>
      <c r="BL475" s="127">
        <v>44239</v>
      </c>
      <c r="BM475" s="128">
        <f>P475*1.1</f>
        <v>2204620</v>
      </c>
      <c r="BN475" s="129">
        <f>P475*0.9</f>
        <v>1803780</v>
      </c>
      <c r="BO475" s="130">
        <f>P475*0.8</f>
        <v>1603360</v>
      </c>
      <c r="BP475" s="90">
        <f>IF(Z475="Y",BM475*0.4,BM475*1.05)</f>
        <v>2314851</v>
      </c>
      <c r="BQ475" s="90">
        <f>BP475*0.8</f>
        <v>1851880.8</v>
      </c>
      <c r="BR475" s="90" t="str">
        <f>IF(ISNUMBER(SEARCH("subrecipient",AI471)),P475*0.6,"")</f>
        <v/>
      </c>
      <c r="BS475" s="90">
        <v>224851</v>
      </c>
      <c r="BT475" s="90" t="str">
        <f>BJ475</f>
        <v>8B58HR90763-12</v>
      </c>
      <c r="BU475" s="127">
        <f>BK475</f>
        <v>43508</v>
      </c>
      <c r="BV475" s="127">
        <f>BL475</f>
        <v>44239</v>
      </c>
      <c r="BW475" s="90" t="str">
        <f>H475</f>
        <v>FDA</v>
      </c>
      <c r="BX475" s="90" t="str">
        <f>IF(H475="NATIONAL HEMOPHILIA FOUNDATION","Non Federal","Federal")</f>
        <v>Federal</v>
      </c>
      <c r="BY475" s="128">
        <f>BM475</f>
        <v>2204620</v>
      </c>
      <c r="BZ475" s="90" t="str">
        <f>IF(LEN(BR475)&gt;0,1,"")</f>
        <v/>
      </c>
      <c r="CA475" s="90" t="str">
        <f>IF(LEN(BR475)&gt;0,"VIRAL HEPATITIS PROJECT","")</f>
        <v/>
      </c>
      <c r="CB475" s="129" t="str">
        <f>IF(LEN(BR475)&gt;0,BM475*0.7,"")</f>
        <v/>
      </c>
      <c r="CC475" s="90">
        <f>BP475</f>
        <v>2314851</v>
      </c>
      <c r="CD475" s="90" t="str">
        <f>IF(LEN(BR475)&gt;0,"70%","")</f>
        <v/>
      </c>
      <c r="CE475" s="90">
        <f>BS475</f>
        <v>224851</v>
      </c>
      <c r="CF475" s="90" t="str">
        <f>CA475</f>
        <v/>
      </c>
      <c r="CG475" s="90"/>
      <c r="CH475" s="90"/>
      <c r="CI475" s="90"/>
      <c r="CJ475" s="90"/>
      <c r="CK475" s="90"/>
      <c r="CL475" s="90"/>
      <c r="CM475" s="90"/>
      <c r="CN475" s="90"/>
      <c r="CO475" s="90"/>
      <c r="CP475" s="90"/>
      <c r="CQ475" s="90"/>
      <c r="CR475" s="90"/>
      <c r="CS475" s="90"/>
      <c r="CT475" s="137"/>
    </row>
    <row r="476" spans="1:98" ht="90">
      <c r="A476" s="89">
        <v>224851</v>
      </c>
      <c r="B476" s="90">
        <v>2020</v>
      </c>
      <c r="C476" s="90" t="s">
        <v>81</v>
      </c>
      <c r="D476" s="90" t="s">
        <v>1347</v>
      </c>
      <c r="E476" s="125" t="s">
        <v>790</v>
      </c>
      <c r="F476" s="24" t="s">
        <v>1348</v>
      </c>
      <c r="G476" s="90" t="s">
        <v>85</v>
      </c>
      <c r="H476" s="90" t="s">
        <v>132</v>
      </c>
      <c r="I476" s="90">
        <v>93</v>
      </c>
      <c r="J476" s="90">
        <v>157</v>
      </c>
      <c r="K476" s="90" t="s">
        <v>85</v>
      </c>
      <c r="L476" s="90" t="s">
        <v>1349</v>
      </c>
      <c r="M476" s="90" t="s">
        <v>119</v>
      </c>
      <c r="N476" s="24" t="s">
        <v>243</v>
      </c>
      <c r="O476" s="24" t="str">
        <f>IF(ISNUMBER(SEARCH("Cancer",N476)),"Cancer",IF(ISNUMBER(SEARCH("health",N476)),"Public health",IF(ISNUMBER(SEARCH("disabilities",N476)),"Disabilities","Other")))</f>
        <v>Other</v>
      </c>
      <c r="P476" s="126">
        <v>2004200</v>
      </c>
      <c r="Q476" s="90" t="s">
        <v>85</v>
      </c>
      <c r="R476" s="90" t="str">
        <f>IF(P476&gt;20000000,"B","A")</f>
        <v>A</v>
      </c>
      <c r="S476" s="90" t="s">
        <v>90</v>
      </c>
      <c r="T476" s="90" t="s">
        <v>119</v>
      </c>
      <c r="U476" s="90" t="s">
        <v>119</v>
      </c>
      <c r="V476" s="90" t="s">
        <v>119</v>
      </c>
      <c r="W476" s="90" t="s">
        <v>119</v>
      </c>
      <c r="X476" s="90" t="s">
        <v>119</v>
      </c>
      <c r="Y476" s="90" t="s">
        <v>119</v>
      </c>
      <c r="Z476" s="90" t="s">
        <v>119</v>
      </c>
      <c r="AA476" s="90" t="s">
        <v>119</v>
      </c>
      <c r="AB476" s="90" t="s">
        <v>119</v>
      </c>
      <c r="AC476" s="90" t="s">
        <v>119</v>
      </c>
      <c r="AD476" s="90" t="s">
        <v>119</v>
      </c>
      <c r="AE476" s="24">
        <v>0</v>
      </c>
      <c r="AF476" s="90">
        <v>0</v>
      </c>
      <c r="AG476" s="24">
        <v>0</v>
      </c>
      <c r="AH476" s="90">
        <v>89407</v>
      </c>
      <c r="AI476" s="24" t="s">
        <v>102</v>
      </c>
      <c r="AJ476" s="24" t="s">
        <v>103</v>
      </c>
      <c r="AK476" s="90" t="s">
        <v>85</v>
      </c>
      <c r="AL476" s="90">
        <v>224851</v>
      </c>
      <c r="AM476" s="90" t="s">
        <v>81</v>
      </c>
      <c r="AN476" s="90" t="s">
        <v>1347</v>
      </c>
      <c r="AO476" s="125" t="s">
        <v>790</v>
      </c>
      <c r="AP476" s="24" t="s">
        <v>243</v>
      </c>
      <c r="AQ476" s="90" t="s">
        <v>1349</v>
      </c>
      <c r="AR476" s="24" t="s">
        <v>243</v>
      </c>
      <c r="AS476" s="90" t="s">
        <v>119</v>
      </c>
      <c r="AT476" s="24" t="s">
        <v>102</v>
      </c>
      <c r="AU476" s="90" t="s">
        <v>119</v>
      </c>
      <c r="AV476" s="90" t="str">
        <f>IF(ISNUMBER(SEARCH("disagree",AE476)),"N","Y")</f>
        <v>Y</v>
      </c>
      <c r="AW476" s="90" t="s">
        <v>119</v>
      </c>
      <c r="AX476" s="24" t="s">
        <v>119</v>
      </c>
      <c r="AY476" s="90" t="str">
        <f>CONCATENATE(AZ476,BA476,BB476,BC476)</f>
        <v/>
      </c>
      <c r="AZ476" s="90" t="str">
        <f>IF(ISNUMBER(SEARCH("Y",AC476)),"R","")</f>
        <v/>
      </c>
      <c r="BA476" s="90" t="str">
        <f>IF(ISNUMBER(SEARCH("Y",Y476)),"M","")</f>
        <v/>
      </c>
      <c r="BB476" s="90" t="str">
        <f>IF(ISNUMBER(SEARCH("Y",AB476)),"QC","")</f>
        <v/>
      </c>
      <c r="BC476" s="90" t="str">
        <f>IF(ISNUMBER(SEARCH("Y",Z476)),"S","")</f>
        <v/>
      </c>
      <c r="BD476" s="90"/>
      <c r="BE476" s="24" t="s">
        <v>119</v>
      </c>
      <c r="BF476" s="125" t="str">
        <f>IF(AND(AW476&gt;=56543,AW476&lt;=76543,LEN(AW476)&gt;0),"3 Feb 2020",IF(AND(AW476&gt;=66544,AW476&lt;=99999,LEN(AW476)&gt;0),"12 Sep 2020",""))</f>
        <v/>
      </c>
      <c r="BG476" s="125" t="str">
        <f>IF((AND(BF476="3 Feb 2020",LEN(BF476)&gt;0)),"Completed",IF((AND(BF476="12 Sep 2020",LEN(BF476)&gt;0)),"Pending",""))</f>
        <v/>
      </c>
      <c r="BH476" s="90" t="str">
        <f>IF((AND(BF476="3 Feb 2020",LEN(BF476)&gt;0)),"3 Feb 2020","")</f>
        <v/>
      </c>
      <c r="BI476" s="90">
        <v>224851</v>
      </c>
      <c r="BJ476" s="90" t="str">
        <f>L476</f>
        <v>8B58HR90763-12</v>
      </c>
      <c r="BK476" s="127">
        <v>43508</v>
      </c>
      <c r="BL476" s="127">
        <v>44239</v>
      </c>
      <c r="BM476" s="128">
        <f>P476*1.1</f>
        <v>2204620</v>
      </c>
      <c r="BN476" s="129">
        <f>P476*0.9</f>
        <v>1803780</v>
      </c>
      <c r="BO476" s="130">
        <f>P476*0.8</f>
        <v>1603360</v>
      </c>
      <c r="BP476" s="90">
        <f>IF(Z476="Y",BM476*0.4,BM476*1.05)</f>
        <v>2314851</v>
      </c>
      <c r="BQ476" s="90">
        <f>BP476*0.8</f>
        <v>1851880.8</v>
      </c>
      <c r="BR476" s="90" t="str">
        <f>IF(ISNUMBER(SEARCH("subrecipient",AI472)),P476*0.6,"")</f>
        <v/>
      </c>
      <c r="BS476" s="90">
        <v>224851</v>
      </c>
      <c r="BT476" s="90" t="str">
        <f>BJ476</f>
        <v>8B58HR90763-12</v>
      </c>
      <c r="BU476" s="127">
        <f>BK476</f>
        <v>43508</v>
      </c>
      <c r="BV476" s="127">
        <f>BL476</f>
        <v>44239</v>
      </c>
      <c r="BW476" s="90" t="str">
        <f>H476</f>
        <v>FDA</v>
      </c>
      <c r="BX476" s="90" t="str">
        <f>IF(H476="NATIONAL HEMOPHILIA FOUNDATION","Non Federal","Federal")</f>
        <v>Federal</v>
      </c>
      <c r="BY476" s="128">
        <f>BM476</f>
        <v>2204620</v>
      </c>
      <c r="BZ476" s="90" t="str">
        <f>IF(LEN(BR476)&gt;0,1,"")</f>
        <v/>
      </c>
      <c r="CA476" s="90" t="str">
        <f>IF(LEN(BR476)&gt;0,"VIRAL HEPATITIS PROJECT","")</f>
        <v/>
      </c>
      <c r="CB476" s="129" t="str">
        <f>IF(LEN(BR476)&gt;0,BM476*0.7,"")</f>
        <v/>
      </c>
      <c r="CC476" s="90">
        <f>BP476</f>
        <v>2314851</v>
      </c>
      <c r="CD476" s="90" t="str">
        <f>IF(LEN(BR476)&gt;0,"70%","")</f>
        <v/>
      </c>
      <c r="CE476" s="90">
        <f>BS476</f>
        <v>224851</v>
      </c>
      <c r="CF476" s="90" t="str">
        <f>CA476</f>
        <v/>
      </c>
      <c r="CG476" s="90"/>
      <c r="CH476" s="90"/>
      <c r="CI476" s="90"/>
      <c r="CJ476" s="90"/>
      <c r="CK476" s="90"/>
      <c r="CL476" s="90"/>
      <c r="CM476" s="90"/>
      <c r="CN476" s="90"/>
      <c r="CO476" s="90"/>
      <c r="CP476" s="90"/>
      <c r="CQ476" s="90"/>
      <c r="CR476" s="90"/>
      <c r="CS476" s="90"/>
      <c r="CT476" s="137"/>
    </row>
    <row r="477" spans="1:98" ht="90">
      <c r="A477" s="89">
        <v>224851</v>
      </c>
      <c r="B477" s="90">
        <v>2020</v>
      </c>
      <c r="C477" s="90" t="s">
        <v>81</v>
      </c>
      <c r="D477" s="90" t="s">
        <v>1347</v>
      </c>
      <c r="E477" s="125" t="s">
        <v>791</v>
      </c>
      <c r="F477" s="24" t="s">
        <v>1348</v>
      </c>
      <c r="G477" s="90" t="s">
        <v>85</v>
      </c>
      <c r="H477" s="90" t="s">
        <v>132</v>
      </c>
      <c r="I477" s="90">
        <v>93</v>
      </c>
      <c r="J477" s="90">
        <v>157</v>
      </c>
      <c r="K477" s="90" t="s">
        <v>85</v>
      </c>
      <c r="L477" s="90" t="s">
        <v>1349</v>
      </c>
      <c r="M477" s="90" t="s">
        <v>119</v>
      </c>
      <c r="N477" s="24" t="s">
        <v>243</v>
      </c>
      <c r="O477" s="24" t="str">
        <f>IF(ISNUMBER(SEARCH("Cancer",N477)),"Cancer",IF(ISNUMBER(SEARCH("health",N477)),"Public health",IF(ISNUMBER(SEARCH("disabilities",N477)),"Disabilities","Other")))</f>
        <v>Other</v>
      </c>
      <c r="P477" s="126">
        <v>2004200</v>
      </c>
      <c r="Q477" s="90" t="s">
        <v>85</v>
      </c>
      <c r="R477" s="90" t="str">
        <f>IF(P477&gt;20000000,"B","A")</f>
        <v>A</v>
      </c>
      <c r="S477" s="90" t="s">
        <v>90</v>
      </c>
      <c r="T477" s="90" t="s">
        <v>119</v>
      </c>
      <c r="U477" s="90" t="s">
        <v>119</v>
      </c>
      <c r="V477" s="90" t="s">
        <v>119</v>
      </c>
      <c r="W477" s="90" t="s">
        <v>119</v>
      </c>
      <c r="X477" s="90" t="s">
        <v>119</v>
      </c>
      <c r="Y477" s="90" t="s">
        <v>119</v>
      </c>
      <c r="Z477" s="90" t="s">
        <v>119</v>
      </c>
      <c r="AA477" s="90" t="s">
        <v>119</v>
      </c>
      <c r="AB477" s="90" t="s">
        <v>119</v>
      </c>
      <c r="AC477" s="90" t="s">
        <v>119</v>
      </c>
      <c r="AD477" s="90" t="s">
        <v>119</v>
      </c>
      <c r="AE477" s="24">
        <v>0</v>
      </c>
      <c r="AF477" s="90">
        <v>0</v>
      </c>
      <c r="AG477" s="24">
        <v>0</v>
      </c>
      <c r="AH477" s="90">
        <v>89408</v>
      </c>
      <c r="AI477" s="24" t="s">
        <v>110</v>
      </c>
      <c r="AJ477" s="24" t="s">
        <v>1350</v>
      </c>
      <c r="AK477" s="90" t="s">
        <v>85</v>
      </c>
      <c r="AL477" s="90">
        <v>224851</v>
      </c>
      <c r="AM477" s="90" t="s">
        <v>81</v>
      </c>
      <c r="AN477" s="90" t="s">
        <v>1347</v>
      </c>
      <c r="AO477" s="125" t="s">
        <v>791</v>
      </c>
      <c r="AP477" s="24" t="s">
        <v>243</v>
      </c>
      <c r="AQ477" s="90" t="s">
        <v>1349</v>
      </c>
      <c r="AR477" s="24" t="s">
        <v>243</v>
      </c>
      <c r="AS477" s="90" t="s">
        <v>119</v>
      </c>
      <c r="AT477" s="24" t="s">
        <v>110</v>
      </c>
      <c r="AU477" s="90" t="s">
        <v>119</v>
      </c>
      <c r="AV477" s="90" t="str">
        <f>IF(ISNUMBER(SEARCH("disagree",AE477)),"N","Y")</f>
        <v>Y</v>
      </c>
      <c r="AW477" s="90" t="s">
        <v>119</v>
      </c>
      <c r="AX477" s="24" t="s">
        <v>119</v>
      </c>
      <c r="AY477" s="90" t="str">
        <f>CONCATENATE(AZ477,BA477,BB477,BC477)</f>
        <v/>
      </c>
      <c r="AZ477" s="90" t="str">
        <f>IF(ISNUMBER(SEARCH("Y",AC477)),"R","")</f>
        <v/>
      </c>
      <c r="BA477" s="90" t="str">
        <f>IF(ISNUMBER(SEARCH("Y",Y477)),"M","")</f>
        <v/>
      </c>
      <c r="BB477" s="90" t="str">
        <f>IF(ISNUMBER(SEARCH("Y",AB477)),"QC","")</f>
        <v/>
      </c>
      <c r="BC477" s="90" t="str">
        <f>IF(ISNUMBER(SEARCH("Y",Z477)),"S","")</f>
        <v/>
      </c>
      <c r="BD477" s="90"/>
      <c r="BE477" s="24" t="s">
        <v>119</v>
      </c>
      <c r="BF477" s="125" t="str">
        <f>IF(AND(AW477&gt;=56543,AW477&lt;=76543,LEN(AW477)&gt;0),"3 Feb 2020",IF(AND(AW477&gt;=66544,AW477&lt;=99999,LEN(AW477)&gt;0),"12 Sep 2020",""))</f>
        <v/>
      </c>
      <c r="BG477" s="125" t="str">
        <f>IF((AND(BF477="3 Feb 2020",LEN(BF477)&gt;0)),"Completed",IF((AND(BF477="12 Sep 2020",LEN(BF477)&gt;0)),"Pending",""))</f>
        <v/>
      </c>
      <c r="BH477" s="90" t="str">
        <f>IF((AND(BF477="3 Feb 2020",LEN(BF477)&gt;0)),"3 Feb 2020","")</f>
        <v/>
      </c>
      <c r="BI477" s="90">
        <v>224851</v>
      </c>
      <c r="BJ477" s="90" t="str">
        <f>L477</f>
        <v>8B58HR90763-12</v>
      </c>
      <c r="BK477" s="127">
        <v>43508</v>
      </c>
      <c r="BL477" s="127">
        <v>44239</v>
      </c>
      <c r="BM477" s="128">
        <f>P477*1.1</f>
        <v>2204620</v>
      </c>
      <c r="BN477" s="129">
        <f>P477*0.9</f>
        <v>1803780</v>
      </c>
      <c r="BO477" s="130">
        <f>P477*0.8</f>
        <v>1603360</v>
      </c>
      <c r="BP477" s="90">
        <f>IF(Z477="Y",BM477*0.4,BM477*1.05)</f>
        <v>2314851</v>
      </c>
      <c r="BQ477" s="90">
        <f>BP477*0.8</f>
        <v>1851880.8</v>
      </c>
      <c r="BR477" s="90" t="str">
        <f>IF(ISNUMBER(SEARCH("subrecipient",AI473)),P477*0.6,"")</f>
        <v/>
      </c>
      <c r="BS477" s="90">
        <v>224851</v>
      </c>
      <c r="BT477" s="90" t="str">
        <f>BJ477</f>
        <v>8B58HR90763-12</v>
      </c>
      <c r="BU477" s="127">
        <f>BK477</f>
        <v>43508</v>
      </c>
      <c r="BV477" s="127">
        <f>BL477</f>
        <v>44239</v>
      </c>
      <c r="BW477" s="90" t="str">
        <f>H477</f>
        <v>FDA</v>
      </c>
      <c r="BX477" s="90" t="str">
        <f>IF(H477="NATIONAL HEMOPHILIA FOUNDATION","Non Federal","Federal")</f>
        <v>Federal</v>
      </c>
      <c r="BY477" s="128">
        <f>BM477</f>
        <v>2204620</v>
      </c>
      <c r="BZ477" s="90" t="str">
        <f>IF(LEN(BR477)&gt;0,1,"")</f>
        <v/>
      </c>
      <c r="CA477" s="90" t="str">
        <f>IF(LEN(BR477)&gt;0,"VIRAL HEPATITIS PROJECT","")</f>
        <v/>
      </c>
      <c r="CB477" s="129" t="str">
        <f>IF(LEN(BR477)&gt;0,BM477*0.7,"")</f>
        <v/>
      </c>
      <c r="CC477" s="90">
        <f>BP477</f>
        <v>2314851</v>
      </c>
      <c r="CD477" s="90" t="str">
        <f>IF(LEN(BR477)&gt;0,"70%","")</f>
        <v/>
      </c>
      <c r="CE477" s="90">
        <f>BS477</f>
        <v>224851</v>
      </c>
      <c r="CF477" s="90" t="str">
        <f>CA477</f>
        <v/>
      </c>
      <c r="CG477" s="90"/>
      <c r="CH477" s="90"/>
      <c r="CI477" s="90"/>
      <c r="CJ477" s="90"/>
      <c r="CK477" s="90"/>
      <c r="CL477" s="90"/>
      <c r="CM477" s="90"/>
      <c r="CN477" s="90"/>
      <c r="CO477" s="90"/>
      <c r="CP477" s="90"/>
      <c r="CQ477" s="90"/>
      <c r="CR477" s="90"/>
      <c r="CS477" s="90"/>
      <c r="CT477" s="137"/>
    </row>
    <row r="478" spans="1:98" ht="105">
      <c r="A478" s="89">
        <v>225477</v>
      </c>
      <c r="B478" s="90">
        <v>2020</v>
      </c>
      <c r="C478" s="90" t="s">
        <v>81</v>
      </c>
      <c r="D478" s="90" t="s">
        <v>1351</v>
      </c>
      <c r="E478" s="125" t="s">
        <v>793</v>
      </c>
      <c r="F478" s="24" t="s">
        <v>1352</v>
      </c>
      <c r="G478" s="90" t="s">
        <v>85</v>
      </c>
      <c r="H478" s="90" t="s">
        <v>150</v>
      </c>
      <c r="I478" s="90">
        <v>93</v>
      </c>
      <c r="J478" s="90">
        <v>157</v>
      </c>
      <c r="K478" s="90" t="s">
        <v>85</v>
      </c>
      <c r="L478" s="90" t="s">
        <v>1353</v>
      </c>
      <c r="M478" s="90" t="s">
        <v>119</v>
      </c>
      <c r="N478" s="24" t="s">
        <v>1354</v>
      </c>
      <c r="O478" s="24" t="str">
        <f>IF(ISNUMBER(SEARCH("Cancer",N478)),"Cancer",IF(ISNUMBER(SEARCH("health",N478)),"Public health",IF(ISNUMBER(SEARCH("disabilities",N478)),"Disabilities","Other")))</f>
        <v>Other</v>
      </c>
      <c r="P478" s="126">
        <v>2687163</v>
      </c>
      <c r="Q478" s="90" t="s">
        <v>85</v>
      </c>
      <c r="R478" s="90" t="str">
        <f>IF(P478&gt;20000000,"B","A")</f>
        <v>A</v>
      </c>
      <c r="S478" s="90" t="s">
        <v>90</v>
      </c>
      <c r="T478" s="90" t="s">
        <v>119</v>
      </c>
      <c r="U478" s="90" t="s">
        <v>119</v>
      </c>
      <c r="V478" s="90" t="s">
        <v>119</v>
      </c>
      <c r="W478" s="90" t="s">
        <v>119</v>
      </c>
      <c r="X478" s="90" t="s">
        <v>119</v>
      </c>
      <c r="Y478" s="90" t="s">
        <v>119</v>
      </c>
      <c r="Z478" s="90" t="s">
        <v>119</v>
      </c>
      <c r="AA478" s="90" t="s">
        <v>119</v>
      </c>
      <c r="AB478" s="90" t="s">
        <v>119</v>
      </c>
      <c r="AC478" s="90" t="s">
        <v>119</v>
      </c>
      <c r="AD478" s="90" t="s">
        <v>119</v>
      </c>
      <c r="AE478" s="24">
        <v>0</v>
      </c>
      <c r="AF478" s="90">
        <v>0</v>
      </c>
      <c r="AG478" s="24">
        <v>0</v>
      </c>
      <c r="AH478" s="90">
        <v>88284</v>
      </c>
      <c r="AI478" s="24" t="s">
        <v>94</v>
      </c>
      <c r="AJ478" s="24" t="s">
        <v>95</v>
      </c>
      <c r="AK478" s="90" t="s">
        <v>85</v>
      </c>
      <c r="AL478" s="90">
        <v>225477</v>
      </c>
      <c r="AM478" s="90" t="s">
        <v>81</v>
      </c>
      <c r="AN478" s="90" t="s">
        <v>1351</v>
      </c>
      <c r="AO478" s="125" t="s">
        <v>793</v>
      </c>
      <c r="AP478" s="24" t="s">
        <v>1354</v>
      </c>
      <c r="AQ478" s="90" t="s">
        <v>1353</v>
      </c>
      <c r="AR478" s="24" t="s">
        <v>1354</v>
      </c>
      <c r="AS478" s="90" t="s">
        <v>119</v>
      </c>
      <c r="AT478" s="24" t="s">
        <v>94</v>
      </c>
      <c r="AU478" s="90" t="s">
        <v>119</v>
      </c>
      <c r="AV478" s="90" t="str">
        <f>IF(ISNUMBER(SEARCH("disagree",AE478)),"N","Y")</f>
        <v>Y</v>
      </c>
      <c r="AW478" s="90" t="s">
        <v>119</v>
      </c>
      <c r="AX478" s="24" t="s">
        <v>119</v>
      </c>
      <c r="AY478" s="90" t="str">
        <f>CONCATENATE(AZ478,BA478,BB478,BC478)</f>
        <v/>
      </c>
      <c r="AZ478" s="90" t="str">
        <f>IF(ISNUMBER(SEARCH("Y",AC478)),"R","")</f>
        <v/>
      </c>
      <c r="BA478" s="90" t="str">
        <f>IF(ISNUMBER(SEARCH("Y",Y478)),"M","")</f>
        <v/>
      </c>
      <c r="BB478" s="90" t="str">
        <f>IF(ISNUMBER(SEARCH("Y",AB478)),"QC","")</f>
        <v/>
      </c>
      <c r="BC478" s="90" t="str">
        <f>IF(ISNUMBER(SEARCH("Y",Z478)),"S","")</f>
        <v/>
      </c>
      <c r="BD478" s="90"/>
      <c r="BE478" s="24" t="s">
        <v>119</v>
      </c>
      <c r="BF478" s="125" t="str">
        <f>IF(AND(AW478&gt;=56543,AW478&lt;=76543,LEN(AW478)&gt;0),"3 Feb 2020",IF(AND(AW478&gt;=66544,AW478&lt;=99999,LEN(AW478)&gt;0),"12 Sep 2020",""))</f>
        <v/>
      </c>
      <c r="BG478" s="125" t="str">
        <f>IF((AND(BF478="3 Feb 2020",LEN(BF478)&gt;0)),"Completed",IF((AND(BF478="12 Sep 2020",LEN(BF478)&gt;0)),"Pending",""))</f>
        <v/>
      </c>
      <c r="BH478" s="90" t="str">
        <f>IF((AND(BF478="3 Feb 2020",LEN(BF478)&gt;0)),"3 Feb 2020","")</f>
        <v/>
      </c>
      <c r="BI478" s="90">
        <v>225477</v>
      </c>
      <c r="BJ478" s="90" t="str">
        <f>L478</f>
        <v>1B91FR89406-50</v>
      </c>
      <c r="BK478" s="127">
        <v>43508</v>
      </c>
      <c r="BL478" s="127">
        <v>44239</v>
      </c>
      <c r="BM478" s="128">
        <f>P478*1.1</f>
        <v>2955879.3000000003</v>
      </c>
      <c r="BN478" s="129">
        <f>P478*0.9</f>
        <v>2418446.7000000002</v>
      </c>
      <c r="BO478" s="130">
        <f>P478*0.8</f>
        <v>2149730.4</v>
      </c>
      <c r="BP478" s="90">
        <f>IF(Z478="Y",BM478*0.4,BM478*1.05)</f>
        <v>3103673.2650000006</v>
      </c>
      <c r="BQ478" s="90">
        <f>BP478*0.8</f>
        <v>2482938.6120000007</v>
      </c>
      <c r="BR478" s="90" t="str">
        <f>IF(ISNUMBER(SEARCH("subrecipient",AI474)),P478*0.6,"")</f>
        <v/>
      </c>
      <c r="BS478" s="90">
        <v>225477</v>
      </c>
      <c r="BT478" s="90" t="str">
        <f>BJ478</f>
        <v>1B91FR89406-50</v>
      </c>
      <c r="BU478" s="127">
        <f>BK478</f>
        <v>43508</v>
      </c>
      <c r="BV478" s="127">
        <f>BL478</f>
        <v>44239</v>
      </c>
      <c r="BW478" s="90" t="str">
        <f>H478</f>
        <v>ACF</v>
      </c>
      <c r="BX478" s="90" t="str">
        <f>IF(H478="NATIONAL HEMOPHILIA FOUNDATION","Non Federal","Federal")</f>
        <v>Federal</v>
      </c>
      <c r="BY478" s="128">
        <f>BM478</f>
        <v>2955879.3000000003</v>
      </c>
      <c r="BZ478" s="90" t="str">
        <f>IF(LEN(BR478)&gt;0,1,"")</f>
        <v/>
      </c>
      <c r="CA478" s="90" t="str">
        <f>IF(LEN(BR478)&gt;0,"VIRAL HEPATITIS PROJECT","")</f>
        <v/>
      </c>
      <c r="CB478" s="129" t="str">
        <f>IF(LEN(BR478)&gt;0,BM478*0.7,"")</f>
        <v/>
      </c>
      <c r="CC478" s="90">
        <f>BP478</f>
        <v>3103673.2650000006</v>
      </c>
      <c r="CD478" s="90" t="str">
        <f>IF(LEN(BR478)&gt;0,"70%","")</f>
        <v/>
      </c>
      <c r="CE478" s="90">
        <f>BS478</f>
        <v>225477</v>
      </c>
      <c r="CF478" s="90" t="str">
        <f>CA478</f>
        <v/>
      </c>
      <c r="CG478" s="90"/>
      <c r="CH478" s="90"/>
      <c r="CI478" s="90"/>
      <c r="CJ478" s="90"/>
      <c r="CK478" s="90"/>
      <c r="CL478" s="90"/>
      <c r="CM478" s="90"/>
      <c r="CN478" s="90"/>
      <c r="CO478" s="90"/>
      <c r="CP478" s="90"/>
      <c r="CQ478" s="90"/>
      <c r="CR478" s="90"/>
      <c r="CS478" s="90"/>
      <c r="CT478" s="137"/>
    </row>
    <row r="479" spans="1:98" ht="105">
      <c r="A479" s="89">
        <v>225477</v>
      </c>
      <c r="B479" s="90">
        <v>2020</v>
      </c>
      <c r="C479" s="90" t="s">
        <v>81</v>
      </c>
      <c r="D479" s="90" t="s">
        <v>1351</v>
      </c>
      <c r="E479" s="125" t="s">
        <v>780</v>
      </c>
      <c r="F479" s="24" t="s">
        <v>1352</v>
      </c>
      <c r="G479" s="90" t="s">
        <v>85</v>
      </c>
      <c r="H479" s="90" t="s">
        <v>150</v>
      </c>
      <c r="I479" s="90">
        <v>93</v>
      </c>
      <c r="J479" s="90">
        <v>157</v>
      </c>
      <c r="K479" s="90" t="s">
        <v>85</v>
      </c>
      <c r="L479" s="90" t="s">
        <v>1353</v>
      </c>
      <c r="M479" s="90" t="s">
        <v>119</v>
      </c>
      <c r="N479" s="24" t="s">
        <v>1354</v>
      </c>
      <c r="O479" s="24" t="str">
        <f>IF(ISNUMBER(SEARCH("Cancer",N479)),"Cancer",IF(ISNUMBER(SEARCH("health",N479)),"Public health",IF(ISNUMBER(SEARCH("disabilities",N479)),"Disabilities","Other")))</f>
        <v>Other</v>
      </c>
      <c r="P479" s="126">
        <v>2687163</v>
      </c>
      <c r="Q479" s="90" t="s">
        <v>85</v>
      </c>
      <c r="R479" s="90" t="str">
        <f>IF(P479&gt;20000000,"B","A")</f>
        <v>A</v>
      </c>
      <c r="S479" s="90" t="s">
        <v>90</v>
      </c>
      <c r="T479" s="90" t="s">
        <v>119</v>
      </c>
      <c r="U479" s="90" t="s">
        <v>119</v>
      </c>
      <c r="V479" s="90" t="s">
        <v>119</v>
      </c>
      <c r="W479" s="90" t="s">
        <v>119</v>
      </c>
      <c r="X479" s="90" t="s">
        <v>119</v>
      </c>
      <c r="Y479" s="90" t="s">
        <v>119</v>
      </c>
      <c r="Z479" s="90" t="s">
        <v>119</v>
      </c>
      <c r="AA479" s="90" t="s">
        <v>119</v>
      </c>
      <c r="AB479" s="90" t="s">
        <v>119</v>
      </c>
      <c r="AC479" s="90" t="s">
        <v>119</v>
      </c>
      <c r="AD479" s="90" t="s">
        <v>119</v>
      </c>
      <c r="AE479" s="24">
        <v>0</v>
      </c>
      <c r="AF479" s="90">
        <v>0</v>
      </c>
      <c r="AG479" s="24">
        <v>0</v>
      </c>
      <c r="AH479" s="90">
        <v>88285</v>
      </c>
      <c r="AI479" s="24" t="s">
        <v>102</v>
      </c>
      <c r="AJ479" s="24" t="s">
        <v>103</v>
      </c>
      <c r="AK479" s="90" t="s">
        <v>85</v>
      </c>
      <c r="AL479" s="90">
        <v>225477</v>
      </c>
      <c r="AM479" s="90" t="s">
        <v>81</v>
      </c>
      <c r="AN479" s="90" t="s">
        <v>1351</v>
      </c>
      <c r="AO479" s="125" t="s">
        <v>780</v>
      </c>
      <c r="AP479" s="24" t="s">
        <v>1354</v>
      </c>
      <c r="AQ479" s="90" t="s">
        <v>1353</v>
      </c>
      <c r="AR479" s="24" t="s">
        <v>1354</v>
      </c>
      <c r="AS479" s="90" t="s">
        <v>119</v>
      </c>
      <c r="AT479" s="24" t="s">
        <v>102</v>
      </c>
      <c r="AU479" s="90" t="s">
        <v>119</v>
      </c>
      <c r="AV479" s="90" t="str">
        <f>IF(ISNUMBER(SEARCH("disagree",AE479)),"N","Y")</f>
        <v>Y</v>
      </c>
      <c r="AW479" s="90" t="s">
        <v>119</v>
      </c>
      <c r="AX479" s="24" t="s">
        <v>119</v>
      </c>
      <c r="AY479" s="90" t="str">
        <f>CONCATENATE(AZ479,BA479,BB479,BC479)</f>
        <v/>
      </c>
      <c r="AZ479" s="90" t="str">
        <f>IF(ISNUMBER(SEARCH("Y",AC479)),"R","")</f>
        <v/>
      </c>
      <c r="BA479" s="90" t="str">
        <f>IF(ISNUMBER(SEARCH("Y",Y479)),"M","")</f>
        <v/>
      </c>
      <c r="BB479" s="90" t="str">
        <f>IF(ISNUMBER(SEARCH("Y",AB479)),"QC","")</f>
        <v/>
      </c>
      <c r="BC479" s="90" t="str">
        <f>IF(ISNUMBER(SEARCH("Y",Z479)),"S","")</f>
        <v/>
      </c>
      <c r="BD479" s="90"/>
      <c r="BE479" s="24" t="s">
        <v>119</v>
      </c>
      <c r="BF479" s="125" t="str">
        <f>IF(AND(AW479&gt;=56543,AW479&lt;=76543,LEN(AW479)&gt;0),"3 Feb 2020",IF(AND(AW479&gt;=66544,AW479&lt;=99999,LEN(AW479)&gt;0),"12 Sep 2020",""))</f>
        <v/>
      </c>
      <c r="BG479" s="125" t="str">
        <f>IF((AND(BF479="3 Feb 2020",LEN(BF479)&gt;0)),"Completed",IF((AND(BF479="12 Sep 2020",LEN(BF479)&gt;0)),"Pending",""))</f>
        <v/>
      </c>
      <c r="BH479" s="90" t="str">
        <f>IF((AND(BF479="3 Feb 2020",LEN(BF479)&gt;0)),"3 Feb 2020","")</f>
        <v/>
      </c>
      <c r="BI479" s="90">
        <v>225477</v>
      </c>
      <c r="BJ479" s="90" t="str">
        <f>L479</f>
        <v>1B91FR89406-50</v>
      </c>
      <c r="BK479" s="127">
        <v>43508</v>
      </c>
      <c r="BL479" s="127">
        <v>44239</v>
      </c>
      <c r="BM479" s="128">
        <f>P479*1.1</f>
        <v>2955879.3000000003</v>
      </c>
      <c r="BN479" s="129">
        <f>P479*0.9</f>
        <v>2418446.7000000002</v>
      </c>
      <c r="BO479" s="130">
        <f>P479*0.8</f>
        <v>2149730.4</v>
      </c>
      <c r="BP479" s="90">
        <f>IF(Z479="Y",BM479*0.4,BM479*1.05)</f>
        <v>3103673.2650000006</v>
      </c>
      <c r="BQ479" s="90">
        <f>BP479*0.8</f>
        <v>2482938.6120000007</v>
      </c>
      <c r="BR479" s="90" t="str">
        <f>IF(ISNUMBER(SEARCH("subrecipient",AI475)),P479*0.6,"")</f>
        <v/>
      </c>
      <c r="BS479" s="90">
        <v>225477</v>
      </c>
      <c r="BT479" s="90" t="str">
        <f>BJ479</f>
        <v>1B91FR89406-50</v>
      </c>
      <c r="BU479" s="127">
        <f>BK479</f>
        <v>43508</v>
      </c>
      <c r="BV479" s="127">
        <f>BL479</f>
        <v>44239</v>
      </c>
      <c r="BW479" s="90" t="str">
        <f>H479</f>
        <v>ACF</v>
      </c>
      <c r="BX479" s="90" t="str">
        <f>IF(H479="NATIONAL HEMOPHILIA FOUNDATION","Non Federal","Federal")</f>
        <v>Federal</v>
      </c>
      <c r="BY479" s="128">
        <f>BM479</f>
        <v>2955879.3000000003</v>
      </c>
      <c r="BZ479" s="90" t="str">
        <f>IF(LEN(BR479)&gt;0,1,"")</f>
        <v/>
      </c>
      <c r="CA479" s="90" t="str">
        <f>IF(LEN(BR479)&gt;0,"VIRAL HEPATITIS PROJECT","")</f>
        <v/>
      </c>
      <c r="CB479" s="129" t="str">
        <f>IF(LEN(BR479)&gt;0,BM479*0.7,"")</f>
        <v/>
      </c>
      <c r="CC479" s="90">
        <f>BP479</f>
        <v>3103673.2650000006</v>
      </c>
      <c r="CD479" s="90" t="str">
        <f>IF(LEN(BR479)&gt;0,"70%","")</f>
        <v/>
      </c>
      <c r="CE479" s="90">
        <f>BS479</f>
        <v>225477</v>
      </c>
      <c r="CF479" s="90" t="str">
        <f>CA479</f>
        <v/>
      </c>
      <c r="CG479" s="90"/>
      <c r="CH479" s="90"/>
      <c r="CI479" s="90"/>
      <c r="CJ479" s="90"/>
      <c r="CK479" s="90"/>
      <c r="CL479" s="90"/>
      <c r="CM479" s="90"/>
      <c r="CN479" s="90"/>
      <c r="CO479" s="90"/>
      <c r="CP479" s="90"/>
      <c r="CQ479" s="90"/>
      <c r="CR479" s="90"/>
      <c r="CS479" s="90"/>
      <c r="CT479" s="137"/>
    </row>
    <row r="480" spans="1:98" ht="105">
      <c r="A480" s="89">
        <v>225477</v>
      </c>
      <c r="B480" s="90">
        <v>2020</v>
      </c>
      <c r="C480" s="90" t="s">
        <v>81</v>
      </c>
      <c r="D480" s="90" t="s">
        <v>1351</v>
      </c>
      <c r="E480" s="125" t="s">
        <v>781</v>
      </c>
      <c r="F480" s="24" t="s">
        <v>1352</v>
      </c>
      <c r="G480" s="90" t="s">
        <v>85</v>
      </c>
      <c r="H480" s="90" t="s">
        <v>150</v>
      </c>
      <c r="I480" s="90">
        <v>93</v>
      </c>
      <c r="J480" s="90">
        <v>157</v>
      </c>
      <c r="K480" s="90" t="s">
        <v>85</v>
      </c>
      <c r="L480" s="90" t="s">
        <v>1353</v>
      </c>
      <c r="M480" s="90" t="s">
        <v>119</v>
      </c>
      <c r="N480" s="24" t="s">
        <v>1354</v>
      </c>
      <c r="O480" s="24" t="str">
        <f>IF(ISNUMBER(SEARCH("Cancer",N480)),"Cancer",IF(ISNUMBER(SEARCH("health",N480)),"Public health",IF(ISNUMBER(SEARCH("disabilities",N480)),"Disabilities","Other")))</f>
        <v>Other</v>
      </c>
      <c r="P480" s="126">
        <v>2687163</v>
      </c>
      <c r="Q480" s="90" t="s">
        <v>85</v>
      </c>
      <c r="R480" s="90" t="str">
        <f>IF(P480&gt;20000000,"B","A")</f>
        <v>A</v>
      </c>
      <c r="S480" s="90" t="s">
        <v>90</v>
      </c>
      <c r="T480" s="90" t="s">
        <v>119</v>
      </c>
      <c r="U480" s="90" t="s">
        <v>119</v>
      </c>
      <c r="V480" s="90" t="s">
        <v>119</v>
      </c>
      <c r="W480" s="90" t="s">
        <v>119</v>
      </c>
      <c r="X480" s="90" t="s">
        <v>119</v>
      </c>
      <c r="Y480" s="90" t="s">
        <v>119</v>
      </c>
      <c r="Z480" s="90" t="s">
        <v>119</v>
      </c>
      <c r="AA480" s="90" t="s">
        <v>119</v>
      </c>
      <c r="AB480" s="90" t="s">
        <v>119</v>
      </c>
      <c r="AC480" s="90" t="s">
        <v>119</v>
      </c>
      <c r="AD480" s="90" t="s">
        <v>119</v>
      </c>
      <c r="AE480" s="24">
        <v>0</v>
      </c>
      <c r="AF480" s="90">
        <v>0</v>
      </c>
      <c r="AG480" s="24">
        <v>0</v>
      </c>
      <c r="AH480" s="90">
        <v>88286</v>
      </c>
      <c r="AI480" s="24" t="s">
        <v>110</v>
      </c>
      <c r="AJ480" s="24" t="s">
        <v>1355</v>
      </c>
      <c r="AK480" s="90" t="s">
        <v>85</v>
      </c>
      <c r="AL480" s="90">
        <v>225477</v>
      </c>
      <c r="AM480" s="90" t="s">
        <v>81</v>
      </c>
      <c r="AN480" s="90" t="s">
        <v>1351</v>
      </c>
      <c r="AO480" s="125" t="s">
        <v>781</v>
      </c>
      <c r="AP480" s="24" t="s">
        <v>1354</v>
      </c>
      <c r="AQ480" s="90" t="s">
        <v>1353</v>
      </c>
      <c r="AR480" s="24" t="s">
        <v>1354</v>
      </c>
      <c r="AS480" s="90" t="s">
        <v>119</v>
      </c>
      <c r="AT480" s="24" t="s">
        <v>110</v>
      </c>
      <c r="AU480" s="90" t="s">
        <v>119</v>
      </c>
      <c r="AV480" s="90" t="str">
        <f>IF(ISNUMBER(SEARCH("disagree",AE480)),"N","Y")</f>
        <v>Y</v>
      </c>
      <c r="AW480" s="90" t="s">
        <v>119</v>
      </c>
      <c r="AX480" s="24" t="s">
        <v>119</v>
      </c>
      <c r="AY480" s="90" t="str">
        <f>CONCATENATE(AZ480,BA480,BB480,BC480)</f>
        <v/>
      </c>
      <c r="AZ480" s="90" t="str">
        <f>IF(ISNUMBER(SEARCH("Y",AC480)),"R","")</f>
        <v/>
      </c>
      <c r="BA480" s="90" t="str">
        <f>IF(ISNUMBER(SEARCH("Y",Y480)),"M","")</f>
        <v/>
      </c>
      <c r="BB480" s="90" t="str">
        <f>IF(ISNUMBER(SEARCH("Y",AB480)),"QC","")</f>
        <v/>
      </c>
      <c r="BC480" s="90" t="str">
        <f>IF(ISNUMBER(SEARCH("Y",Z480)),"S","")</f>
        <v/>
      </c>
      <c r="BD480" s="90"/>
      <c r="BE480" s="24" t="s">
        <v>119</v>
      </c>
      <c r="BF480" s="125" t="str">
        <f>IF(AND(AW480&gt;=56543,AW480&lt;=76543,LEN(AW480)&gt;0),"3 Feb 2020",IF(AND(AW480&gt;=66544,AW480&lt;=99999,LEN(AW480)&gt;0),"12 Sep 2020",""))</f>
        <v/>
      </c>
      <c r="BG480" s="125" t="str">
        <f>IF((AND(BF480="3 Feb 2020",LEN(BF480)&gt;0)),"Completed",IF((AND(BF480="12 Sep 2020",LEN(BF480)&gt;0)),"Pending",""))</f>
        <v/>
      </c>
      <c r="BH480" s="90" t="str">
        <f>IF((AND(BF480="3 Feb 2020",LEN(BF480)&gt;0)),"3 Feb 2020","")</f>
        <v/>
      </c>
      <c r="BI480" s="90">
        <v>225477</v>
      </c>
      <c r="BJ480" s="90" t="str">
        <f>L480</f>
        <v>1B91FR89406-50</v>
      </c>
      <c r="BK480" s="127">
        <v>43508</v>
      </c>
      <c r="BL480" s="127">
        <v>44239</v>
      </c>
      <c r="BM480" s="128">
        <f>P480*1.1</f>
        <v>2955879.3000000003</v>
      </c>
      <c r="BN480" s="129">
        <f>P480*0.9</f>
        <v>2418446.7000000002</v>
      </c>
      <c r="BO480" s="130">
        <f>P480*0.8</f>
        <v>2149730.4</v>
      </c>
      <c r="BP480" s="90">
        <f>IF(Z480="Y",BM480*0.4,BM480*1.05)</f>
        <v>3103673.2650000006</v>
      </c>
      <c r="BQ480" s="90">
        <f>BP480*0.8</f>
        <v>2482938.6120000007</v>
      </c>
      <c r="BR480" s="90" t="str">
        <f>IF(ISNUMBER(SEARCH("subrecipient",AI476)),P480*0.6,"")</f>
        <v/>
      </c>
      <c r="BS480" s="90">
        <v>225477</v>
      </c>
      <c r="BT480" s="90" t="str">
        <f>BJ480</f>
        <v>1B91FR89406-50</v>
      </c>
      <c r="BU480" s="127">
        <f>BK480</f>
        <v>43508</v>
      </c>
      <c r="BV480" s="127">
        <f>BL480</f>
        <v>44239</v>
      </c>
      <c r="BW480" s="90" t="str">
        <f>H480</f>
        <v>ACF</v>
      </c>
      <c r="BX480" s="90" t="str">
        <f>IF(H480="NATIONAL HEMOPHILIA FOUNDATION","Non Federal","Federal")</f>
        <v>Federal</v>
      </c>
      <c r="BY480" s="128">
        <f>BM480</f>
        <v>2955879.3000000003</v>
      </c>
      <c r="BZ480" s="90" t="str">
        <f>IF(LEN(BR480)&gt;0,1,"")</f>
        <v/>
      </c>
      <c r="CA480" s="90" t="str">
        <f>IF(LEN(BR480)&gt;0,"VIRAL HEPATITIS PROJECT","")</f>
        <v/>
      </c>
      <c r="CB480" s="129" t="str">
        <f>IF(LEN(BR480)&gt;0,BM480*0.7,"")</f>
        <v/>
      </c>
      <c r="CC480" s="90">
        <f>BP480</f>
        <v>3103673.2650000006</v>
      </c>
      <c r="CD480" s="90" t="str">
        <f>IF(LEN(BR480)&gt;0,"70%","")</f>
        <v/>
      </c>
      <c r="CE480" s="90">
        <f>BS480</f>
        <v>225477</v>
      </c>
      <c r="CF480" s="90" t="str">
        <f>CA480</f>
        <v/>
      </c>
      <c r="CG480" s="90"/>
      <c r="CH480" s="90"/>
      <c r="CI480" s="90"/>
      <c r="CJ480" s="90"/>
      <c r="CK480" s="90"/>
      <c r="CL480" s="90"/>
      <c r="CM480" s="90"/>
      <c r="CN480" s="90"/>
      <c r="CO480" s="90"/>
      <c r="CP480" s="90"/>
      <c r="CQ480" s="90"/>
      <c r="CR480" s="90"/>
      <c r="CS480" s="90"/>
      <c r="CT480" s="137"/>
    </row>
    <row r="481" spans="1:98" ht="60">
      <c r="A481" s="89">
        <v>225505</v>
      </c>
      <c r="B481" s="90">
        <v>2020</v>
      </c>
      <c r="C481" s="90" t="s">
        <v>81</v>
      </c>
      <c r="D481" s="90" t="s">
        <v>1356</v>
      </c>
      <c r="E481" s="125" t="s">
        <v>784</v>
      </c>
      <c r="F481" s="24" t="s">
        <v>1357</v>
      </c>
      <c r="G481" s="90" t="s">
        <v>85</v>
      </c>
      <c r="H481" s="90" t="s">
        <v>86</v>
      </c>
      <c r="I481" s="90">
        <v>93</v>
      </c>
      <c r="J481" s="90">
        <v>157</v>
      </c>
      <c r="K481" s="90" t="s">
        <v>85</v>
      </c>
      <c r="L481" s="90" t="s">
        <v>1358</v>
      </c>
      <c r="M481" s="90" t="s">
        <v>119</v>
      </c>
      <c r="N481" s="24" t="s">
        <v>254</v>
      </c>
      <c r="O481" s="24" t="str">
        <f>IF(ISNUMBER(SEARCH("Cancer",N481)),"Cancer",IF(ISNUMBER(SEARCH("health",N481)),"Public health",IF(ISNUMBER(SEARCH("disabilities",N481)),"Disabilities","Other")))</f>
        <v>Other</v>
      </c>
      <c r="P481" s="126">
        <v>2818736</v>
      </c>
      <c r="Q481" s="90" t="s">
        <v>85</v>
      </c>
      <c r="R481" s="90" t="str">
        <f>IF(P481&gt;20000000,"B","A")</f>
        <v>A</v>
      </c>
      <c r="S481" s="90" t="s">
        <v>90</v>
      </c>
      <c r="T481" s="90" t="s">
        <v>119</v>
      </c>
      <c r="U481" s="90" t="s">
        <v>119</v>
      </c>
      <c r="V481" s="90" t="s">
        <v>119</v>
      </c>
      <c r="W481" s="90" t="s">
        <v>119</v>
      </c>
      <c r="X481" s="90" t="s">
        <v>119</v>
      </c>
      <c r="Y481" s="90" t="s">
        <v>119</v>
      </c>
      <c r="Z481" s="90" t="s">
        <v>119</v>
      </c>
      <c r="AA481" s="90" t="s">
        <v>119</v>
      </c>
      <c r="AB481" s="90" t="s">
        <v>119</v>
      </c>
      <c r="AC481" s="90" t="s">
        <v>119</v>
      </c>
      <c r="AD481" s="90" t="s">
        <v>119</v>
      </c>
      <c r="AE481" s="24">
        <v>0</v>
      </c>
      <c r="AF481" s="90">
        <v>0</v>
      </c>
      <c r="AG481" s="24">
        <v>0</v>
      </c>
      <c r="AH481" s="90">
        <v>85367</v>
      </c>
      <c r="AI481" s="24" t="s">
        <v>94</v>
      </c>
      <c r="AJ481" s="24" t="s">
        <v>1359</v>
      </c>
      <c r="AK481" s="90" t="s">
        <v>85</v>
      </c>
      <c r="AL481" s="90">
        <v>225505</v>
      </c>
      <c r="AM481" s="90" t="s">
        <v>81</v>
      </c>
      <c r="AN481" s="90" t="s">
        <v>1356</v>
      </c>
      <c r="AO481" s="125" t="s">
        <v>784</v>
      </c>
      <c r="AP481" s="24" t="s">
        <v>254</v>
      </c>
      <c r="AQ481" s="90" t="s">
        <v>1358</v>
      </c>
      <c r="AR481" s="24" t="s">
        <v>254</v>
      </c>
      <c r="AS481" s="90" t="s">
        <v>119</v>
      </c>
      <c r="AT481" s="24" t="s">
        <v>94</v>
      </c>
      <c r="AU481" s="90" t="s">
        <v>119</v>
      </c>
      <c r="AV481" s="90" t="str">
        <f>IF(ISNUMBER(SEARCH("disagree",AE481)),"N","Y")</f>
        <v>Y</v>
      </c>
      <c r="AW481" s="90" t="s">
        <v>119</v>
      </c>
      <c r="AX481" s="24" t="s">
        <v>119</v>
      </c>
      <c r="AY481" s="90" t="str">
        <f>CONCATENATE(AZ481,BA481,BB481,BC481)</f>
        <v/>
      </c>
      <c r="AZ481" s="90" t="str">
        <f>IF(ISNUMBER(SEARCH("Y",AC481)),"R","")</f>
        <v/>
      </c>
      <c r="BA481" s="90" t="str">
        <f>IF(ISNUMBER(SEARCH("Y",Y481)),"M","")</f>
        <v/>
      </c>
      <c r="BB481" s="90" t="str">
        <f>IF(ISNUMBER(SEARCH("Y",AB481)),"QC","")</f>
        <v/>
      </c>
      <c r="BC481" s="90" t="str">
        <f>IF(ISNUMBER(SEARCH("Y",Z481)),"S","")</f>
        <v/>
      </c>
      <c r="BD481" s="90"/>
      <c r="BE481" s="24" t="s">
        <v>119</v>
      </c>
      <c r="BF481" s="125" t="str">
        <f>IF(AND(AW481&gt;=56543,AW481&lt;=76543,LEN(AW481)&gt;0),"3 Feb 2020",IF(AND(AW481&gt;=66544,AW481&lt;=99999,LEN(AW481)&gt;0),"12 Sep 2020",""))</f>
        <v/>
      </c>
      <c r="BG481" s="125" t="str">
        <f>IF((AND(BF481="3 Feb 2020",LEN(BF481)&gt;0)),"Completed",IF((AND(BF481="12 Sep 2020",LEN(BF481)&gt;0)),"Pending",""))</f>
        <v/>
      </c>
      <c r="BH481" s="90" t="str">
        <f>IF((AND(BF481="3 Feb 2020",LEN(BF481)&gt;0)),"3 Feb 2020","")</f>
        <v/>
      </c>
      <c r="BI481" s="90">
        <v>225505</v>
      </c>
      <c r="BJ481" s="90" t="str">
        <f>L481</f>
        <v>9B97FR842727-25</v>
      </c>
      <c r="BK481" s="127">
        <v>43508</v>
      </c>
      <c r="BL481" s="127">
        <v>44239</v>
      </c>
      <c r="BM481" s="128">
        <f>P481*1.1</f>
        <v>3100609.6</v>
      </c>
      <c r="BN481" s="129">
        <f>P481*0.9</f>
        <v>2536862.4</v>
      </c>
      <c r="BO481" s="130">
        <f>P481*0.8</f>
        <v>2254988.8000000003</v>
      </c>
      <c r="BP481" s="90">
        <f>IF(Z481="Y",BM481*0.4,BM481*1.05)</f>
        <v>3255640.08</v>
      </c>
      <c r="BQ481" s="90">
        <f>BP481*0.8</f>
        <v>2604512.0640000002</v>
      </c>
      <c r="BR481" s="90" t="str">
        <f>IF(ISNUMBER(SEARCH("subrecipient",AI477)),P481*0.6,"")</f>
        <v/>
      </c>
      <c r="BS481" s="90">
        <v>225505</v>
      </c>
      <c r="BT481" s="90" t="str">
        <f>BJ481</f>
        <v>9B97FR842727-25</v>
      </c>
      <c r="BU481" s="127">
        <f>BK481</f>
        <v>43508</v>
      </c>
      <c r="BV481" s="127">
        <f>BL481</f>
        <v>44239</v>
      </c>
      <c r="BW481" s="90" t="str">
        <f>H481</f>
        <v>CDC</v>
      </c>
      <c r="BX481" s="90" t="str">
        <f>IF(H481="NATIONAL HEMOPHILIA FOUNDATION","Non Federal","Federal")</f>
        <v>Federal</v>
      </c>
      <c r="BY481" s="128">
        <f>BM481</f>
        <v>3100609.6</v>
      </c>
      <c r="BZ481" s="90" t="str">
        <f>IF(LEN(BR481)&gt;0,1,"")</f>
        <v/>
      </c>
      <c r="CA481" s="90" t="str">
        <f>IF(LEN(BR481)&gt;0,"VIRAL HEPATITIS PROJECT","")</f>
        <v/>
      </c>
      <c r="CB481" s="129" t="str">
        <f>IF(LEN(BR481)&gt;0,BM481*0.7,"")</f>
        <v/>
      </c>
      <c r="CC481" s="90">
        <f>BP481</f>
        <v>3255640.08</v>
      </c>
      <c r="CD481" s="90" t="str">
        <f>IF(LEN(BR481)&gt;0,"70%","")</f>
        <v/>
      </c>
      <c r="CE481" s="90">
        <f>BS481</f>
        <v>225505</v>
      </c>
      <c r="CF481" s="90" t="str">
        <f>CA481</f>
        <v/>
      </c>
      <c r="CG481" s="90"/>
      <c r="CH481" s="90"/>
      <c r="CI481" s="90"/>
      <c r="CJ481" s="90"/>
      <c r="CK481" s="90"/>
      <c r="CL481" s="90"/>
      <c r="CM481" s="90"/>
      <c r="CN481" s="90"/>
      <c r="CO481" s="90"/>
      <c r="CP481" s="90"/>
      <c r="CQ481" s="90"/>
      <c r="CR481" s="90"/>
      <c r="CS481" s="90"/>
      <c r="CT481" s="137"/>
    </row>
    <row r="482" spans="1:98" ht="30">
      <c r="A482" s="89">
        <v>225505</v>
      </c>
      <c r="B482" s="90">
        <v>2020</v>
      </c>
      <c r="C482" s="90" t="s">
        <v>81</v>
      </c>
      <c r="D482" s="90" t="s">
        <v>1356</v>
      </c>
      <c r="E482" s="125" t="s">
        <v>790</v>
      </c>
      <c r="F482" s="24" t="s">
        <v>1357</v>
      </c>
      <c r="G482" s="90" t="s">
        <v>85</v>
      </c>
      <c r="H482" s="90" t="s">
        <v>86</v>
      </c>
      <c r="I482" s="90">
        <v>93</v>
      </c>
      <c r="J482" s="90">
        <v>157</v>
      </c>
      <c r="K482" s="90" t="s">
        <v>85</v>
      </c>
      <c r="L482" s="90" t="s">
        <v>1358</v>
      </c>
      <c r="M482" s="90" t="s">
        <v>119</v>
      </c>
      <c r="N482" s="24" t="s">
        <v>254</v>
      </c>
      <c r="O482" s="24" t="str">
        <f>IF(ISNUMBER(SEARCH("Cancer",N482)),"Cancer",IF(ISNUMBER(SEARCH("health",N482)),"Public health",IF(ISNUMBER(SEARCH("disabilities",N482)),"Disabilities","Other")))</f>
        <v>Other</v>
      </c>
      <c r="P482" s="126">
        <v>2818736</v>
      </c>
      <c r="Q482" s="90" t="s">
        <v>85</v>
      </c>
      <c r="R482" s="90" t="str">
        <f>IF(P482&gt;20000000,"B","A")</f>
        <v>A</v>
      </c>
      <c r="S482" s="90" t="s">
        <v>90</v>
      </c>
      <c r="T482" s="90" t="s">
        <v>119</v>
      </c>
      <c r="U482" s="90" t="s">
        <v>119</v>
      </c>
      <c r="V482" s="90" t="s">
        <v>119</v>
      </c>
      <c r="W482" s="90" t="s">
        <v>119</v>
      </c>
      <c r="X482" s="90" t="s">
        <v>119</v>
      </c>
      <c r="Y482" s="90" t="s">
        <v>119</v>
      </c>
      <c r="Z482" s="90" t="s">
        <v>119</v>
      </c>
      <c r="AA482" s="90" t="s">
        <v>119</v>
      </c>
      <c r="AB482" s="90" t="s">
        <v>119</v>
      </c>
      <c r="AC482" s="90" t="s">
        <v>119</v>
      </c>
      <c r="AD482" s="90" t="s">
        <v>119</v>
      </c>
      <c r="AE482" s="24">
        <v>0</v>
      </c>
      <c r="AF482" s="90">
        <v>0</v>
      </c>
      <c r="AG482" s="24">
        <v>0</v>
      </c>
      <c r="AH482" s="90">
        <v>85366</v>
      </c>
      <c r="AI482" s="24" t="s">
        <v>102</v>
      </c>
      <c r="AJ482" s="24" t="s">
        <v>103</v>
      </c>
      <c r="AK482" s="90" t="s">
        <v>85</v>
      </c>
      <c r="AL482" s="90">
        <v>225505</v>
      </c>
      <c r="AM482" s="90" t="s">
        <v>81</v>
      </c>
      <c r="AN482" s="90" t="s">
        <v>1356</v>
      </c>
      <c r="AO482" s="125" t="s">
        <v>790</v>
      </c>
      <c r="AP482" s="24" t="s">
        <v>254</v>
      </c>
      <c r="AQ482" s="90" t="s">
        <v>1358</v>
      </c>
      <c r="AR482" s="24" t="s">
        <v>254</v>
      </c>
      <c r="AS482" s="90" t="s">
        <v>119</v>
      </c>
      <c r="AT482" s="24" t="s">
        <v>102</v>
      </c>
      <c r="AU482" s="90" t="s">
        <v>119</v>
      </c>
      <c r="AV482" s="90" t="str">
        <f>IF(ISNUMBER(SEARCH("disagree",AE482)),"N","Y")</f>
        <v>Y</v>
      </c>
      <c r="AW482" s="90" t="s">
        <v>119</v>
      </c>
      <c r="AX482" s="24" t="s">
        <v>119</v>
      </c>
      <c r="AY482" s="90" t="str">
        <f>CONCATENATE(AZ482,BA482,BB482,BC482)</f>
        <v/>
      </c>
      <c r="AZ482" s="90" t="str">
        <f>IF(ISNUMBER(SEARCH("Y",AC482)),"R","")</f>
        <v/>
      </c>
      <c r="BA482" s="90" t="str">
        <f>IF(ISNUMBER(SEARCH("Y",Y482)),"M","")</f>
        <v/>
      </c>
      <c r="BB482" s="90" t="str">
        <f>IF(ISNUMBER(SEARCH("Y",AB482)),"QC","")</f>
        <v/>
      </c>
      <c r="BC482" s="90" t="str">
        <f>IF(ISNUMBER(SEARCH("Y",Z482)),"S","")</f>
        <v/>
      </c>
      <c r="BD482" s="90"/>
      <c r="BE482" s="24" t="s">
        <v>119</v>
      </c>
      <c r="BF482" s="125" t="str">
        <f>IF(AND(AW482&gt;=56543,AW482&lt;=76543,LEN(AW482)&gt;0),"3 Feb 2020",IF(AND(AW482&gt;=66544,AW482&lt;=99999,LEN(AW482)&gt;0),"12 Sep 2020",""))</f>
        <v/>
      </c>
      <c r="BG482" s="125" t="str">
        <f>IF((AND(BF482="3 Feb 2020",LEN(BF482)&gt;0)),"Completed",IF((AND(BF482="12 Sep 2020",LEN(BF482)&gt;0)),"Pending",""))</f>
        <v/>
      </c>
      <c r="BH482" s="90" t="str">
        <f>IF((AND(BF482="3 Feb 2020",LEN(BF482)&gt;0)),"3 Feb 2020","")</f>
        <v/>
      </c>
      <c r="BI482" s="90">
        <v>225505</v>
      </c>
      <c r="BJ482" s="90" t="str">
        <f>L482</f>
        <v>9B97FR842727-25</v>
      </c>
      <c r="BK482" s="127">
        <v>43508</v>
      </c>
      <c r="BL482" s="127">
        <v>44239</v>
      </c>
      <c r="BM482" s="128">
        <f>P482*1.1</f>
        <v>3100609.6</v>
      </c>
      <c r="BN482" s="129">
        <f>P482*0.9</f>
        <v>2536862.4</v>
      </c>
      <c r="BO482" s="130">
        <f>P482*0.8</f>
        <v>2254988.8000000003</v>
      </c>
      <c r="BP482" s="90">
        <f>IF(Z482="Y",BM482*0.4,BM482*1.05)</f>
        <v>3255640.08</v>
      </c>
      <c r="BQ482" s="90">
        <f>BP482*0.8</f>
        <v>2604512.0640000002</v>
      </c>
      <c r="BR482" s="90" t="str">
        <f>IF(ISNUMBER(SEARCH("subrecipient",AI478)),P482*0.6,"")</f>
        <v/>
      </c>
      <c r="BS482" s="90">
        <v>225505</v>
      </c>
      <c r="BT482" s="90" t="str">
        <f>BJ482</f>
        <v>9B97FR842727-25</v>
      </c>
      <c r="BU482" s="127">
        <f>BK482</f>
        <v>43508</v>
      </c>
      <c r="BV482" s="127">
        <f>BL482</f>
        <v>44239</v>
      </c>
      <c r="BW482" s="90" t="str">
        <f>H482</f>
        <v>CDC</v>
      </c>
      <c r="BX482" s="90" t="str">
        <f>IF(H482="NATIONAL HEMOPHILIA FOUNDATION","Non Federal","Federal")</f>
        <v>Federal</v>
      </c>
      <c r="BY482" s="128">
        <f>BM482</f>
        <v>3100609.6</v>
      </c>
      <c r="BZ482" s="90" t="str">
        <f>IF(LEN(BR482)&gt;0,1,"")</f>
        <v/>
      </c>
      <c r="CA482" s="90" t="str">
        <f>IF(LEN(BR482)&gt;0,"VIRAL HEPATITIS PROJECT","")</f>
        <v/>
      </c>
      <c r="CB482" s="129" t="str">
        <f>IF(LEN(BR482)&gt;0,BM482*0.7,"")</f>
        <v/>
      </c>
      <c r="CC482" s="90">
        <f>BP482</f>
        <v>3255640.08</v>
      </c>
      <c r="CD482" s="90" t="str">
        <f>IF(LEN(BR482)&gt;0,"70%","")</f>
        <v/>
      </c>
      <c r="CE482" s="90">
        <f>BS482</f>
        <v>225505</v>
      </c>
      <c r="CF482" s="90" t="str">
        <f>CA482</f>
        <v/>
      </c>
      <c r="CG482" s="90"/>
      <c r="CH482" s="90"/>
      <c r="CI482" s="90"/>
      <c r="CJ482" s="90"/>
      <c r="CK482" s="90"/>
      <c r="CL482" s="90"/>
      <c r="CM482" s="90"/>
      <c r="CN482" s="90"/>
      <c r="CO482" s="90"/>
      <c r="CP482" s="90"/>
      <c r="CQ482" s="90"/>
      <c r="CR482" s="90"/>
      <c r="CS482" s="90"/>
      <c r="CT482" s="137"/>
    </row>
    <row r="483" spans="1:98" ht="30">
      <c r="A483" s="89">
        <v>225505</v>
      </c>
      <c r="B483" s="90">
        <v>2020</v>
      </c>
      <c r="C483" s="90" t="s">
        <v>81</v>
      </c>
      <c r="D483" s="90" t="s">
        <v>1356</v>
      </c>
      <c r="E483" s="125" t="s">
        <v>791</v>
      </c>
      <c r="F483" s="24" t="s">
        <v>1357</v>
      </c>
      <c r="G483" s="90" t="s">
        <v>85</v>
      </c>
      <c r="H483" s="90" t="s">
        <v>86</v>
      </c>
      <c r="I483" s="90">
        <v>93</v>
      </c>
      <c r="J483" s="90">
        <v>157</v>
      </c>
      <c r="K483" s="90" t="s">
        <v>85</v>
      </c>
      <c r="L483" s="90" t="s">
        <v>1358</v>
      </c>
      <c r="M483" s="90" t="s">
        <v>119</v>
      </c>
      <c r="N483" s="24" t="s">
        <v>254</v>
      </c>
      <c r="O483" s="24" t="str">
        <f>IF(ISNUMBER(SEARCH("Cancer",N483)),"Cancer",IF(ISNUMBER(SEARCH("health",N483)),"Public health",IF(ISNUMBER(SEARCH("disabilities",N483)),"Disabilities","Other")))</f>
        <v>Other</v>
      </c>
      <c r="P483" s="126">
        <v>2818736</v>
      </c>
      <c r="Q483" s="90" t="s">
        <v>85</v>
      </c>
      <c r="R483" s="90" t="str">
        <f>IF(P483&gt;20000000,"B","A")</f>
        <v>A</v>
      </c>
      <c r="S483" s="90" t="s">
        <v>90</v>
      </c>
      <c r="T483" s="90" t="s">
        <v>119</v>
      </c>
      <c r="U483" s="90" t="s">
        <v>119</v>
      </c>
      <c r="V483" s="90" t="s">
        <v>119</v>
      </c>
      <c r="W483" s="90" t="s">
        <v>119</v>
      </c>
      <c r="X483" s="90" t="s">
        <v>119</v>
      </c>
      <c r="Y483" s="90" t="s">
        <v>119</v>
      </c>
      <c r="Z483" s="90" t="s">
        <v>119</v>
      </c>
      <c r="AA483" s="90" t="s">
        <v>119</v>
      </c>
      <c r="AB483" s="90" t="s">
        <v>119</v>
      </c>
      <c r="AC483" s="90" t="s">
        <v>119</v>
      </c>
      <c r="AD483" s="90" t="s">
        <v>119</v>
      </c>
      <c r="AE483" s="24">
        <v>0</v>
      </c>
      <c r="AF483" s="90">
        <v>0</v>
      </c>
      <c r="AG483" s="24">
        <v>0</v>
      </c>
      <c r="AH483" s="90">
        <v>85364</v>
      </c>
      <c r="AI483" s="24" t="s">
        <v>110</v>
      </c>
      <c r="AJ483" s="24" t="s">
        <v>1360</v>
      </c>
      <c r="AK483" s="90" t="s">
        <v>85</v>
      </c>
      <c r="AL483" s="90">
        <v>225505</v>
      </c>
      <c r="AM483" s="90" t="s">
        <v>81</v>
      </c>
      <c r="AN483" s="90" t="s">
        <v>1356</v>
      </c>
      <c r="AO483" s="125" t="s">
        <v>791</v>
      </c>
      <c r="AP483" s="24" t="s">
        <v>254</v>
      </c>
      <c r="AQ483" s="90" t="s">
        <v>1358</v>
      </c>
      <c r="AR483" s="24" t="s">
        <v>254</v>
      </c>
      <c r="AS483" s="90" t="s">
        <v>119</v>
      </c>
      <c r="AT483" s="24" t="s">
        <v>110</v>
      </c>
      <c r="AU483" s="90" t="s">
        <v>119</v>
      </c>
      <c r="AV483" s="90" t="str">
        <f>IF(ISNUMBER(SEARCH("disagree",AE483)),"N","Y")</f>
        <v>Y</v>
      </c>
      <c r="AW483" s="90" t="s">
        <v>119</v>
      </c>
      <c r="AX483" s="24" t="s">
        <v>119</v>
      </c>
      <c r="AY483" s="90" t="str">
        <f>CONCATENATE(AZ483,BA483,BB483,BC483)</f>
        <v/>
      </c>
      <c r="AZ483" s="90" t="str">
        <f>IF(ISNUMBER(SEARCH("Y",AC483)),"R","")</f>
        <v/>
      </c>
      <c r="BA483" s="90" t="str">
        <f>IF(ISNUMBER(SEARCH("Y",Y483)),"M","")</f>
        <v/>
      </c>
      <c r="BB483" s="90" t="str">
        <f>IF(ISNUMBER(SEARCH("Y",AB483)),"QC","")</f>
        <v/>
      </c>
      <c r="BC483" s="90" t="str">
        <f>IF(ISNUMBER(SEARCH("Y",Z483)),"S","")</f>
        <v/>
      </c>
      <c r="BD483" s="90"/>
      <c r="BE483" s="24" t="s">
        <v>119</v>
      </c>
      <c r="BF483" s="125" t="str">
        <f>IF(AND(AW483&gt;=56543,AW483&lt;=76543,LEN(AW483)&gt;0),"3 Feb 2020",IF(AND(AW483&gt;=66544,AW483&lt;=99999,LEN(AW483)&gt;0),"12 Sep 2020",""))</f>
        <v/>
      </c>
      <c r="BG483" s="125" t="str">
        <f>IF((AND(BF483="3 Feb 2020",LEN(BF483)&gt;0)),"Completed",IF((AND(BF483="12 Sep 2020",LEN(BF483)&gt;0)),"Pending",""))</f>
        <v/>
      </c>
      <c r="BH483" s="90" t="str">
        <f>IF((AND(BF483="3 Feb 2020",LEN(BF483)&gt;0)),"3 Feb 2020","")</f>
        <v/>
      </c>
      <c r="BI483" s="90">
        <v>225505</v>
      </c>
      <c r="BJ483" s="90" t="str">
        <f>L483</f>
        <v>9B97FR842727-25</v>
      </c>
      <c r="BK483" s="127">
        <v>43508</v>
      </c>
      <c r="BL483" s="127">
        <v>44239</v>
      </c>
      <c r="BM483" s="128">
        <f>P483*1.1</f>
        <v>3100609.6</v>
      </c>
      <c r="BN483" s="129">
        <f>P483*0.9</f>
        <v>2536862.4</v>
      </c>
      <c r="BO483" s="130">
        <f>P483*0.8</f>
        <v>2254988.8000000003</v>
      </c>
      <c r="BP483" s="90">
        <f>IF(Z483="Y",BM483*0.4,BM483*1.05)</f>
        <v>3255640.08</v>
      </c>
      <c r="BQ483" s="90">
        <f>BP483*0.8</f>
        <v>2604512.0640000002</v>
      </c>
      <c r="BR483" s="90" t="str">
        <f>IF(ISNUMBER(SEARCH("subrecipient",AI479)),P483*0.6,"")</f>
        <v/>
      </c>
      <c r="BS483" s="90">
        <v>225505</v>
      </c>
      <c r="BT483" s="90" t="str">
        <f>BJ483</f>
        <v>9B97FR842727-25</v>
      </c>
      <c r="BU483" s="127">
        <f>BK483</f>
        <v>43508</v>
      </c>
      <c r="BV483" s="127">
        <f>BL483</f>
        <v>44239</v>
      </c>
      <c r="BW483" s="90" t="str">
        <f>H483</f>
        <v>CDC</v>
      </c>
      <c r="BX483" s="90" t="str">
        <f>IF(H483="NATIONAL HEMOPHILIA FOUNDATION","Non Federal","Federal")</f>
        <v>Federal</v>
      </c>
      <c r="BY483" s="128">
        <f>BM483</f>
        <v>3100609.6</v>
      </c>
      <c r="BZ483" s="90" t="str">
        <f>IF(LEN(BR483)&gt;0,1,"")</f>
        <v/>
      </c>
      <c r="CA483" s="90" t="str">
        <f>IF(LEN(BR483)&gt;0,"VIRAL HEPATITIS PROJECT","")</f>
        <v/>
      </c>
      <c r="CB483" s="129" t="str">
        <f>IF(LEN(BR483)&gt;0,BM483*0.7,"")</f>
        <v/>
      </c>
      <c r="CC483" s="90">
        <f>BP483</f>
        <v>3255640.08</v>
      </c>
      <c r="CD483" s="90" t="str">
        <f>IF(LEN(BR483)&gt;0,"70%","")</f>
        <v/>
      </c>
      <c r="CE483" s="90">
        <f>BS483</f>
        <v>225505</v>
      </c>
      <c r="CF483" s="90" t="str">
        <f>CA483</f>
        <v/>
      </c>
      <c r="CG483" s="90"/>
      <c r="CH483" s="90"/>
      <c r="CI483" s="90"/>
      <c r="CJ483" s="90"/>
      <c r="CK483" s="90"/>
      <c r="CL483" s="90"/>
      <c r="CM483" s="90"/>
      <c r="CN483" s="90"/>
      <c r="CO483" s="90"/>
      <c r="CP483" s="90"/>
      <c r="CQ483" s="90"/>
      <c r="CR483" s="90"/>
      <c r="CS483" s="90"/>
      <c r="CT483" s="137"/>
    </row>
    <row r="484" spans="1:98" ht="90">
      <c r="A484" s="89">
        <v>225505</v>
      </c>
      <c r="B484" s="90">
        <v>2020</v>
      </c>
      <c r="C484" s="90" t="s">
        <v>81</v>
      </c>
      <c r="D484" s="90" t="s">
        <v>1356</v>
      </c>
      <c r="E484" s="125" t="s">
        <v>793</v>
      </c>
      <c r="F484" s="24" t="s">
        <v>1357</v>
      </c>
      <c r="G484" s="90" t="s">
        <v>85</v>
      </c>
      <c r="H484" s="90" t="s">
        <v>86</v>
      </c>
      <c r="I484" s="90">
        <v>93</v>
      </c>
      <c r="J484" s="90">
        <v>157</v>
      </c>
      <c r="K484" s="90" t="s">
        <v>85</v>
      </c>
      <c r="L484" s="90" t="s">
        <v>1358</v>
      </c>
      <c r="M484" s="90" t="s">
        <v>119</v>
      </c>
      <c r="N484" s="24" t="s">
        <v>254</v>
      </c>
      <c r="O484" s="24" t="str">
        <f>IF(ISNUMBER(SEARCH("Cancer",N484)),"Cancer",IF(ISNUMBER(SEARCH("health",N484)),"Public health",IF(ISNUMBER(SEARCH("disabilities",N484)),"Disabilities","Other")))</f>
        <v>Other</v>
      </c>
      <c r="P484" s="126">
        <v>2818736</v>
      </c>
      <c r="Q484" s="90" t="s">
        <v>85</v>
      </c>
      <c r="R484" s="90" t="str">
        <f>IF(P484&gt;20000000,"B","A")</f>
        <v>A</v>
      </c>
      <c r="S484" s="90" t="s">
        <v>90</v>
      </c>
      <c r="T484" s="90" t="s">
        <v>119</v>
      </c>
      <c r="U484" s="90" t="s">
        <v>119</v>
      </c>
      <c r="V484" s="90" t="s">
        <v>119</v>
      </c>
      <c r="W484" s="90" t="s">
        <v>119</v>
      </c>
      <c r="X484" s="90" t="s">
        <v>119</v>
      </c>
      <c r="Y484" s="90" t="s">
        <v>119</v>
      </c>
      <c r="Z484" s="90" t="s">
        <v>119</v>
      </c>
      <c r="AA484" s="90" t="s">
        <v>119</v>
      </c>
      <c r="AB484" s="90" t="s">
        <v>119</v>
      </c>
      <c r="AC484" s="90" t="s">
        <v>119</v>
      </c>
      <c r="AD484" s="90" t="s">
        <v>119</v>
      </c>
      <c r="AE484" s="24">
        <v>0</v>
      </c>
      <c r="AF484" s="90">
        <v>0</v>
      </c>
      <c r="AG484" s="24">
        <v>0</v>
      </c>
      <c r="AH484" s="90">
        <v>85365</v>
      </c>
      <c r="AI484" s="24" t="s">
        <v>269</v>
      </c>
      <c r="AJ484" s="24" t="s">
        <v>1361</v>
      </c>
      <c r="AK484" s="90" t="s">
        <v>85</v>
      </c>
      <c r="AL484" s="90">
        <v>225505</v>
      </c>
      <c r="AM484" s="90" t="s">
        <v>81</v>
      </c>
      <c r="AN484" s="90" t="s">
        <v>1356</v>
      </c>
      <c r="AO484" s="125" t="s">
        <v>793</v>
      </c>
      <c r="AP484" s="24" t="s">
        <v>254</v>
      </c>
      <c r="AQ484" s="90" t="s">
        <v>1358</v>
      </c>
      <c r="AR484" s="24" t="s">
        <v>254</v>
      </c>
      <c r="AS484" s="90" t="s">
        <v>119</v>
      </c>
      <c r="AT484" s="24" t="s">
        <v>269</v>
      </c>
      <c r="AU484" s="90" t="s">
        <v>119</v>
      </c>
      <c r="AV484" s="90" t="str">
        <f>IF(ISNUMBER(SEARCH("disagree",AE484)),"N","Y")</f>
        <v>Y</v>
      </c>
      <c r="AW484" s="90" t="s">
        <v>119</v>
      </c>
      <c r="AX484" s="24" t="s">
        <v>119</v>
      </c>
      <c r="AY484" s="90" t="str">
        <f>CONCATENATE(AZ484,BA484,BB484,BC484)</f>
        <v/>
      </c>
      <c r="AZ484" s="90" t="str">
        <f>IF(ISNUMBER(SEARCH("Y",AC484)),"R","")</f>
        <v/>
      </c>
      <c r="BA484" s="90" t="str">
        <f>IF(ISNUMBER(SEARCH("Y",Y484)),"M","")</f>
        <v/>
      </c>
      <c r="BB484" s="90" t="str">
        <f>IF(ISNUMBER(SEARCH("Y",AB484)),"QC","")</f>
        <v/>
      </c>
      <c r="BC484" s="90" t="str">
        <f>IF(ISNUMBER(SEARCH("Y",Z484)),"S","")</f>
        <v/>
      </c>
      <c r="BD484" s="90"/>
      <c r="BE484" s="24" t="s">
        <v>119</v>
      </c>
      <c r="BF484" s="125" t="str">
        <f>IF(AND(AW484&gt;=56543,AW484&lt;=76543,LEN(AW484)&gt;0),"3 Feb 2020",IF(AND(AW484&gt;=66544,AW484&lt;=99999,LEN(AW484)&gt;0),"12 Sep 2020",""))</f>
        <v/>
      </c>
      <c r="BG484" s="125" t="str">
        <f>IF((AND(BF484="3 Feb 2020",LEN(BF484)&gt;0)),"Completed",IF((AND(BF484="12 Sep 2020",LEN(BF484)&gt;0)),"Pending",""))</f>
        <v/>
      </c>
      <c r="BH484" s="90" t="str">
        <f>IF((AND(BF484="3 Feb 2020",LEN(BF484)&gt;0)),"3 Feb 2020","")</f>
        <v/>
      </c>
      <c r="BI484" s="90">
        <v>225505</v>
      </c>
      <c r="BJ484" s="90" t="str">
        <f>L484</f>
        <v>9B97FR842727-25</v>
      </c>
      <c r="BK484" s="127">
        <v>43508</v>
      </c>
      <c r="BL484" s="127">
        <v>44239</v>
      </c>
      <c r="BM484" s="128">
        <f>P484*1.1</f>
        <v>3100609.6</v>
      </c>
      <c r="BN484" s="129">
        <f>P484*0.9</f>
        <v>2536862.4</v>
      </c>
      <c r="BO484" s="130">
        <f>P484*0.8</f>
        <v>2254988.8000000003</v>
      </c>
      <c r="BP484" s="90">
        <f>IF(Z484="Y",BM484*0.4,BM484*1.05)</f>
        <v>3255640.08</v>
      </c>
      <c r="BQ484" s="90">
        <f>BP484*0.8</f>
        <v>2604512.0640000002</v>
      </c>
      <c r="BR484" s="90" t="str">
        <f>IF(ISNUMBER(SEARCH("subrecipient",AI480)),P484*0.6,"")</f>
        <v/>
      </c>
      <c r="BS484" s="90">
        <v>225505</v>
      </c>
      <c r="BT484" s="90" t="str">
        <f>BJ484</f>
        <v>9B97FR842727-25</v>
      </c>
      <c r="BU484" s="127">
        <f>BK484</f>
        <v>43508</v>
      </c>
      <c r="BV484" s="127">
        <f>BL484</f>
        <v>44239</v>
      </c>
      <c r="BW484" s="90" t="str">
        <f>H484</f>
        <v>CDC</v>
      </c>
      <c r="BX484" s="90" t="str">
        <f>IF(H484="NATIONAL HEMOPHILIA FOUNDATION","Non Federal","Federal")</f>
        <v>Federal</v>
      </c>
      <c r="BY484" s="128">
        <f>BM484</f>
        <v>3100609.6</v>
      </c>
      <c r="BZ484" s="90" t="str">
        <f>IF(LEN(BR484)&gt;0,1,"")</f>
        <v/>
      </c>
      <c r="CA484" s="90" t="str">
        <f>IF(LEN(BR484)&gt;0,"VIRAL HEPATITIS PROJECT","")</f>
        <v/>
      </c>
      <c r="CB484" s="129" t="str">
        <f>IF(LEN(BR484)&gt;0,BM484*0.7,"")</f>
        <v/>
      </c>
      <c r="CC484" s="90">
        <f>BP484</f>
        <v>3255640.08</v>
      </c>
      <c r="CD484" s="90" t="str">
        <f>IF(LEN(BR484)&gt;0,"70%","")</f>
        <v/>
      </c>
      <c r="CE484" s="90">
        <f>BS484</f>
        <v>225505</v>
      </c>
      <c r="CF484" s="90" t="str">
        <f>CA484</f>
        <v/>
      </c>
      <c r="CG484" s="90"/>
      <c r="CH484" s="90"/>
      <c r="CI484" s="90"/>
      <c r="CJ484" s="90"/>
      <c r="CK484" s="90"/>
      <c r="CL484" s="90"/>
      <c r="CM484" s="90"/>
      <c r="CN484" s="90"/>
      <c r="CO484" s="90"/>
      <c r="CP484" s="90"/>
      <c r="CQ484" s="90"/>
      <c r="CR484" s="90"/>
      <c r="CS484" s="90"/>
      <c r="CT484" s="137"/>
    </row>
    <row r="485" spans="1:98" ht="195">
      <c r="A485" s="89">
        <v>227026</v>
      </c>
      <c r="B485" s="90">
        <v>2020</v>
      </c>
      <c r="C485" s="90" t="s">
        <v>81</v>
      </c>
      <c r="D485" s="90" t="s">
        <v>1362</v>
      </c>
      <c r="E485" s="125" t="s">
        <v>780</v>
      </c>
      <c r="F485" s="24" t="s">
        <v>1363</v>
      </c>
      <c r="G485" s="90" t="s">
        <v>85</v>
      </c>
      <c r="H485" s="90" t="s">
        <v>117</v>
      </c>
      <c r="I485" s="90">
        <v>93</v>
      </c>
      <c r="J485" s="90">
        <v>157</v>
      </c>
      <c r="K485" s="90" t="s">
        <v>85</v>
      </c>
      <c r="L485" s="90" t="s">
        <v>1364</v>
      </c>
      <c r="M485" s="90" t="s">
        <v>119</v>
      </c>
      <c r="N485" s="24" t="s">
        <v>1365</v>
      </c>
      <c r="O485" s="24" t="str">
        <f>IF(ISNUMBER(SEARCH("Cancer",N485)),"Cancer",IF(ISNUMBER(SEARCH("health",N485)),"Public health",IF(ISNUMBER(SEARCH("disabilities",N485)),"Disabilities","Other")))</f>
        <v>Public health</v>
      </c>
      <c r="P485" s="126">
        <v>2219648</v>
      </c>
      <c r="Q485" s="90" t="s">
        <v>85</v>
      </c>
      <c r="R485" s="90" t="str">
        <f>IF(P485&gt;20000000,"B","A")</f>
        <v>A</v>
      </c>
      <c r="S485" s="90" t="s">
        <v>90</v>
      </c>
      <c r="T485" s="90" t="s">
        <v>119</v>
      </c>
      <c r="U485" s="90" t="s">
        <v>119</v>
      </c>
      <c r="V485" s="90" t="s">
        <v>119</v>
      </c>
      <c r="W485" s="90" t="s">
        <v>119</v>
      </c>
      <c r="X485" s="90" t="s">
        <v>119</v>
      </c>
      <c r="Y485" s="90" t="s">
        <v>119</v>
      </c>
      <c r="Z485" s="90" t="s">
        <v>119</v>
      </c>
      <c r="AA485" s="90" t="s">
        <v>119</v>
      </c>
      <c r="AB485" s="90" t="s">
        <v>119</v>
      </c>
      <c r="AC485" s="90" t="s">
        <v>119</v>
      </c>
      <c r="AD485" s="90" t="s">
        <v>119</v>
      </c>
      <c r="AE485" s="24">
        <v>0</v>
      </c>
      <c r="AF485" s="90">
        <v>0</v>
      </c>
      <c r="AG485" s="24">
        <v>0</v>
      </c>
      <c r="AH485" s="90">
        <v>89941</v>
      </c>
      <c r="AI485" s="24" t="s">
        <v>94</v>
      </c>
      <c r="AJ485" s="24" t="s">
        <v>1366</v>
      </c>
      <c r="AK485" s="90" t="s">
        <v>85</v>
      </c>
      <c r="AL485" s="90">
        <v>227026</v>
      </c>
      <c r="AM485" s="90" t="s">
        <v>81</v>
      </c>
      <c r="AN485" s="90" t="s">
        <v>1362</v>
      </c>
      <c r="AO485" s="125" t="s">
        <v>780</v>
      </c>
      <c r="AP485" s="24" t="s">
        <v>1365</v>
      </c>
      <c r="AQ485" s="90" t="s">
        <v>1364</v>
      </c>
      <c r="AR485" s="24" t="s">
        <v>1365</v>
      </c>
      <c r="AS485" s="90" t="s">
        <v>119</v>
      </c>
      <c r="AT485" s="24" t="s">
        <v>94</v>
      </c>
      <c r="AU485" s="90" t="s">
        <v>119</v>
      </c>
      <c r="AV485" s="90" t="str">
        <f>IF(ISNUMBER(SEARCH("disagree",AE485)),"N","Y")</f>
        <v>Y</v>
      </c>
      <c r="AW485" s="90" t="s">
        <v>119</v>
      </c>
      <c r="AX485" s="24" t="s">
        <v>119</v>
      </c>
      <c r="AY485" s="90" t="str">
        <f>CONCATENATE(AZ485,BA485,BB485,BC485)</f>
        <v/>
      </c>
      <c r="AZ485" s="90" t="str">
        <f>IF(ISNUMBER(SEARCH("Y",AC485)),"R","")</f>
        <v/>
      </c>
      <c r="BA485" s="90" t="str">
        <f>IF(ISNUMBER(SEARCH("Y",Y485)),"M","")</f>
        <v/>
      </c>
      <c r="BB485" s="90" t="str">
        <f>IF(ISNUMBER(SEARCH("Y",AB485)),"QC","")</f>
        <v/>
      </c>
      <c r="BC485" s="90" t="str">
        <f>IF(ISNUMBER(SEARCH("Y",Z485)),"S","")</f>
        <v/>
      </c>
      <c r="BD485" s="90"/>
      <c r="BE485" s="24" t="s">
        <v>119</v>
      </c>
      <c r="BF485" s="125" t="str">
        <f>IF(AND(AW485&gt;=56543,AW485&lt;=76543,LEN(AW485)&gt;0),"3 Feb 2020",IF(AND(AW485&gt;=66544,AW485&lt;=99999,LEN(AW485)&gt;0),"12 Sep 2020",""))</f>
        <v/>
      </c>
      <c r="BG485" s="125" t="str">
        <f>IF((AND(BF485="3 Feb 2020",LEN(BF485)&gt;0)),"Completed",IF((AND(BF485="12 Sep 2020",LEN(BF485)&gt;0)),"Pending",""))</f>
        <v/>
      </c>
      <c r="BH485" s="90" t="str">
        <f>IF((AND(BF485="3 Feb 2020",LEN(BF485)&gt;0)),"3 Feb 2020","")</f>
        <v/>
      </c>
      <c r="BI485" s="90">
        <v>227026</v>
      </c>
      <c r="BJ485" s="90" t="str">
        <f>L485</f>
        <v>6B83GR843323-38</v>
      </c>
      <c r="BK485" s="127">
        <v>43508</v>
      </c>
      <c r="BL485" s="127">
        <v>44239</v>
      </c>
      <c r="BM485" s="128">
        <f>P485*1.1</f>
        <v>2441612.8000000003</v>
      </c>
      <c r="BN485" s="129">
        <f>P485*0.9</f>
        <v>1997683.2</v>
      </c>
      <c r="BO485" s="130">
        <f>P485*0.8</f>
        <v>1775718.4000000001</v>
      </c>
      <c r="BP485" s="90">
        <f>IF(Z485="Y",BM485*0.4,BM485*1.05)</f>
        <v>2563693.4400000004</v>
      </c>
      <c r="BQ485" s="90">
        <f>BP485*0.8</f>
        <v>2050954.7520000003</v>
      </c>
      <c r="BR485" s="90" t="str">
        <f>IF(ISNUMBER(SEARCH("subrecipient",AI481)),P485*0.6,"")</f>
        <v/>
      </c>
      <c r="BS485" s="90">
        <v>227026</v>
      </c>
      <c r="BT485" s="90" t="str">
        <f>BJ485</f>
        <v>6B83GR843323-38</v>
      </c>
      <c r="BU485" s="127">
        <f>BK485</f>
        <v>43508</v>
      </c>
      <c r="BV485" s="127">
        <f>BL485</f>
        <v>44239</v>
      </c>
      <c r="BW485" s="90" t="str">
        <f>H485</f>
        <v>NIH</v>
      </c>
      <c r="BX485" s="90" t="str">
        <f>IF(H485="NATIONAL HEMOPHILIA FOUNDATION","Non Federal","Federal")</f>
        <v>Federal</v>
      </c>
      <c r="BY485" s="128">
        <f>BM485</f>
        <v>2441612.8000000003</v>
      </c>
      <c r="BZ485" s="90" t="str">
        <f>IF(LEN(BR485)&gt;0,1,"")</f>
        <v/>
      </c>
      <c r="CA485" s="90" t="str">
        <f>IF(LEN(BR485)&gt;0,"VIRAL HEPATITIS PROJECT","")</f>
        <v/>
      </c>
      <c r="CB485" s="129" t="str">
        <f>IF(LEN(BR485)&gt;0,BM485*0.7,"")</f>
        <v/>
      </c>
      <c r="CC485" s="90">
        <f>BP485</f>
        <v>2563693.4400000004</v>
      </c>
      <c r="CD485" s="90" t="str">
        <f>IF(LEN(BR485)&gt;0,"70%","")</f>
        <v/>
      </c>
      <c r="CE485" s="90">
        <f>BS485</f>
        <v>227026</v>
      </c>
      <c r="CF485" s="90" t="str">
        <f>CA485</f>
        <v/>
      </c>
      <c r="CG485" s="90"/>
      <c r="CH485" s="90"/>
      <c r="CI485" s="90"/>
      <c r="CJ485" s="90"/>
      <c r="CK485" s="90"/>
      <c r="CL485" s="90"/>
      <c r="CM485" s="90"/>
      <c r="CN485" s="90"/>
      <c r="CO485" s="90"/>
      <c r="CP485" s="90"/>
      <c r="CQ485" s="90"/>
      <c r="CR485" s="90"/>
      <c r="CS485" s="90"/>
      <c r="CT485" s="137"/>
    </row>
    <row r="486" spans="1:98" ht="195">
      <c r="A486" s="89">
        <v>227026</v>
      </c>
      <c r="B486" s="90">
        <v>2020</v>
      </c>
      <c r="C486" s="90" t="s">
        <v>81</v>
      </c>
      <c r="D486" s="90" t="s">
        <v>1362</v>
      </c>
      <c r="E486" s="125" t="s">
        <v>781</v>
      </c>
      <c r="F486" s="24" t="s">
        <v>1363</v>
      </c>
      <c r="G486" s="90" t="s">
        <v>85</v>
      </c>
      <c r="H486" s="90" t="s">
        <v>117</v>
      </c>
      <c r="I486" s="90">
        <v>93</v>
      </c>
      <c r="J486" s="90">
        <v>157</v>
      </c>
      <c r="K486" s="90" t="s">
        <v>85</v>
      </c>
      <c r="L486" s="90" t="s">
        <v>1364</v>
      </c>
      <c r="M486" s="90" t="s">
        <v>119</v>
      </c>
      <c r="N486" s="24" t="s">
        <v>1365</v>
      </c>
      <c r="O486" s="24" t="str">
        <f>IF(ISNUMBER(SEARCH("Cancer",N486)),"Cancer",IF(ISNUMBER(SEARCH("health",N486)),"Public health",IF(ISNUMBER(SEARCH("disabilities",N486)),"Disabilities","Other")))</f>
        <v>Public health</v>
      </c>
      <c r="P486" s="126">
        <v>2219648</v>
      </c>
      <c r="Q486" s="90" t="s">
        <v>85</v>
      </c>
      <c r="R486" s="90" t="str">
        <f>IF(P486&gt;20000000,"B","A")</f>
        <v>A</v>
      </c>
      <c r="S486" s="90" t="s">
        <v>90</v>
      </c>
      <c r="T486" s="90" t="s">
        <v>119</v>
      </c>
      <c r="U486" s="90" t="s">
        <v>119</v>
      </c>
      <c r="V486" s="90" t="s">
        <v>119</v>
      </c>
      <c r="W486" s="90" t="s">
        <v>119</v>
      </c>
      <c r="X486" s="90" t="s">
        <v>119</v>
      </c>
      <c r="Y486" s="90" t="s">
        <v>119</v>
      </c>
      <c r="Z486" s="90" t="s">
        <v>119</v>
      </c>
      <c r="AA486" s="90" t="s">
        <v>119</v>
      </c>
      <c r="AB486" s="90" t="s">
        <v>119</v>
      </c>
      <c r="AC486" s="90" t="s">
        <v>119</v>
      </c>
      <c r="AD486" s="90" t="s">
        <v>119</v>
      </c>
      <c r="AE486" s="24">
        <v>0</v>
      </c>
      <c r="AF486" s="90">
        <v>0</v>
      </c>
      <c r="AG486" s="24">
        <v>0</v>
      </c>
      <c r="AH486" s="90">
        <v>89942</v>
      </c>
      <c r="AI486" s="24" t="s">
        <v>102</v>
      </c>
      <c r="AJ486" s="24" t="s">
        <v>103</v>
      </c>
      <c r="AK486" s="90" t="s">
        <v>85</v>
      </c>
      <c r="AL486" s="90">
        <v>227026</v>
      </c>
      <c r="AM486" s="90" t="s">
        <v>81</v>
      </c>
      <c r="AN486" s="90" t="s">
        <v>1362</v>
      </c>
      <c r="AO486" s="125" t="s">
        <v>781</v>
      </c>
      <c r="AP486" s="24" t="s">
        <v>1365</v>
      </c>
      <c r="AQ486" s="90" t="s">
        <v>1364</v>
      </c>
      <c r="AR486" s="24" t="s">
        <v>1365</v>
      </c>
      <c r="AS486" s="90" t="s">
        <v>119</v>
      </c>
      <c r="AT486" s="24" t="s">
        <v>102</v>
      </c>
      <c r="AU486" s="90" t="s">
        <v>119</v>
      </c>
      <c r="AV486" s="90" t="str">
        <f>IF(ISNUMBER(SEARCH("disagree",AE486)),"N","Y")</f>
        <v>Y</v>
      </c>
      <c r="AW486" s="90" t="s">
        <v>119</v>
      </c>
      <c r="AX486" s="24" t="s">
        <v>119</v>
      </c>
      <c r="AY486" s="90" t="str">
        <f>CONCATENATE(AZ486,BA486,BB486,BC486)</f>
        <v/>
      </c>
      <c r="AZ486" s="90" t="str">
        <f>IF(ISNUMBER(SEARCH("Y",AC486)),"R","")</f>
        <v/>
      </c>
      <c r="BA486" s="90" t="str">
        <f>IF(ISNUMBER(SEARCH("Y",Y486)),"M","")</f>
        <v/>
      </c>
      <c r="BB486" s="90" t="str">
        <f>IF(ISNUMBER(SEARCH("Y",AB486)),"QC","")</f>
        <v/>
      </c>
      <c r="BC486" s="90" t="str">
        <f>IF(ISNUMBER(SEARCH("Y",Z486)),"S","")</f>
        <v/>
      </c>
      <c r="BD486" s="90"/>
      <c r="BE486" s="24" t="s">
        <v>119</v>
      </c>
      <c r="BF486" s="125" t="str">
        <f>IF(AND(AW486&gt;=56543,AW486&lt;=76543,LEN(AW486)&gt;0),"3 Feb 2020",IF(AND(AW486&gt;=66544,AW486&lt;=99999,LEN(AW486)&gt;0),"12 Sep 2020",""))</f>
        <v/>
      </c>
      <c r="BG486" s="125" t="str">
        <f>IF((AND(BF486="3 Feb 2020",LEN(BF486)&gt;0)),"Completed",IF((AND(BF486="12 Sep 2020",LEN(BF486)&gt;0)),"Pending",""))</f>
        <v/>
      </c>
      <c r="BH486" s="90" t="str">
        <f>IF((AND(BF486="3 Feb 2020",LEN(BF486)&gt;0)),"3 Feb 2020","")</f>
        <v/>
      </c>
      <c r="BI486" s="90">
        <v>227026</v>
      </c>
      <c r="BJ486" s="90" t="str">
        <f>L486</f>
        <v>6B83GR843323-38</v>
      </c>
      <c r="BK486" s="127">
        <v>43508</v>
      </c>
      <c r="BL486" s="127">
        <v>44239</v>
      </c>
      <c r="BM486" s="128">
        <f>P486*1.1</f>
        <v>2441612.8000000003</v>
      </c>
      <c r="BN486" s="129">
        <f>P486*0.9</f>
        <v>1997683.2</v>
      </c>
      <c r="BO486" s="130">
        <f>P486*0.8</f>
        <v>1775718.4000000001</v>
      </c>
      <c r="BP486" s="90">
        <f>IF(Z486="Y",BM486*0.4,BM486*1.05)</f>
        <v>2563693.4400000004</v>
      </c>
      <c r="BQ486" s="90">
        <f>BP486*0.8</f>
        <v>2050954.7520000003</v>
      </c>
      <c r="BR486" s="90" t="str">
        <f>IF(ISNUMBER(SEARCH("subrecipient",AI482)),P486*0.6,"")</f>
        <v/>
      </c>
      <c r="BS486" s="90">
        <v>227026</v>
      </c>
      <c r="BT486" s="90" t="str">
        <f>BJ486</f>
        <v>6B83GR843323-38</v>
      </c>
      <c r="BU486" s="127">
        <f>BK486</f>
        <v>43508</v>
      </c>
      <c r="BV486" s="127">
        <f>BL486</f>
        <v>44239</v>
      </c>
      <c r="BW486" s="90" t="str">
        <f>H486</f>
        <v>NIH</v>
      </c>
      <c r="BX486" s="90" t="str">
        <f>IF(H486="NATIONAL HEMOPHILIA FOUNDATION","Non Federal","Federal")</f>
        <v>Federal</v>
      </c>
      <c r="BY486" s="128">
        <f>BM486</f>
        <v>2441612.8000000003</v>
      </c>
      <c r="BZ486" s="90" t="str">
        <f>IF(LEN(BR486)&gt;0,1,"")</f>
        <v/>
      </c>
      <c r="CA486" s="90" t="str">
        <f>IF(LEN(BR486)&gt;0,"VIRAL HEPATITIS PROJECT","")</f>
        <v/>
      </c>
      <c r="CB486" s="129" t="str">
        <f>IF(LEN(BR486)&gt;0,BM486*0.7,"")</f>
        <v/>
      </c>
      <c r="CC486" s="90">
        <f>BP486</f>
        <v>2563693.4400000004</v>
      </c>
      <c r="CD486" s="90" t="str">
        <f>IF(LEN(BR486)&gt;0,"70%","")</f>
        <v/>
      </c>
      <c r="CE486" s="90">
        <f>BS486</f>
        <v>227026</v>
      </c>
      <c r="CF486" s="90" t="str">
        <f>CA486</f>
        <v/>
      </c>
      <c r="CG486" s="90"/>
      <c r="CH486" s="90"/>
      <c r="CI486" s="90"/>
      <c r="CJ486" s="90"/>
      <c r="CK486" s="90"/>
      <c r="CL486" s="90"/>
      <c r="CM486" s="90"/>
      <c r="CN486" s="90"/>
      <c r="CO486" s="90"/>
      <c r="CP486" s="90"/>
      <c r="CQ486" s="90"/>
      <c r="CR486" s="90"/>
      <c r="CS486" s="90"/>
      <c r="CT486" s="137"/>
    </row>
    <row r="487" spans="1:98" ht="195">
      <c r="A487" s="89">
        <v>227026</v>
      </c>
      <c r="B487" s="90">
        <v>2020</v>
      </c>
      <c r="C487" s="90" t="s">
        <v>81</v>
      </c>
      <c r="D487" s="90" t="s">
        <v>1362</v>
      </c>
      <c r="E487" s="125" t="s">
        <v>784</v>
      </c>
      <c r="F487" s="24" t="s">
        <v>1363</v>
      </c>
      <c r="G487" s="90" t="s">
        <v>85</v>
      </c>
      <c r="H487" s="90" t="s">
        <v>117</v>
      </c>
      <c r="I487" s="90">
        <v>93</v>
      </c>
      <c r="J487" s="90">
        <v>157</v>
      </c>
      <c r="K487" s="90" t="s">
        <v>85</v>
      </c>
      <c r="L487" s="90" t="s">
        <v>1364</v>
      </c>
      <c r="M487" s="90" t="s">
        <v>119</v>
      </c>
      <c r="N487" s="24" t="s">
        <v>1365</v>
      </c>
      <c r="O487" s="24" t="str">
        <f>IF(ISNUMBER(SEARCH("Cancer",N487)),"Cancer",IF(ISNUMBER(SEARCH("health",N487)),"Public health",IF(ISNUMBER(SEARCH("disabilities",N487)),"Disabilities","Other")))</f>
        <v>Public health</v>
      </c>
      <c r="P487" s="126">
        <v>2219648</v>
      </c>
      <c r="Q487" s="90" t="s">
        <v>85</v>
      </c>
      <c r="R487" s="90" t="str">
        <f>IF(P487&gt;20000000,"B","A")</f>
        <v>A</v>
      </c>
      <c r="S487" s="90" t="s">
        <v>90</v>
      </c>
      <c r="T487" s="90" t="s">
        <v>119</v>
      </c>
      <c r="U487" s="90" t="s">
        <v>119</v>
      </c>
      <c r="V487" s="90" t="s">
        <v>119</v>
      </c>
      <c r="W487" s="90" t="s">
        <v>119</v>
      </c>
      <c r="X487" s="90" t="s">
        <v>119</v>
      </c>
      <c r="Y487" s="90" t="s">
        <v>119</v>
      </c>
      <c r="Z487" s="90" t="s">
        <v>119</v>
      </c>
      <c r="AA487" s="90" t="s">
        <v>119</v>
      </c>
      <c r="AB487" s="90" t="s">
        <v>119</v>
      </c>
      <c r="AC487" s="90" t="s">
        <v>119</v>
      </c>
      <c r="AD487" s="90" t="s">
        <v>119</v>
      </c>
      <c r="AE487" s="24">
        <v>0</v>
      </c>
      <c r="AF487" s="90">
        <v>0</v>
      </c>
      <c r="AG487" s="24">
        <v>0</v>
      </c>
      <c r="AH487" s="90">
        <v>89943</v>
      </c>
      <c r="AI487" s="24" t="s">
        <v>110</v>
      </c>
      <c r="AJ487" s="24" t="s">
        <v>1367</v>
      </c>
      <c r="AK487" s="90" t="s">
        <v>85</v>
      </c>
      <c r="AL487" s="90">
        <v>227026</v>
      </c>
      <c r="AM487" s="90" t="s">
        <v>81</v>
      </c>
      <c r="AN487" s="90" t="s">
        <v>1362</v>
      </c>
      <c r="AO487" s="125" t="s">
        <v>784</v>
      </c>
      <c r="AP487" s="24" t="s">
        <v>1365</v>
      </c>
      <c r="AQ487" s="90" t="s">
        <v>1364</v>
      </c>
      <c r="AR487" s="24" t="s">
        <v>1365</v>
      </c>
      <c r="AS487" s="90" t="s">
        <v>119</v>
      </c>
      <c r="AT487" s="24" t="s">
        <v>110</v>
      </c>
      <c r="AU487" s="90" t="s">
        <v>119</v>
      </c>
      <c r="AV487" s="90" t="str">
        <f>IF(ISNUMBER(SEARCH("disagree",AE487)),"N","Y")</f>
        <v>Y</v>
      </c>
      <c r="AW487" s="90" t="s">
        <v>119</v>
      </c>
      <c r="AX487" s="24" t="s">
        <v>119</v>
      </c>
      <c r="AY487" s="90" t="str">
        <f>CONCATENATE(AZ487,BA487,BB487,BC487)</f>
        <v/>
      </c>
      <c r="AZ487" s="90" t="str">
        <f>IF(ISNUMBER(SEARCH("Y",AC487)),"R","")</f>
        <v/>
      </c>
      <c r="BA487" s="90" t="str">
        <f>IF(ISNUMBER(SEARCH("Y",Y487)),"M","")</f>
        <v/>
      </c>
      <c r="BB487" s="90" t="str">
        <f>IF(ISNUMBER(SEARCH("Y",AB487)),"QC","")</f>
        <v/>
      </c>
      <c r="BC487" s="90" t="str">
        <f>IF(ISNUMBER(SEARCH("Y",Z487)),"S","")</f>
        <v/>
      </c>
      <c r="BD487" s="90"/>
      <c r="BE487" s="24" t="s">
        <v>119</v>
      </c>
      <c r="BF487" s="125" t="str">
        <f>IF(AND(AW487&gt;=56543,AW487&lt;=76543,LEN(AW487)&gt;0),"3 Feb 2020",IF(AND(AW487&gt;=66544,AW487&lt;=99999,LEN(AW487)&gt;0),"12 Sep 2020",""))</f>
        <v/>
      </c>
      <c r="BG487" s="125" t="str">
        <f>IF((AND(BF487="3 Feb 2020",LEN(BF487)&gt;0)),"Completed",IF((AND(BF487="12 Sep 2020",LEN(BF487)&gt;0)),"Pending",""))</f>
        <v/>
      </c>
      <c r="BH487" s="90" t="str">
        <f>IF((AND(BF487="3 Feb 2020",LEN(BF487)&gt;0)),"3 Feb 2020","")</f>
        <v/>
      </c>
      <c r="BI487" s="90">
        <v>227026</v>
      </c>
      <c r="BJ487" s="90" t="str">
        <f>L487</f>
        <v>6B83GR843323-38</v>
      </c>
      <c r="BK487" s="127">
        <v>43508</v>
      </c>
      <c r="BL487" s="127">
        <v>44239</v>
      </c>
      <c r="BM487" s="128">
        <f>P487*1.1</f>
        <v>2441612.8000000003</v>
      </c>
      <c r="BN487" s="129">
        <f>P487*0.9</f>
        <v>1997683.2</v>
      </c>
      <c r="BO487" s="130">
        <f>P487*0.8</f>
        <v>1775718.4000000001</v>
      </c>
      <c r="BP487" s="90">
        <f>IF(Z487="Y",BM487*0.4,BM487*1.05)</f>
        <v>2563693.4400000004</v>
      </c>
      <c r="BQ487" s="90">
        <f>BP487*0.8</f>
        <v>2050954.7520000003</v>
      </c>
      <c r="BR487" s="90" t="str">
        <f>IF(ISNUMBER(SEARCH("subrecipient",AI483)),P487*0.6,"")</f>
        <v/>
      </c>
      <c r="BS487" s="90">
        <v>227026</v>
      </c>
      <c r="BT487" s="90" t="str">
        <f>BJ487</f>
        <v>6B83GR843323-38</v>
      </c>
      <c r="BU487" s="127">
        <f>BK487</f>
        <v>43508</v>
      </c>
      <c r="BV487" s="127">
        <f>BL487</f>
        <v>44239</v>
      </c>
      <c r="BW487" s="90" t="str">
        <f>H487</f>
        <v>NIH</v>
      </c>
      <c r="BX487" s="90" t="str">
        <f>IF(H487="NATIONAL HEMOPHILIA FOUNDATION","Non Federal","Federal")</f>
        <v>Federal</v>
      </c>
      <c r="BY487" s="128">
        <f>BM487</f>
        <v>2441612.8000000003</v>
      </c>
      <c r="BZ487" s="90" t="str">
        <f>IF(LEN(BR487)&gt;0,1,"")</f>
        <v/>
      </c>
      <c r="CA487" s="90" t="str">
        <f>IF(LEN(BR487)&gt;0,"VIRAL HEPATITIS PROJECT","")</f>
        <v/>
      </c>
      <c r="CB487" s="129" t="str">
        <f>IF(LEN(BR487)&gt;0,BM487*0.7,"")</f>
        <v/>
      </c>
      <c r="CC487" s="90">
        <f>BP487</f>
        <v>2563693.4400000004</v>
      </c>
      <c r="CD487" s="90" t="str">
        <f>IF(LEN(BR487)&gt;0,"70%","")</f>
        <v/>
      </c>
      <c r="CE487" s="90">
        <f>BS487</f>
        <v>227026</v>
      </c>
      <c r="CF487" s="90" t="str">
        <f>CA487</f>
        <v/>
      </c>
      <c r="CG487" s="90"/>
      <c r="CH487" s="90"/>
      <c r="CI487" s="90"/>
      <c r="CJ487" s="90"/>
      <c r="CK487" s="90"/>
      <c r="CL487" s="90"/>
      <c r="CM487" s="90"/>
      <c r="CN487" s="90"/>
      <c r="CO487" s="90"/>
      <c r="CP487" s="90"/>
      <c r="CQ487" s="90"/>
      <c r="CR487" s="90"/>
      <c r="CS487" s="90"/>
      <c r="CT487" s="137"/>
    </row>
    <row r="488" spans="1:98" ht="180">
      <c r="A488" s="89">
        <v>227039</v>
      </c>
      <c r="B488" s="90">
        <v>2020</v>
      </c>
      <c r="C488" s="90" t="s">
        <v>81</v>
      </c>
      <c r="D488" s="90" t="s">
        <v>1368</v>
      </c>
      <c r="E488" s="125" t="s">
        <v>790</v>
      </c>
      <c r="F488" s="24" t="s">
        <v>1369</v>
      </c>
      <c r="G488" s="90" t="s">
        <v>85</v>
      </c>
      <c r="H488" s="90" t="s">
        <v>132</v>
      </c>
      <c r="I488" s="90">
        <v>93</v>
      </c>
      <c r="J488" s="90">
        <v>157</v>
      </c>
      <c r="K488" s="90" t="s">
        <v>85</v>
      </c>
      <c r="L488" s="90" t="s">
        <v>1370</v>
      </c>
      <c r="M488" s="90" t="s">
        <v>119</v>
      </c>
      <c r="N488" s="24" t="s">
        <v>1371</v>
      </c>
      <c r="O488" s="24" t="str">
        <f>IF(ISNUMBER(SEARCH("Cancer",N488)),"Cancer",IF(ISNUMBER(SEARCH("health",N488)),"Public health",IF(ISNUMBER(SEARCH("disabilities",N488)),"Disabilities","Other")))</f>
        <v>Other</v>
      </c>
      <c r="P488" s="126">
        <v>2203695</v>
      </c>
      <c r="Q488" s="90" t="s">
        <v>85</v>
      </c>
      <c r="R488" s="90" t="str">
        <f>IF(P488&gt;20000000,"B","A")</f>
        <v>A</v>
      </c>
      <c r="S488" s="90" t="s">
        <v>90</v>
      </c>
      <c r="T488" s="90" t="s">
        <v>119</v>
      </c>
      <c r="U488" s="90" t="s">
        <v>119</v>
      </c>
      <c r="V488" s="90" t="s">
        <v>119</v>
      </c>
      <c r="W488" s="90" t="s">
        <v>119</v>
      </c>
      <c r="X488" s="90" t="s">
        <v>119</v>
      </c>
      <c r="Y488" s="90" t="s">
        <v>119</v>
      </c>
      <c r="Z488" s="90" t="s">
        <v>119</v>
      </c>
      <c r="AA488" s="90" t="s">
        <v>119</v>
      </c>
      <c r="AB488" s="90" t="s">
        <v>119</v>
      </c>
      <c r="AC488" s="90" t="s">
        <v>119</v>
      </c>
      <c r="AD488" s="90" t="s">
        <v>119</v>
      </c>
      <c r="AE488" s="24">
        <v>0</v>
      </c>
      <c r="AF488" s="90">
        <v>0</v>
      </c>
      <c r="AG488" s="24">
        <v>0</v>
      </c>
      <c r="AH488" s="90">
        <v>78748</v>
      </c>
      <c r="AI488" s="24" t="s">
        <v>94</v>
      </c>
      <c r="AJ488" s="24" t="s">
        <v>1142</v>
      </c>
      <c r="AK488" s="90" t="s">
        <v>85</v>
      </c>
      <c r="AL488" s="90">
        <v>227039</v>
      </c>
      <c r="AM488" s="90" t="s">
        <v>81</v>
      </c>
      <c r="AN488" s="90" t="s">
        <v>1368</v>
      </c>
      <c r="AO488" s="125" t="s">
        <v>790</v>
      </c>
      <c r="AP488" s="24" t="s">
        <v>1371</v>
      </c>
      <c r="AQ488" s="90" t="s">
        <v>1370</v>
      </c>
      <c r="AR488" s="24" t="s">
        <v>1371</v>
      </c>
      <c r="AS488" s="90" t="s">
        <v>119</v>
      </c>
      <c r="AT488" s="24" t="s">
        <v>94</v>
      </c>
      <c r="AU488" s="90" t="s">
        <v>119</v>
      </c>
      <c r="AV488" s="90" t="str">
        <f>IF(ISNUMBER(SEARCH("disagree",AE488)),"N","Y")</f>
        <v>Y</v>
      </c>
      <c r="AW488" s="90" t="s">
        <v>119</v>
      </c>
      <c r="AX488" s="24" t="s">
        <v>119</v>
      </c>
      <c r="AY488" s="90" t="str">
        <f>CONCATENATE(AZ488,BA488,BB488,BC488)</f>
        <v/>
      </c>
      <c r="AZ488" s="90" t="str">
        <f>IF(ISNUMBER(SEARCH("Y",AC488)),"R","")</f>
        <v/>
      </c>
      <c r="BA488" s="90" t="str">
        <f>IF(ISNUMBER(SEARCH("Y",Y488)),"M","")</f>
        <v/>
      </c>
      <c r="BB488" s="90" t="str">
        <f>IF(ISNUMBER(SEARCH("Y",AB488)),"QC","")</f>
        <v/>
      </c>
      <c r="BC488" s="90" t="str">
        <f>IF(ISNUMBER(SEARCH("Y",Z488)),"S","")</f>
        <v/>
      </c>
      <c r="BD488" s="90"/>
      <c r="BE488" s="24" t="s">
        <v>119</v>
      </c>
      <c r="BF488" s="125" t="str">
        <f>IF(AND(AW488&gt;=56543,AW488&lt;=76543,LEN(AW488)&gt;0),"3 Feb 2020",IF(AND(AW488&gt;=66544,AW488&lt;=99999,LEN(AW488)&gt;0),"12 Sep 2020",""))</f>
        <v/>
      </c>
      <c r="BG488" s="125" t="str">
        <f>IF((AND(BF488="3 Feb 2020",LEN(BF488)&gt;0)),"Completed",IF((AND(BF488="12 Sep 2020",LEN(BF488)&gt;0)),"Pending",""))</f>
        <v/>
      </c>
      <c r="BH488" s="90" t="str">
        <f>IF((AND(BF488="3 Feb 2020",LEN(BF488)&gt;0)),"3 Feb 2020","")</f>
        <v/>
      </c>
      <c r="BI488" s="90">
        <v>227039</v>
      </c>
      <c r="BJ488" s="90" t="str">
        <f>L488</f>
        <v>8C86BS843823-18</v>
      </c>
      <c r="BK488" s="127">
        <v>43508</v>
      </c>
      <c r="BL488" s="127">
        <v>44239</v>
      </c>
      <c r="BM488" s="128">
        <f>P488*1.1</f>
        <v>2424064.5</v>
      </c>
      <c r="BN488" s="129">
        <f>P488*0.9</f>
        <v>1983325.5</v>
      </c>
      <c r="BO488" s="130">
        <f>P488*0.8</f>
        <v>1762956</v>
      </c>
      <c r="BP488" s="90">
        <f>IF(Z488="Y",BM488*0.4,BM488*1.05)</f>
        <v>2545267.7250000001</v>
      </c>
      <c r="BQ488" s="90">
        <f>BP488*0.8</f>
        <v>2036214.1800000002</v>
      </c>
      <c r="BR488" s="90" t="str">
        <f>IF(ISNUMBER(SEARCH("subrecipient",AI484)),P488*0.6,"")</f>
        <v/>
      </c>
      <c r="BS488" s="90">
        <v>227039</v>
      </c>
      <c r="BT488" s="90" t="str">
        <f>BJ488</f>
        <v>8C86BS843823-18</v>
      </c>
      <c r="BU488" s="127">
        <f>BK488</f>
        <v>43508</v>
      </c>
      <c r="BV488" s="127">
        <f>BL488</f>
        <v>44239</v>
      </c>
      <c r="BW488" s="90" t="str">
        <f>H488</f>
        <v>FDA</v>
      </c>
      <c r="BX488" s="90" t="str">
        <f>IF(H488="NATIONAL HEMOPHILIA FOUNDATION","Non Federal","Federal")</f>
        <v>Federal</v>
      </c>
      <c r="BY488" s="128">
        <f>BM488</f>
        <v>2424064.5</v>
      </c>
      <c r="BZ488" s="90" t="str">
        <f>IF(LEN(BR488)&gt;0,1,"")</f>
        <v/>
      </c>
      <c r="CA488" s="90" t="str">
        <f>IF(LEN(BR488)&gt;0,"VIRAL HEPATITIS PROJECT","")</f>
        <v/>
      </c>
      <c r="CB488" s="129" t="str">
        <f>IF(LEN(BR488)&gt;0,BM488*0.7,"")</f>
        <v/>
      </c>
      <c r="CC488" s="90">
        <f>BP488</f>
        <v>2545267.7250000001</v>
      </c>
      <c r="CD488" s="90" t="str">
        <f>IF(LEN(BR488)&gt;0,"70%","")</f>
        <v/>
      </c>
      <c r="CE488" s="90">
        <f>BS488</f>
        <v>227039</v>
      </c>
      <c r="CF488" s="90" t="str">
        <f>CA488</f>
        <v/>
      </c>
      <c r="CG488" s="90"/>
      <c r="CH488" s="90"/>
      <c r="CI488" s="90"/>
      <c r="CJ488" s="90"/>
      <c r="CK488" s="90"/>
      <c r="CL488" s="90"/>
      <c r="CM488" s="90"/>
      <c r="CN488" s="90"/>
      <c r="CO488" s="90"/>
      <c r="CP488" s="90"/>
      <c r="CQ488" s="90"/>
      <c r="CR488" s="90"/>
      <c r="CS488" s="90"/>
      <c r="CT488" s="137"/>
    </row>
    <row r="489" spans="1:98" ht="90">
      <c r="A489" s="89">
        <v>227039</v>
      </c>
      <c r="B489" s="90">
        <v>2020</v>
      </c>
      <c r="C489" s="90" t="s">
        <v>81</v>
      </c>
      <c r="D489" s="90" t="s">
        <v>1368</v>
      </c>
      <c r="E489" s="125" t="s">
        <v>791</v>
      </c>
      <c r="F489" s="24" t="s">
        <v>1369</v>
      </c>
      <c r="G489" s="90" t="s">
        <v>85</v>
      </c>
      <c r="H489" s="90" t="s">
        <v>132</v>
      </c>
      <c r="I489" s="90">
        <v>93</v>
      </c>
      <c r="J489" s="90">
        <v>157</v>
      </c>
      <c r="K489" s="90" t="s">
        <v>85</v>
      </c>
      <c r="L489" s="90" t="s">
        <v>1370</v>
      </c>
      <c r="M489" s="90" t="s">
        <v>119</v>
      </c>
      <c r="N489" s="24" t="s">
        <v>1371</v>
      </c>
      <c r="O489" s="24" t="str">
        <f>IF(ISNUMBER(SEARCH("Cancer",N489)),"Cancer",IF(ISNUMBER(SEARCH("health",N489)),"Public health",IF(ISNUMBER(SEARCH("disabilities",N489)),"Disabilities","Other")))</f>
        <v>Other</v>
      </c>
      <c r="P489" s="126">
        <v>2203695</v>
      </c>
      <c r="Q489" s="90" t="s">
        <v>85</v>
      </c>
      <c r="R489" s="90" t="str">
        <f>IF(P489&gt;20000000,"B","A")</f>
        <v>A</v>
      </c>
      <c r="S489" s="90" t="s">
        <v>90</v>
      </c>
      <c r="T489" s="90" t="s">
        <v>119</v>
      </c>
      <c r="U489" s="90" t="s">
        <v>119</v>
      </c>
      <c r="V489" s="90" t="s">
        <v>119</v>
      </c>
      <c r="W489" s="90" t="s">
        <v>119</v>
      </c>
      <c r="X489" s="90" t="s">
        <v>119</v>
      </c>
      <c r="Y489" s="90" t="s">
        <v>119</v>
      </c>
      <c r="Z489" s="90" t="s">
        <v>119</v>
      </c>
      <c r="AA489" s="90" t="s">
        <v>119</v>
      </c>
      <c r="AB489" s="90" t="s">
        <v>119</v>
      </c>
      <c r="AC489" s="90" t="s">
        <v>119</v>
      </c>
      <c r="AD489" s="90" t="s">
        <v>119</v>
      </c>
      <c r="AE489" s="24">
        <v>0</v>
      </c>
      <c r="AF489" s="90">
        <v>0</v>
      </c>
      <c r="AG489" s="24">
        <v>0</v>
      </c>
      <c r="AH489" s="90">
        <v>78749</v>
      </c>
      <c r="AI489" s="24" t="s">
        <v>102</v>
      </c>
      <c r="AJ489" s="24" t="s">
        <v>103</v>
      </c>
      <c r="AK489" s="90" t="s">
        <v>85</v>
      </c>
      <c r="AL489" s="90">
        <v>227039</v>
      </c>
      <c r="AM489" s="90" t="s">
        <v>81</v>
      </c>
      <c r="AN489" s="90" t="s">
        <v>1368</v>
      </c>
      <c r="AO489" s="125" t="s">
        <v>791</v>
      </c>
      <c r="AP489" s="24" t="s">
        <v>1371</v>
      </c>
      <c r="AQ489" s="90" t="s">
        <v>1370</v>
      </c>
      <c r="AR489" s="24" t="s">
        <v>1371</v>
      </c>
      <c r="AS489" s="90" t="s">
        <v>119</v>
      </c>
      <c r="AT489" s="24" t="s">
        <v>102</v>
      </c>
      <c r="AU489" s="90" t="s">
        <v>119</v>
      </c>
      <c r="AV489" s="90" t="str">
        <f>IF(ISNUMBER(SEARCH("disagree",AE489)),"N","Y")</f>
        <v>Y</v>
      </c>
      <c r="AW489" s="90" t="s">
        <v>119</v>
      </c>
      <c r="AX489" s="24" t="s">
        <v>119</v>
      </c>
      <c r="AY489" s="90" t="str">
        <f>CONCATENATE(AZ489,BA489,BB489,BC489)</f>
        <v/>
      </c>
      <c r="AZ489" s="90" t="str">
        <f>IF(ISNUMBER(SEARCH("Y",AC489)),"R","")</f>
        <v/>
      </c>
      <c r="BA489" s="90" t="str">
        <f>IF(ISNUMBER(SEARCH("Y",Y489)),"M","")</f>
        <v/>
      </c>
      <c r="BB489" s="90" t="str">
        <f>IF(ISNUMBER(SEARCH("Y",AB489)),"QC","")</f>
        <v/>
      </c>
      <c r="BC489" s="90" t="str">
        <f>IF(ISNUMBER(SEARCH("Y",Z489)),"S","")</f>
        <v/>
      </c>
      <c r="BD489" s="90"/>
      <c r="BE489" s="24" t="s">
        <v>119</v>
      </c>
      <c r="BF489" s="125" t="str">
        <f>IF(AND(AW489&gt;=56543,AW489&lt;=76543,LEN(AW489)&gt;0),"3 Feb 2020",IF(AND(AW489&gt;=66544,AW489&lt;=99999,LEN(AW489)&gt;0),"12 Sep 2020",""))</f>
        <v/>
      </c>
      <c r="BG489" s="125" t="str">
        <f>IF((AND(BF489="3 Feb 2020",LEN(BF489)&gt;0)),"Completed",IF((AND(BF489="12 Sep 2020",LEN(BF489)&gt;0)),"Pending",""))</f>
        <v/>
      </c>
      <c r="BH489" s="90" t="str">
        <f>IF((AND(BF489="3 Feb 2020",LEN(BF489)&gt;0)),"3 Feb 2020","")</f>
        <v/>
      </c>
      <c r="BI489" s="90">
        <v>227039</v>
      </c>
      <c r="BJ489" s="90" t="str">
        <f>L489</f>
        <v>8C86BS843823-18</v>
      </c>
      <c r="BK489" s="127">
        <v>43508</v>
      </c>
      <c r="BL489" s="127">
        <v>44239</v>
      </c>
      <c r="BM489" s="128">
        <f>P489*1.1</f>
        <v>2424064.5</v>
      </c>
      <c r="BN489" s="129">
        <f>P489*0.9</f>
        <v>1983325.5</v>
      </c>
      <c r="BO489" s="130">
        <f>P489*0.8</f>
        <v>1762956</v>
      </c>
      <c r="BP489" s="90">
        <f>IF(Z489="Y",BM489*0.4,BM489*1.05)</f>
        <v>2545267.7250000001</v>
      </c>
      <c r="BQ489" s="90">
        <f>BP489*0.8</f>
        <v>2036214.1800000002</v>
      </c>
      <c r="BR489" s="90" t="str">
        <f>IF(ISNUMBER(SEARCH("subrecipient",AI485)),P489*0.6,"")</f>
        <v/>
      </c>
      <c r="BS489" s="90">
        <v>227039</v>
      </c>
      <c r="BT489" s="90" t="str">
        <f>BJ489</f>
        <v>8C86BS843823-18</v>
      </c>
      <c r="BU489" s="127">
        <f>BK489</f>
        <v>43508</v>
      </c>
      <c r="BV489" s="127">
        <f>BL489</f>
        <v>44239</v>
      </c>
      <c r="BW489" s="90" t="str">
        <f>H489</f>
        <v>FDA</v>
      </c>
      <c r="BX489" s="90" t="str">
        <f>IF(H489="NATIONAL HEMOPHILIA FOUNDATION","Non Federal","Federal")</f>
        <v>Federal</v>
      </c>
      <c r="BY489" s="128">
        <f>BM489</f>
        <v>2424064.5</v>
      </c>
      <c r="BZ489" s="90" t="str">
        <f>IF(LEN(BR489)&gt;0,1,"")</f>
        <v/>
      </c>
      <c r="CA489" s="90" t="str">
        <f>IF(LEN(BR489)&gt;0,"VIRAL HEPATITIS PROJECT","")</f>
        <v/>
      </c>
      <c r="CB489" s="129" t="str">
        <f>IF(LEN(BR489)&gt;0,BM489*0.7,"")</f>
        <v/>
      </c>
      <c r="CC489" s="90">
        <f>BP489</f>
        <v>2545267.7250000001</v>
      </c>
      <c r="CD489" s="90" t="str">
        <f>IF(LEN(BR489)&gt;0,"70%","")</f>
        <v/>
      </c>
      <c r="CE489" s="90">
        <f>BS489</f>
        <v>227039</v>
      </c>
      <c r="CF489" s="90" t="str">
        <f>CA489</f>
        <v/>
      </c>
      <c r="CG489" s="90"/>
      <c r="CH489" s="90"/>
      <c r="CI489" s="90"/>
      <c r="CJ489" s="90"/>
      <c r="CK489" s="90"/>
      <c r="CL489" s="90"/>
      <c r="CM489" s="90"/>
      <c r="CN489" s="90"/>
      <c r="CO489" s="90"/>
      <c r="CP489" s="90"/>
      <c r="CQ489" s="90"/>
      <c r="CR489" s="90"/>
      <c r="CS489" s="90"/>
      <c r="CT489" s="137"/>
    </row>
    <row r="490" spans="1:98" ht="90">
      <c r="A490" s="89">
        <v>227039</v>
      </c>
      <c r="B490" s="90">
        <v>2020</v>
      </c>
      <c r="C490" s="90" t="s">
        <v>81</v>
      </c>
      <c r="D490" s="90" t="s">
        <v>1368</v>
      </c>
      <c r="E490" s="125" t="s">
        <v>793</v>
      </c>
      <c r="F490" s="24" t="s">
        <v>1369</v>
      </c>
      <c r="G490" s="90" t="s">
        <v>85</v>
      </c>
      <c r="H490" s="90" t="s">
        <v>132</v>
      </c>
      <c r="I490" s="90">
        <v>93</v>
      </c>
      <c r="J490" s="90">
        <v>157</v>
      </c>
      <c r="K490" s="90" t="s">
        <v>85</v>
      </c>
      <c r="L490" s="90" t="s">
        <v>1370</v>
      </c>
      <c r="M490" s="90" t="s">
        <v>119</v>
      </c>
      <c r="N490" s="24" t="s">
        <v>1371</v>
      </c>
      <c r="O490" s="24" t="str">
        <f>IF(ISNUMBER(SEARCH("Cancer",N490)),"Cancer",IF(ISNUMBER(SEARCH("health",N490)),"Public health",IF(ISNUMBER(SEARCH("disabilities",N490)),"Disabilities","Other")))</f>
        <v>Other</v>
      </c>
      <c r="P490" s="126">
        <v>2203695</v>
      </c>
      <c r="Q490" s="90" t="s">
        <v>85</v>
      </c>
      <c r="R490" s="90" t="str">
        <f>IF(P490&gt;20000000,"B","A")</f>
        <v>A</v>
      </c>
      <c r="S490" s="90" t="s">
        <v>90</v>
      </c>
      <c r="T490" s="90" t="s">
        <v>119</v>
      </c>
      <c r="U490" s="90" t="s">
        <v>119</v>
      </c>
      <c r="V490" s="90" t="s">
        <v>119</v>
      </c>
      <c r="W490" s="90" t="s">
        <v>119</v>
      </c>
      <c r="X490" s="90" t="s">
        <v>119</v>
      </c>
      <c r="Y490" s="90" t="s">
        <v>119</v>
      </c>
      <c r="Z490" s="90" t="s">
        <v>119</v>
      </c>
      <c r="AA490" s="90" t="s">
        <v>119</v>
      </c>
      <c r="AB490" s="90" t="s">
        <v>119</v>
      </c>
      <c r="AC490" s="90" t="s">
        <v>119</v>
      </c>
      <c r="AD490" s="90" t="s">
        <v>119</v>
      </c>
      <c r="AE490" s="24">
        <v>0</v>
      </c>
      <c r="AF490" s="90">
        <v>0</v>
      </c>
      <c r="AG490" s="24">
        <v>0</v>
      </c>
      <c r="AH490" s="90">
        <v>78747</v>
      </c>
      <c r="AI490" s="24" t="s">
        <v>110</v>
      </c>
      <c r="AJ490" s="24" t="s">
        <v>1372</v>
      </c>
      <c r="AK490" s="90" t="s">
        <v>85</v>
      </c>
      <c r="AL490" s="90">
        <v>227039</v>
      </c>
      <c r="AM490" s="90" t="s">
        <v>81</v>
      </c>
      <c r="AN490" s="90" t="s">
        <v>1368</v>
      </c>
      <c r="AO490" s="125" t="s">
        <v>793</v>
      </c>
      <c r="AP490" s="24" t="s">
        <v>1371</v>
      </c>
      <c r="AQ490" s="90" t="s">
        <v>1370</v>
      </c>
      <c r="AR490" s="24" t="s">
        <v>1371</v>
      </c>
      <c r="AS490" s="90" t="s">
        <v>119</v>
      </c>
      <c r="AT490" s="24" t="s">
        <v>110</v>
      </c>
      <c r="AU490" s="90" t="s">
        <v>119</v>
      </c>
      <c r="AV490" s="90" t="str">
        <f>IF(ISNUMBER(SEARCH("disagree",AE490)),"N","Y")</f>
        <v>Y</v>
      </c>
      <c r="AW490" s="90" t="s">
        <v>119</v>
      </c>
      <c r="AX490" s="24" t="s">
        <v>119</v>
      </c>
      <c r="AY490" s="90" t="str">
        <f>CONCATENATE(AZ490,BA490,BB490,BC490)</f>
        <v/>
      </c>
      <c r="AZ490" s="90" t="str">
        <f>IF(ISNUMBER(SEARCH("Y",AC490)),"R","")</f>
        <v/>
      </c>
      <c r="BA490" s="90" t="str">
        <f>IF(ISNUMBER(SEARCH("Y",Y490)),"M","")</f>
        <v/>
      </c>
      <c r="BB490" s="90" t="str">
        <f>IF(ISNUMBER(SEARCH("Y",AB490)),"QC","")</f>
        <v/>
      </c>
      <c r="BC490" s="90" t="str">
        <f>IF(ISNUMBER(SEARCH("Y",Z490)),"S","")</f>
        <v/>
      </c>
      <c r="BD490" s="90"/>
      <c r="BE490" s="24" t="s">
        <v>119</v>
      </c>
      <c r="BF490" s="125" t="str">
        <f>IF(AND(AW490&gt;=56543,AW490&lt;=76543,LEN(AW490)&gt;0),"3 Feb 2020",IF(AND(AW490&gt;=66544,AW490&lt;=99999,LEN(AW490)&gt;0),"12 Sep 2020",""))</f>
        <v/>
      </c>
      <c r="BG490" s="125" t="str">
        <f>IF((AND(BF490="3 Feb 2020",LEN(BF490)&gt;0)),"Completed",IF((AND(BF490="12 Sep 2020",LEN(BF490)&gt;0)),"Pending",""))</f>
        <v/>
      </c>
      <c r="BH490" s="90" t="str">
        <f>IF((AND(BF490="3 Feb 2020",LEN(BF490)&gt;0)),"3 Feb 2020","")</f>
        <v/>
      </c>
      <c r="BI490" s="90">
        <v>227039</v>
      </c>
      <c r="BJ490" s="90" t="str">
        <f>L490</f>
        <v>8C86BS843823-18</v>
      </c>
      <c r="BK490" s="127">
        <v>43508</v>
      </c>
      <c r="BL490" s="127">
        <v>44239</v>
      </c>
      <c r="BM490" s="128">
        <f>P490*1.1</f>
        <v>2424064.5</v>
      </c>
      <c r="BN490" s="129">
        <f>P490*0.9</f>
        <v>1983325.5</v>
      </c>
      <c r="BO490" s="130">
        <f>P490*0.8</f>
        <v>1762956</v>
      </c>
      <c r="BP490" s="90">
        <f>IF(Z490="Y",BM490*0.4,BM490*1.05)</f>
        <v>2545267.7250000001</v>
      </c>
      <c r="BQ490" s="90">
        <f>BP490*0.8</f>
        <v>2036214.1800000002</v>
      </c>
      <c r="BR490" s="90" t="str">
        <f>IF(ISNUMBER(SEARCH("subrecipient",AI486)),P490*0.6,"")</f>
        <v/>
      </c>
      <c r="BS490" s="90">
        <v>227039</v>
      </c>
      <c r="BT490" s="90" t="str">
        <f>BJ490</f>
        <v>8C86BS843823-18</v>
      </c>
      <c r="BU490" s="127">
        <f>BK490</f>
        <v>43508</v>
      </c>
      <c r="BV490" s="127">
        <f>BL490</f>
        <v>44239</v>
      </c>
      <c r="BW490" s="90" t="str">
        <f>H490</f>
        <v>FDA</v>
      </c>
      <c r="BX490" s="90" t="str">
        <f>IF(H490="NATIONAL HEMOPHILIA FOUNDATION","Non Federal","Federal")</f>
        <v>Federal</v>
      </c>
      <c r="BY490" s="128">
        <f>BM490</f>
        <v>2424064.5</v>
      </c>
      <c r="BZ490" s="90" t="str">
        <f>IF(LEN(BR490)&gt;0,1,"")</f>
        <v/>
      </c>
      <c r="CA490" s="90" t="str">
        <f>IF(LEN(BR490)&gt;0,"VIRAL HEPATITIS PROJECT","")</f>
        <v/>
      </c>
      <c r="CB490" s="129" t="str">
        <f>IF(LEN(BR490)&gt;0,BM490*0.7,"")</f>
        <v/>
      </c>
      <c r="CC490" s="90">
        <f>BP490</f>
        <v>2545267.7250000001</v>
      </c>
      <c r="CD490" s="90" t="str">
        <f>IF(LEN(BR490)&gt;0,"70%","")</f>
        <v/>
      </c>
      <c r="CE490" s="90">
        <f>BS490</f>
        <v>227039</v>
      </c>
      <c r="CF490" s="90" t="str">
        <f>CA490</f>
        <v/>
      </c>
      <c r="CG490" s="90"/>
      <c r="CH490" s="90"/>
      <c r="CI490" s="90"/>
      <c r="CJ490" s="90"/>
      <c r="CK490" s="90"/>
      <c r="CL490" s="90"/>
      <c r="CM490" s="90"/>
      <c r="CN490" s="90"/>
      <c r="CO490" s="90"/>
      <c r="CP490" s="90"/>
      <c r="CQ490" s="90"/>
      <c r="CR490" s="90"/>
      <c r="CS490" s="90"/>
      <c r="CT490" s="137"/>
    </row>
    <row r="491" spans="1:98" ht="150">
      <c r="A491" s="89">
        <v>227051</v>
      </c>
      <c r="B491" s="90">
        <v>2020</v>
      </c>
      <c r="C491" s="90" t="s">
        <v>81</v>
      </c>
      <c r="D491" s="90" t="s">
        <v>1373</v>
      </c>
      <c r="E491" s="125" t="s">
        <v>780</v>
      </c>
      <c r="F491" s="24" t="s">
        <v>1374</v>
      </c>
      <c r="G491" s="90" t="s">
        <v>85</v>
      </c>
      <c r="H491" s="90" t="s">
        <v>150</v>
      </c>
      <c r="I491" s="90">
        <v>93</v>
      </c>
      <c r="J491" s="90">
        <v>157</v>
      </c>
      <c r="K491" s="90" t="s">
        <v>85</v>
      </c>
      <c r="L491" s="90" t="s">
        <v>1375</v>
      </c>
      <c r="M491" s="90" t="s">
        <v>119</v>
      </c>
      <c r="N491" s="24" t="s">
        <v>1376</v>
      </c>
      <c r="O491" s="24" t="str">
        <f>IF(ISNUMBER(SEARCH("Cancer",N491)),"Cancer",IF(ISNUMBER(SEARCH("health",N491)),"Public health",IF(ISNUMBER(SEARCH("disabilities",N491)),"Disabilities","Other")))</f>
        <v>Other</v>
      </c>
      <c r="P491" s="126">
        <v>2599023</v>
      </c>
      <c r="Q491" s="90" t="s">
        <v>85</v>
      </c>
      <c r="R491" s="90" t="str">
        <f>IF(P491&gt;20000000,"B","A")</f>
        <v>A</v>
      </c>
      <c r="S491" s="90" t="s">
        <v>90</v>
      </c>
      <c r="T491" s="90" t="s">
        <v>119</v>
      </c>
      <c r="U491" s="90" t="s">
        <v>119</v>
      </c>
      <c r="V491" s="90" t="s">
        <v>119</v>
      </c>
      <c r="W491" s="90" t="s">
        <v>119</v>
      </c>
      <c r="X491" s="90" t="s">
        <v>119</v>
      </c>
      <c r="Y491" s="90" t="s">
        <v>119</v>
      </c>
      <c r="Z491" s="90" t="s">
        <v>119</v>
      </c>
      <c r="AA491" s="90" t="s">
        <v>119</v>
      </c>
      <c r="AB491" s="90" t="s">
        <v>119</v>
      </c>
      <c r="AC491" s="90" t="s">
        <v>119</v>
      </c>
      <c r="AD491" s="90" t="s">
        <v>119</v>
      </c>
      <c r="AE491" s="24">
        <v>0</v>
      </c>
      <c r="AF491" s="90">
        <v>0</v>
      </c>
      <c r="AG491" s="24">
        <v>0</v>
      </c>
      <c r="AH491" s="90">
        <v>87168</v>
      </c>
      <c r="AI491" s="24" t="s">
        <v>94</v>
      </c>
      <c r="AJ491" s="24" t="s">
        <v>1377</v>
      </c>
      <c r="AK491" s="90" t="s">
        <v>85</v>
      </c>
      <c r="AL491" s="90">
        <v>227051</v>
      </c>
      <c r="AM491" s="90" t="s">
        <v>81</v>
      </c>
      <c r="AN491" s="90" t="s">
        <v>1373</v>
      </c>
      <c r="AO491" s="125" t="s">
        <v>780</v>
      </c>
      <c r="AP491" s="24" t="s">
        <v>1376</v>
      </c>
      <c r="AQ491" s="90" t="s">
        <v>1375</v>
      </c>
      <c r="AR491" s="24" t="s">
        <v>1376</v>
      </c>
      <c r="AS491" s="90" t="s">
        <v>119</v>
      </c>
      <c r="AT491" s="24" t="s">
        <v>94</v>
      </c>
      <c r="AU491" s="90" t="s">
        <v>119</v>
      </c>
      <c r="AV491" s="90" t="str">
        <f>IF(ISNUMBER(SEARCH("disagree",AE491)),"N","Y")</f>
        <v>Y</v>
      </c>
      <c r="AW491" s="90" t="s">
        <v>119</v>
      </c>
      <c r="AX491" s="24" t="s">
        <v>119</v>
      </c>
      <c r="AY491" s="90" t="str">
        <f>CONCATENATE(AZ491,BA491,BB491,BC491)</f>
        <v/>
      </c>
      <c r="AZ491" s="90" t="str">
        <f>IF(ISNUMBER(SEARCH("Y",AC491)),"R","")</f>
        <v/>
      </c>
      <c r="BA491" s="90" t="str">
        <f>IF(ISNUMBER(SEARCH("Y",Y491)),"M","")</f>
        <v/>
      </c>
      <c r="BB491" s="90" t="str">
        <f>IF(ISNUMBER(SEARCH("Y",AB491)),"QC","")</f>
        <v/>
      </c>
      <c r="BC491" s="90" t="str">
        <f>IF(ISNUMBER(SEARCH("Y",Z491)),"S","")</f>
        <v/>
      </c>
      <c r="BD491" s="90"/>
      <c r="BE491" s="24" t="s">
        <v>119</v>
      </c>
      <c r="BF491" s="125" t="str">
        <f>IF(AND(AW491&gt;=56543,AW491&lt;=76543,LEN(AW491)&gt;0),"3 Feb 2020",IF(AND(AW491&gt;=66544,AW491&lt;=99999,LEN(AW491)&gt;0),"12 Sep 2020",""))</f>
        <v/>
      </c>
      <c r="BG491" s="125" t="str">
        <f>IF((AND(BF491="3 Feb 2020",LEN(BF491)&gt;0)),"Completed",IF((AND(BF491="12 Sep 2020",LEN(BF491)&gt;0)),"Pending",""))</f>
        <v/>
      </c>
      <c r="BH491" s="90" t="str">
        <f>IF((AND(BF491="3 Feb 2020",LEN(BF491)&gt;0)),"3 Feb 2020","")</f>
        <v/>
      </c>
      <c r="BI491" s="90">
        <v>227051</v>
      </c>
      <c r="BJ491" s="90" t="str">
        <f>L491</f>
        <v>1C59BS839924-11</v>
      </c>
      <c r="BK491" s="127">
        <v>43508</v>
      </c>
      <c r="BL491" s="127">
        <v>44239</v>
      </c>
      <c r="BM491" s="128">
        <f>P491*1.1</f>
        <v>2858925.3000000003</v>
      </c>
      <c r="BN491" s="129">
        <f>P491*0.9</f>
        <v>2339120.7000000002</v>
      </c>
      <c r="BO491" s="130">
        <f>P491*0.8</f>
        <v>2079218.4000000001</v>
      </c>
      <c r="BP491" s="90">
        <f>IF(Z491="Y",BM491*0.4,BM491*1.05)</f>
        <v>3001871.5650000004</v>
      </c>
      <c r="BQ491" s="90">
        <f>BP491*0.8</f>
        <v>2401497.2520000003</v>
      </c>
      <c r="BR491" s="90" t="str">
        <f>IF(ISNUMBER(SEARCH("subrecipient",AI487)),P491*0.6,"")</f>
        <v/>
      </c>
      <c r="BS491" s="90">
        <v>227051</v>
      </c>
      <c r="BT491" s="90" t="str">
        <f>BJ491</f>
        <v>1C59BS839924-11</v>
      </c>
      <c r="BU491" s="127">
        <f>BK491</f>
        <v>43508</v>
      </c>
      <c r="BV491" s="127">
        <f>BL491</f>
        <v>44239</v>
      </c>
      <c r="BW491" s="90" t="str">
        <f>H491</f>
        <v>ACF</v>
      </c>
      <c r="BX491" s="90" t="str">
        <f>IF(H491="NATIONAL HEMOPHILIA FOUNDATION","Non Federal","Federal")</f>
        <v>Federal</v>
      </c>
      <c r="BY491" s="128">
        <f>BM491</f>
        <v>2858925.3000000003</v>
      </c>
      <c r="BZ491" s="90" t="str">
        <f>IF(LEN(BR491)&gt;0,1,"")</f>
        <v/>
      </c>
      <c r="CA491" s="90" t="str">
        <f>IF(LEN(BR491)&gt;0,"VIRAL HEPATITIS PROJECT","")</f>
        <v/>
      </c>
      <c r="CB491" s="129" t="str">
        <f>IF(LEN(BR491)&gt;0,BM491*0.7,"")</f>
        <v/>
      </c>
      <c r="CC491" s="90">
        <f>BP491</f>
        <v>3001871.5650000004</v>
      </c>
      <c r="CD491" s="90" t="str">
        <f>IF(LEN(BR491)&gt;0,"70%","")</f>
        <v/>
      </c>
      <c r="CE491" s="90">
        <f>BS491</f>
        <v>227051</v>
      </c>
      <c r="CF491" s="90" t="str">
        <f>CA491</f>
        <v/>
      </c>
      <c r="CG491" s="90"/>
      <c r="CH491" s="90"/>
      <c r="CI491" s="90"/>
      <c r="CJ491" s="90"/>
      <c r="CK491" s="90"/>
      <c r="CL491" s="90"/>
      <c r="CM491" s="90"/>
      <c r="CN491" s="90"/>
      <c r="CO491" s="90"/>
      <c r="CP491" s="90"/>
      <c r="CQ491" s="90"/>
      <c r="CR491" s="90"/>
      <c r="CS491" s="90"/>
      <c r="CT491" s="137"/>
    </row>
    <row r="492" spans="1:98" ht="150">
      <c r="A492" s="89">
        <v>227051</v>
      </c>
      <c r="B492" s="90">
        <v>2020</v>
      </c>
      <c r="C492" s="90" t="s">
        <v>81</v>
      </c>
      <c r="D492" s="90" t="s">
        <v>1373</v>
      </c>
      <c r="E492" s="125" t="s">
        <v>781</v>
      </c>
      <c r="F492" s="24" t="s">
        <v>1374</v>
      </c>
      <c r="G492" s="90" t="s">
        <v>85</v>
      </c>
      <c r="H492" s="90" t="s">
        <v>150</v>
      </c>
      <c r="I492" s="90">
        <v>93</v>
      </c>
      <c r="J492" s="90">
        <v>157</v>
      </c>
      <c r="K492" s="90" t="s">
        <v>85</v>
      </c>
      <c r="L492" s="90" t="s">
        <v>1375</v>
      </c>
      <c r="M492" s="90" t="s">
        <v>119</v>
      </c>
      <c r="N492" s="24" t="s">
        <v>1376</v>
      </c>
      <c r="O492" s="24" t="str">
        <f>IF(ISNUMBER(SEARCH("Cancer",N492)),"Cancer",IF(ISNUMBER(SEARCH("health",N492)),"Public health",IF(ISNUMBER(SEARCH("disabilities",N492)),"Disabilities","Other")))</f>
        <v>Other</v>
      </c>
      <c r="P492" s="126">
        <v>2599023</v>
      </c>
      <c r="Q492" s="90" t="s">
        <v>85</v>
      </c>
      <c r="R492" s="90" t="str">
        <f>IF(P492&gt;20000000,"B","A")</f>
        <v>A</v>
      </c>
      <c r="S492" s="90" t="s">
        <v>90</v>
      </c>
      <c r="T492" s="90" t="s">
        <v>119</v>
      </c>
      <c r="U492" s="90" t="s">
        <v>119</v>
      </c>
      <c r="V492" s="90" t="s">
        <v>119</v>
      </c>
      <c r="W492" s="90" t="s">
        <v>119</v>
      </c>
      <c r="X492" s="90" t="s">
        <v>119</v>
      </c>
      <c r="Y492" s="90" t="s">
        <v>119</v>
      </c>
      <c r="Z492" s="90" t="s">
        <v>119</v>
      </c>
      <c r="AA492" s="90" t="s">
        <v>119</v>
      </c>
      <c r="AB492" s="90" t="s">
        <v>119</v>
      </c>
      <c r="AC492" s="90" t="s">
        <v>119</v>
      </c>
      <c r="AD492" s="90" t="s">
        <v>119</v>
      </c>
      <c r="AE492" s="24">
        <v>0</v>
      </c>
      <c r="AF492" s="90">
        <v>0</v>
      </c>
      <c r="AG492" s="24">
        <v>0</v>
      </c>
      <c r="AH492" s="90">
        <v>87169</v>
      </c>
      <c r="AI492" s="24" t="s">
        <v>102</v>
      </c>
      <c r="AJ492" s="24" t="s">
        <v>103</v>
      </c>
      <c r="AK492" s="90" t="s">
        <v>85</v>
      </c>
      <c r="AL492" s="90">
        <v>227051</v>
      </c>
      <c r="AM492" s="90" t="s">
        <v>81</v>
      </c>
      <c r="AN492" s="90" t="s">
        <v>1373</v>
      </c>
      <c r="AO492" s="125" t="s">
        <v>781</v>
      </c>
      <c r="AP492" s="24" t="s">
        <v>1376</v>
      </c>
      <c r="AQ492" s="90" t="s">
        <v>1375</v>
      </c>
      <c r="AR492" s="24" t="s">
        <v>1376</v>
      </c>
      <c r="AS492" s="90" t="s">
        <v>119</v>
      </c>
      <c r="AT492" s="24" t="s">
        <v>102</v>
      </c>
      <c r="AU492" s="90" t="s">
        <v>119</v>
      </c>
      <c r="AV492" s="90" t="str">
        <f>IF(ISNUMBER(SEARCH("disagree",AE492)),"N","Y")</f>
        <v>Y</v>
      </c>
      <c r="AW492" s="90" t="s">
        <v>119</v>
      </c>
      <c r="AX492" s="24" t="s">
        <v>119</v>
      </c>
      <c r="AY492" s="90" t="str">
        <f>CONCATENATE(AZ492,BA492,BB492,BC492)</f>
        <v/>
      </c>
      <c r="AZ492" s="90" t="str">
        <f>IF(ISNUMBER(SEARCH("Y",AC492)),"R","")</f>
        <v/>
      </c>
      <c r="BA492" s="90" t="str">
        <f>IF(ISNUMBER(SEARCH("Y",Y492)),"M","")</f>
        <v/>
      </c>
      <c r="BB492" s="90" t="str">
        <f>IF(ISNUMBER(SEARCH("Y",AB492)),"QC","")</f>
        <v/>
      </c>
      <c r="BC492" s="90" t="str">
        <f>IF(ISNUMBER(SEARCH("Y",Z492)),"S","")</f>
        <v/>
      </c>
      <c r="BD492" s="90"/>
      <c r="BE492" s="24" t="s">
        <v>119</v>
      </c>
      <c r="BF492" s="125" t="str">
        <f>IF(AND(AW492&gt;=56543,AW492&lt;=76543,LEN(AW492)&gt;0),"3 Feb 2020",IF(AND(AW492&gt;=66544,AW492&lt;=99999,LEN(AW492)&gt;0),"12 Sep 2020",""))</f>
        <v/>
      </c>
      <c r="BG492" s="125" t="str">
        <f>IF((AND(BF492="3 Feb 2020",LEN(BF492)&gt;0)),"Completed",IF((AND(BF492="12 Sep 2020",LEN(BF492)&gt;0)),"Pending",""))</f>
        <v/>
      </c>
      <c r="BH492" s="90" t="str">
        <f>IF((AND(BF492="3 Feb 2020",LEN(BF492)&gt;0)),"3 Feb 2020","")</f>
        <v/>
      </c>
      <c r="BI492" s="90">
        <v>227051</v>
      </c>
      <c r="BJ492" s="90" t="str">
        <f>L492</f>
        <v>1C59BS839924-11</v>
      </c>
      <c r="BK492" s="127">
        <v>43508</v>
      </c>
      <c r="BL492" s="127">
        <v>44239</v>
      </c>
      <c r="BM492" s="128">
        <f>P492*1.1</f>
        <v>2858925.3000000003</v>
      </c>
      <c r="BN492" s="129">
        <f>P492*0.9</f>
        <v>2339120.7000000002</v>
      </c>
      <c r="BO492" s="130">
        <f>P492*0.8</f>
        <v>2079218.4000000001</v>
      </c>
      <c r="BP492" s="90">
        <f>IF(Z492="Y",BM492*0.4,BM492*1.05)</f>
        <v>3001871.5650000004</v>
      </c>
      <c r="BQ492" s="90">
        <f>BP492*0.8</f>
        <v>2401497.2520000003</v>
      </c>
      <c r="BR492" s="90" t="str">
        <f>IF(ISNUMBER(SEARCH("subrecipient",AI488)),P492*0.6,"")</f>
        <v/>
      </c>
      <c r="BS492" s="90">
        <v>227051</v>
      </c>
      <c r="BT492" s="90" t="str">
        <f>BJ492</f>
        <v>1C59BS839924-11</v>
      </c>
      <c r="BU492" s="127">
        <f>BK492</f>
        <v>43508</v>
      </c>
      <c r="BV492" s="127">
        <f>BL492</f>
        <v>44239</v>
      </c>
      <c r="BW492" s="90" t="str">
        <f>H492</f>
        <v>ACF</v>
      </c>
      <c r="BX492" s="90" t="str">
        <f>IF(H492="NATIONAL HEMOPHILIA FOUNDATION","Non Federal","Federal")</f>
        <v>Federal</v>
      </c>
      <c r="BY492" s="128">
        <f>BM492</f>
        <v>2858925.3000000003</v>
      </c>
      <c r="BZ492" s="90" t="str">
        <f>IF(LEN(BR492)&gt;0,1,"")</f>
        <v/>
      </c>
      <c r="CA492" s="90" t="str">
        <f>IF(LEN(BR492)&gt;0,"VIRAL HEPATITIS PROJECT","")</f>
        <v/>
      </c>
      <c r="CB492" s="129" t="str">
        <f>IF(LEN(BR492)&gt;0,BM492*0.7,"")</f>
        <v/>
      </c>
      <c r="CC492" s="90">
        <f>BP492</f>
        <v>3001871.5650000004</v>
      </c>
      <c r="CD492" s="90" t="str">
        <f>IF(LEN(BR492)&gt;0,"70%","")</f>
        <v/>
      </c>
      <c r="CE492" s="90">
        <f>BS492</f>
        <v>227051</v>
      </c>
      <c r="CF492" s="90" t="str">
        <f>CA492</f>
        <v/>
      </c>
      <c r="CG492" s="90"/>
      <c r="CH492" s="90"/>
      <c r="CI492" s="90"/>
      <c r="CJ492" s="90"/>
      <c r="CK492" s="90"/>
      <c r="CL492" s="90"/>
      <c r="CM492" s="90"/>
      <c r="CN492" s="90"/>
      <c r="CO492" s="90"/>
      <c r="CP492" s="90"/>
      <c r="CQ492" s="90"/>
      <c r="CR492" s="90"/>
      <c r="CS492" s="90"/>
      <c r="CT492" s="137"/>
    </row>
    <row r="493" spans="1:98" ht="90">
      <c r="A493" s="89">
        <v>227062</v>
      </c>
      <c r="B493" s="90">
        <v>2020</v>
      </c>
      <c r="C493" s="90" t="s">
        <v>81</v>
      </c>
      <c r="D493" s="90" t="s">
        <v>1378</v>
      </c>
      <c r="E493" s="125" t="s">
        <v>784</v>
      </c>
      <c r="F493" s="24" t="s">
        <v>1379</v>
      </c>
      <c r="G493" s="90" t="s">
        <v>85</v>
      </c>
      <c r="H493" s="90" t="s">
        <v>86</v>
      </c>
      <c r="I493" s="90">
        <v>93</v>
      </c>
      <c r="J493" s="90">
        <v>157</v>
      </c>
      <c r="K493" s="90" t="s">
        <v>85</v>
      </c>
      <c r="L493" s="90" t="s">
        <v>1380</v>
      </c>
      <c r="M493" s="90" t="s">
        <v>119</v>
      </c>
      <c r="N493" s="24" t="s">
        <v>1381</v>
      </c>
      <c r="O493" s="24" t="str">
        <f>IF(ISNUMBER(SEARCH("Cancer",N493)),"Cancer",IF(ISNUMBER(SEARCH("health",N493)),"Public health",IF(ISNUMBER(SEARCH("disabilities",N493)),"Disabilities","Other")))</f>
        <v>Other</v>
      </c>
      <c r="P493" s="126">
        <v>2022192</v>
      </c>
      <c r="Q493" s="90" t="s">
        <v>85</v>
      </c>
      <c r="R493" s="90" t="str">
        <f>IF(P493&gt;20000000,"B","A")</f>
        <v>A</v>
      </c>
      <c r="S493" s="90" t="s">
        <v>90</v>
      </c>
      <c r="T493" s="90" t="s">
        <v>119</v>
      </c>
      <c r="U493" s="90" t="s">
        <v>119</v>
      </c>
      <c r="V493" s="90" t="s">
        <v>119</v>
      </c>
      <c r="W493" s="90" t="s">
        <v>119</v>
      </c>
      <c r="X493" s="90" t="s">
        <v>119</v>
      </c>
      <c r="Y493" s="90" t="s">
        <v>119</v>
      </c>
      <c r="Z493" s="90" t="s">
        <v>119</v>
      </c>
      <c r="AA493" s="90" t="s">
        <v>119</v>
      </c>
      <c r="AB493" s="90" t="s">
        <v>119</v>
      </c>
      <c r="AC493" s="90" t="s">
        <v>119</v>
      </c>
      <c r="AD493" s="90" t="s">
        <v>119</v>
      </c>
      <c r="AE493" s="24">
        <v>0</v>
      </c>
      <c r="AF493" s="90">
        <v>0</v>
      </c>
      <c r="AG493" s="24">
        <v>0</v>
      </c>
      <c r="AH493" s="90">
        <v>87828</v>
      </c>
      <c r="AI493" s="24" t="s">
        <v>94</v>
      </c>
      <c r="AJ493" s="24" t="s">
        <v>95</v>
      </c>
      <c r="AK493" s="90" t="s">
        <v>85</v>
      </c>
      <c r="AL493" s="90">
        <v>227062</v>
      </c>
      <c r="AM493" s="90" t="s">
        <v>81</v>
      </c>
      <c r="AN493" s="90" t="s">
        <v>1378</v>
      </c>
      <c r="AO493" s="125" t="s">
        <v>784</v>
      </c>
      <c r="AP493" s="24" t="s">
        <v>1381</v>
      </c>
      <c r="AQ493" s="90" t="s">
        <v>1380</v>
      </c>
      <c r="AR493" s="24" t="s">
        <v>1381</v>
      </c>
      <c r="AS493" s="90" t="s">
        <v>119</v>
      </c>
      <c r="AT493" s="24" t="s">
        <v>94</v>
      </c>
      <c r="AU493" s="90" t="s">
        <v>119</v>
      </c>
      <c r="AV493" s="90" t="str">
        <f>IF(ISNUMBER(SEARCH("disagree",AE493)),"N","Y")</f>
        <v>Y</v>
      </c>
      <c r="AW493" s="90" t="s">
        <v>119</v>
      </c>
      <c r="AX493" s="24" t="s">
        <v>119</v>
      </c>
      <c r="AY493" s="90" t="str">
        <f>CONCATENATE(AZ493,BA493,BB493,BC493)</f>
        <v/>
      </c>
      <c r="AZ493" s="90" t="str">
        <f>IF(ISNUMBER(SEARCH("Y",AC493)),"R","")</f>
        <v/>
      </c>
      <c r="BA493" s="90" t="str">
        <f>IF(ISNUMBER(SEARCH("Y",Y493)),"M","")</f>
        <v/>
      </c>
      <c r="BB493" s="90" t="str">
        <f>IF(ISNUMBER(SEARCH("Y",AB493)),"QC","")</f>
        <v/>
      </c>
      <c r="BC493" s="90" t="str">
        <f>IF(ISNUMBER(SEARCH("Y",Z493)),"S","")</f>
        <v/>
      </c>
      <c r="BD493" s="90"/>
      <c r="BE493" s="24" t="s">
        <v>119</v>
      </c>
      <c r="BF493" s="125" t="str">
        <f>IF(AND(AW493&gt;=56543,AW493&lt;=76543,LEN(AW493)&gt;0),"3 Feb 2020",IF(AND(AW493&gt;=66544,AW493&lt;=99999,LEN(AW493)&gt;0),"12 Sep 2020",""))</f>
        <v/>
      </c>
      <c r="BG493" s="125" t="str">
        <f>IF((AND(BF493="3 Feb 2020",LEN(BF493)&gt;0)),"Completed",IF((AND(BF493="12 Sep 2020",LEN(BF493)&gt;0)),"Pending",""))</f>
        <v/>
      </c>
      <c r="BH493" s="90" t="str">
        <f>IF((AND(BF493="3 Feb 2020",LEN(BF493)&gt;0)),"3 Feb 2020","")</f>
        <v/>
      </c>
      <c r="BI493" s="90">
        <v>227062</v>
      </c>
      <c r="BJ493" s="90" t="str">
        <f>L493</f>
        <v>3C57AS842608-79</v>
      </c>
      <c r="BK493" s="127">
        <v>43508</v>
      </c>
      <c r="BL493" s="127">
        <v>44239</v>
      </c>
      <c r="BM493" s="128">
        <f>P493*1.1</f>
        <v>2224411.2000000002</v>
      </c>
      <c r="BN493" s="129">
        <f>P493*0.9</f>
        <v>1819972.8</v>
      </c>
      <c r="BO493" s="130">
        <f>P493*0.8</f>
        <v>1617753.6</v>
      </c>
      <c r="BP493" s="90">
        <f>IF(Z493="Y",BM493*0.4,BM493*1.05)</f>
        <v>2335631.7600000002</v>
      </c>
      <c r="BQ493" s="90">
        <f>BP493*0.8</f>
        <v>1868505.4080000003</v>
      </c>
      <c r="BR493" s="90" t="str">
        <f>IF(ISNUMBER(SEARCH("subrecipient",AI489)),P493*0.6,"")</f>
        <v/>
      </c>
      <c r="BS493" s="90">
        <v>227062</v>
      </c>
      <c r="BT493" s="90" t="str">
        <f>BJ493</f>
        <v>3C57AS842608-79</v>
      </c>
      <c r="BU493" s="127">
        <f>BK493</f>
        <v>43508</v>
      </c>
      <c r="BV493" s="127">
        <f>BL493</f>
        <v>44239</v>
      </c>
      <c r="BW493" s="90" t="str">
        <f>H493</f>
        <v>CDC</v>
      </c>
      <c r="BX493" s="90" t="str">
        <f>IF(H493="NATIONAL HEMOPHILIA FOUNDATION","Non Federal","Federal")</f>
        <v>Federal</v>
      </c>
      <c r="BY493" s="128">
        <f>BM493</f>
        <v>2224411.2000000002</v>
      </c>
      <c r="BZ493" s="90" t="str">
        <f>IF(LEN(BR493)&gt;0,1,"")</f>
        <v/>
      </c>
      <c r="CA493" s="90" t="str">
        <f>IF(LEN(BR493)&gt;0,"VIRAL HEPATITIS PROJECT","")</f>
        <v/>
      </c>
      <c r="CB493" s="129" t="str">
        <f>IF(LEN(BR493)&gt;0,BM493*0.7,"")</f>
        <v/>
      </c>
      <c r="CC493" s="90">
        <f>BP493</f>
        <v>2335631.7600000002</v>
      </c>
      <c r="CD493" s="90" t="str">
        <f>IF(LEN(BR493)&gt;0,"70%","")</f>
        <v/>
      </c>
      <c r="CE493" s="90">
        <f>BS493</f>
        <v>227062</v>
      </c>
      <c r="CF493" s="90" t="str">
        <f>CA493</f>
        <v/>
      </c>
      <c r="CG493" s="90"/>
      <c r="CH493" s="90"/>
      <c r="CI493" s="90"/>
      <c r="CJ493" s="90"/>
      <c r="CK493" s="90"/>
      <c r="CL493" s="90"/>
      <c r="CM493" s="90"/>
      <c r="CN493" s="90"/>
      <c r="CO493" s="90"/>
      <c r="CP493" s="90"/>
      <c r="CQ493" s="90"/>
      <c r="CR493" s="90"/>
      <c r="CS493" s="90"/>
      <c r="CT493" s="137"/>
    </row>
    <row r="494" spans="1:98" ht="90">
      <c r="A494" s="89">
        <v>227062</v>
      </c>
      <c r="B494" s="90">
        <v>2020</v>
      </c>
      <c r="C494" s="90" t="s">
        <v>81</v>
      </c>
      <c r="D494" s="90" t="s">
        <v>1378</v>
      </c>
      <c r="E494" s="125" t="s">
        <v>790</v>
      </c>
      <c r="F494" s="24" t="s">
        <v>1379</v>
      </c>
      <c r="G494" s="90" t="s">
        <v>85</v>
      </c>
      <c r="H494" s="90" t="s">
        <v>86</v>
      </c>
      <c r="I494" s="90">
        <v>93</v>
      </c>
      <c r="J494" s="90">
        <v>157</v>
      </c>
      <c r="K494" s="90" t="s">
        <v>85</v>
      </c>
      <c r="L494" s="90" t="s">
        <v>1380</v>
      </c>
      <c r="M494" s="90" t="s">
        <v>119</v>
      </c>
      <c r="N494" s="24" t="s">
        <v>1381</v>
      </c>
      <c r="O494" s="24" t="str">
        <f>IF(ISNUMBER(SEARCH("Cancer",N494)),"Cancer",IF(ISNUMBER(SEARCH("health",N494)),"Public health",IF(ISNUMBER(SEARCH("disabilities",N494)),"Disabilities","Other")))</f>
        <v>Other</v>
      </c>
      <c r="P494" s="126">
        <v>2022192</v>
      </c>
      <c r="Q494" s="90" t="s">
        <v>85</v>
      </c>
      <c r="R494" s="90" t="str">
        <f>IF(P494&gt;20000000,"B","A")</f>
        <v>A</v>
      </c>
      <c r="S494" s="90" t="s">
        <v>90</v>
      </c>
      <c r="T494" s="90" t="s">
        <v>119</v>
      </c>
      <c r="U494" s="90" t="s">
        <v>119</v>
      </c>
      <c r="V494" s="90" t="s">
        <v>119</v>
      </c>
      <c r="W494" s="90" t="s">
        <v>119</v>
      </c>
      <c r="X494" s="90" t="s">
        <v>119</v>
      </c>
      <c r="Y494" s="90" t="s">
        <v>119</v>
      </c>
      <c r="Z494" s="90" t="s">
        <v>119</v>
      </c>
      <c r="AA494" s="90" t="s">
        <v>119</v>
      </c>
      <c r="AB494" s="90" t="s">
        <v>119</v>
      </c>
      <c r="AC494" s="90" t="s">
        <v>119</v>
      </c>
      <c r="AD494" s="90" t="s">
        <v>119</v>
      </c>
      <c r="AE494" s="24">
        <v>0</v>
      </c>
      <c r="AF494" s="90">
        <v>0</v>
      </c>
      <c r="AG494" s="24">
        <v>0</v>
      </c>
      <c r="AH494" s="90">
        <v>87830</v>
      </c>
      <c r="AI494" s="24" t="s">
        <v>102</v>
      </c>
      <c r="AJ494" s="24" t="s">
        <v>103</v>
      </c>
      <c r="AK494" s="90" t="s">
        <v>85</v>
      </c>
      <c r="AL494" s="90">
        <v>227062</v>
      </c>
      <c r="AM494" s="90" t="s">
        <v>81</v>
      </c>
      <c r="AN494" s="90" t="s">
        <v>1378</v>
      </c>
      <c r="AO494" s="125" t="s">
        <v>790</v>
      </c>
      <c r="AP494" s="24" t="s">
        <v>1381</v>
      </c>
      <c r="AQ494" s="90" t="s">
        <v>1380</v>
      </c>
      <c r="AR494" s="24" t="s">
        <v>1381</v>
      </c>
      <c r="AS494" s="90" t="s">
        <v>119</v>
      </c>
      <c r="AT494" s="24" t="s">
        <v>102</v>
      </c>
      <c r="AU494" s="90" t="s">
        <v>119</v>
      </c>
      <c r="AV494" s="90" t="str">
        <f>IF(ISNUMBER(SEARCH("disagree",AE494)),"N","Y")</f>
        <v>Y</v>
      </c>
      <c r="AW494" s="90" t="s">
        <v>119</v>
      </c>
      <c r="AX494" s="24" t="s">
        <v>119</v>
      </c>
      <c r="AY494" s="90" t="str">
        <f>CONCATENATE(AZ494,BA494,BB494,BC494)</f>
        <v/>
      </c>
      <c r="AZ494" s="90" t="str">
        <f>IF(ISNUMBER(SEARCH("Y",AC494)),"R","")</f>
        <v/>
      </c>
      <c r="BA494" s="90" t="str">
        <f>IF(ISNUMBER(SEARCH("Y",Y494)),"M","")</f>
        <v/>
      </c>
      <c r="BB494" s="90" t="str">
        <f>IF(ISNUMBER(SEARCH("Y",AB494)),"QC","")</f>
        <v/>
      </c>
      <c r="BC494" s="90" t="str">
        <f>IF(ISNUMBER(SEARCH("Y",Z494)),"S","")</f>
        <v/>
      </c>
      <c r="BD494" s="90"/>
      <c r="BE494" s="24" t="s">
        <v>119</v>
      </c>
      <c r="BF494" s="125" t="str">
        <f>IF(AND(AW494&gt;=56543,AW494&lt;=76543,LEN(AW494)&gt;0),"3 Feb 2020",IF(AND(AW494&gt;=66544,AW494&lt;=99999,LEN(AW494)&gt;0),"12 Sep 2020",""))</f>
        <v/>
      </c>
      <c r="BG494" s="125" t="str">
        <f>IF((AND(BF494="3 Feb 2020",LEN(BF494)&gt;0)),"Completed",IF((AND(BF494="12 Sep 2020",LEN(BF494)&gt;0)),"Pending",""))</f>
        <v/>
      </c>
      <c r="BH494" s="90" t="str">
        <f>IF((AND(BF494="3 Feb 2020",LEN(BF494)&gt;0)),"3 Feb 2020","")</f>
        <v/>
      </c>
      <c r="BI494" s="90">
        <v>227062</v>
      </c>
      <c r="BJ494" s="90" t="str">
        <f>L494</f>
        <v>3C57AS842608-79</v>
      </c>
      <c r="BK494" s="127">
        <v>43508</v>
      </c>
      <c r="BL494" s="127">
        <v>44239</v>
      </c>
      <c r="BM494" s="128">
        <f>P494*1.1</f>
        <v>2224411.2000000002</v>
      </c>
      <c r="BN494" s="129">
        <f>P494*0.9</f>
        <v>1819972.8</v>
      </c>
      <c r="BO494" s="130">
        <f>P494*0.8</f>
        <v>1617753.6</v>
      </c>
      <c r="BP494" s="90">
        <f>IF(Z494="Y",BM494*0.4,BM494*1.05)</f>
        <v>2335631.7600000002</v>
      </c>
      <c r="BQ494" s="90">
        <f>BP494*0.8</f>
        <v>1868505.4080000003</v>
      </c>
      <c r="BR494" s="90" t="str">
        <f>IF(ISNUMBER(SEARCH("subrecipient",AI490)),P494*0.6,"")</f>
        <v/>
      </c>
      <c r="BS494" s="90">
        <v>227062</v>
      </c>
      <c r="BT494" s="90" t="str">
        <f>BJ494</f>
        <v>3C57AS842608-79</v>
      </c>
      <c r="BU494" s="127">
        <f>BK494</f>
        <v>43508</v>
      </c>
      <c r="BV494" s="127">
        <f>BL494</f>
        <v>44239</v>
      </c>
      <c r="BW494" s="90" t="str">
        <f>H494</f>
        <v>CDC</v>
      </c>
      <c r="BX494" s="90" t="str">
        <f>IF(H494="NATIONAL HEMOPHILIA FOUNDATION","Non Federal","Federal")</f>
        <v>Federal</v>
      </c>
      <c r="BY494" s="128">
        <f>BM494</f>
        <v>2224411.2000000002</v>
      </c>
      <c r="BZ494" s="90" t="str">
        <f>IF(LEN(BR494)&gt;0,1,"")</f>
        <v/>
      </c>
      <c r="CA494" s="90" t="str">
        <f>IF(LEN(BR494)&gt;0,"VIRAL HEPATITIS PROJECT","")</f>
        <v/>
      </c>
      <c r="CB494" s="129" t="str">
        <f>IF(LEN(BR494)&gt;0,BM494*0.7,"")</f>
        <v/>
      </c>
      <c r="CC494" s="90">
        <f>BP494</f>
        <v>2335631.7600000002</v>
      </c>
      <c r="CD494" s="90" t="str">
        <f>IF(LEN(BR494)&gt;0,"70%","")</f>
        <v/>
      </c>
      <c r="CE494" s="90">
        <f>BS494</f>
        <v>227062</v>
      </c>
      <c r="CF494" s="90" t="str">
        <f>CA494</f>
        <v/>
      </c>
      <c r="CG494" s="90"/>
      <c r="CH494" s="90"/>
      <c r="CI494" s="90"/>
      <c r="CJ494" s="90"/>
      <c r="CK494" s="90"/>
      <c r="CL494" s="90"/>
      <c r="CM494" s="90"/>
      <c r="CN494" s="90"/>
      <c r="CO494" s="90"/>
      <c r="CP494" s="90"/>
      <c r="CQ494" s="90"/>
      <c r="CR494" s="90"/>
      <c r="CS494" s="90"/>
      <c r="CT494" s="137"/>
    </row>
    <row r="495" spans="1:98" ht="90">
      <c r="A495" s="89">
        <v>227062</v>
      </c>
      <c r="B495" s="90">
        <v>2020</v>
      </c>
      <c r="C495" s="90" t="s">
        <v>81</v>
      </c>
      <c r="D495" s="90" t="s">
        <v>1378</v>
      </c>
      <c r="E495" s="125" t="s">
        <v>791</v>
      </c>
      <c r="F495" s="24" t="s">
        <v>1379</v>
      </c>
      <c r="G495" s="90" t="s">
        <v>85</v>
      </c>
      <c r="H495" s="90" t="s">
        <v>86</v>
      </c>
      <c r="I495" s="90">
        <v>93</v>
      </c>
      <c r="J495" s="90">
        <v>157</v>
      </c>
      <c r="K495" s="90" t="s">
        <v>85</v>
      </c>
      <c r="L495" s="90" t="s">
        <v>1380</v>
      </c>
      <c r="M495" s="90" t="s">
        <v>119</v>
      </c>
      <c r="N495" s="24" t="s">
        <v>1381</v>
      </c>
      <c r="O495" s="24" t="str">
        <f>IF(ISNUMBER(SEARCH("Cancer",N495)),"Cancer",IF(ISNUMBER(SEARCH("health",N495)),"Public health",IF(ISNUMBER(SEARCH("disabilities",N495)),"Disabilities","Other")))</f>
        <v>Other</v>
      </c>
      <c r="P495" s="126">
        <v>2022192</v>
      </c>
      <c r="Q495" s="90" t="s">
        <v>85</v>
      </c>
      <c r="R495" s="90" t="str">
        <f>IF(P495&gt;20000000,"B","A")</f>
        <v>A</v>
      </c>
      <c r="S495" s="90" t="s">
        <v>90</v>
      </c>
      <c r="T495" s="90" t="s">
        <v>119</v>
      </c>
      <c r="U495" s="90" t="s">
        <v>119</v>
      </c>
      <c r="V495" s="90" t="s">
        <v>119</v>
      </c>
      <c r="W495" s="90" t="s">
        <v>119</v>
      </c>
      <c r="X495" s="90" t="s">
        <v>119</v>
      </c>
      <c r="Y495" s="90" t="s">
        <v>119</v>
      </c>
      <c r="Z495" s="90" t="s">
        <v>119</v>
      </c>
      <c r="AA495" s="90" t="s">
        <v>119</v>
      </c>
      <c r="AB495" s="90" t="s">
        <v>119</v>
      </c>
      <c r="AC495" s="90" t="s">
        <v>119</v>
      </c>
      <c r="AD495" s="90" t="s">
        <v>119</v>
      </c>
      <c r="AE495" s="24">
        <v>0</v>
      </c>
      <c r="AF495" s="90">
        <v>0</v>
      </c>
      <c r="AG495" s="24">
        <v>0</v>
      </c>
      <c r="AH495" s="90">
        <v>87829</v>
      </c>
      <c r="AI495" s="24" t="s">
        <v>110</v>
      </c>
      <c r="AJ495" s="24" t="s">
        <v>1382</v>
      </c>
      <c r="AK495" s="90" t="s">
        <v>85</v>
      </c>
      <c r="AL495" s="90">
        <v>227062</v>
      </c>
      <c r="AM495" s="90" t="s">
        <v>81</v>
      </c>
      <c r="AN495" s="90" t="s">
        <v>1378</v>
      </c>
      <c r="AO495" s="125" t="s">
        <v>791</v>
      </c>
      <c r="AP495" s="24" t="s">
        <v>1381</v>
      </c>
      <c r="AQ495" s="90" t="s">
        <v>1380</v>
      </c>
      <c r="AR495" s="24" t="s">
        <v>1381</v>
      </c>
      <c r="AS495" s="90" t="s">
        <v>119</v>
      </c>
      <c r="AT495" s="24" t="s">
        <v>110</v>
      </c>
      <c r="AU495" s="90" t="s">
        <v>119</v>
      </c>
      <c r="AV495" s="90" t="str">
        <f>IF(ISNUMBER(SEARCH("disagree",AE495)),"N","Y")</f>
        <v>Y</v>
      </c>
      <c r="AW495" s="90" t="s">
        <v>119</v>
      </c>
      <c r="AX495" s="24" t="s">
        <v>119</v>
      </c>
      <c r="AY495" s="90" t="str">
        <f>CONCATENATE(AZ495,BA495,BB495,BC495)</f>
        <v/>
      </c>
      <c r="AZ495" s="90" t="str">
        <f>IF(ISNUMBER(SEARCH("Y",AC495)),"R","")</f>
        <v/>
      </c>
      <c r="BA495" s="90" t="str">
        <f>IF(ISNUMBER(SEARCH("Y",Y495)),"M","")</f>
        <v/>
      </c>
      <c r="BB495" s="90" t="str">
        <f>IF(ISNUMBER(SEARCH("Y",AB495)),"QC","")</f>
        <v/>
      </c>
      <c r="BC495" s="90" t="str">
        <f>IF(ISNUMBER(SEARCH("Y",Z495)),"S","")</f>
        <v/>
      </c>
      <c r="BD495" s="90"/>
      <c r="BE495" s="24" t="s">
        <v>119</v>
      </c>
      <c r="BF495" s="125" t="str">
        <f>IF(AND(AW495&gt;=56543,AW495&lt;=76543,LEN(AW495)&gt;0),"3 Feb 2020",IF(AND(AW495&gt;=66544,AW495&lt;=99999,LEN(AW495)&gt;0),"12 Sep 2020",""))</f>
        <v/>
      </c>
      <c r="BG495" s="125" t="str">
        <f>IF((AND(BF495="3 Feb 2020",LEN(BF495)&gt;0)),"Completed",IF((AND(BF495="12 Sep 2020",LEN(BF495)&gt;0)),"Pending",""))</f>
        <v/>
      </c>
      <c r="BH495" s="90" t="str">
        <f>IF((AND(BF495="3 Feb 2020",LEN(BF495)&gt;0)),"3 Feb 2020","")</f>
        <v/>
      </c>
      <c r="BI495" s="90">
        <v>227062</v>
      </c>
      <c r="BJ495" s="90" t="str">
        <f>L495</f>
        <v>3C57AS842608-79</v>
      </c>
      <c r="BK495" s="127">
        <v>43508</v>
      </c>
      <c r="BL495" s="127">
        <v>44239</v>
      </c>
      <c r="BM495" s="128">
        <f>P495*1.1</f>
        <v>2224411.2000000002</v>
      </c>
      <c r="BN495" s="129">
        <f>P495*0.9</f>
        <v>1819972.8</v>
      </c>
      <c r="BO495" s="130">
        <f>P495*0.8</f>
        <v>1617753.6</v>
      </c>
      <c r="BP495" s="90">
        <f>IF(Z495="Y",BM495*0.4,BM495*1.05)</f>
        <v>2335631.7600000002</v>
      </c>
      <c r="BQ495" s="90">
        <f>BP495*0.8</f>
        <v>1868505.4080000003</v>
      </c>
      <c r="BR495" s="90" t="str">
        <f>IF(ISNUMBER(SEARCH("subrecipient",AI491)),P495*0.6,"")</f>
        <v/>
      </c>
      <c r="BS495" s="90">
        <v>227062</v>
      </c>
      <c r="BT495" s="90" t="str">
        <f>BJ495</f>
        <v>3C57AS842608-79</v>
      </c>
      <c r="BU495" s="127">
        <f>BK495</f>
        <v>43508</v>
      </c>
      <c r="BV495" s="127">
        <f>BL495</f>
        <v>44239</v>
      </c>
      <c r="BW495" s="90" t="str">
        <f>H495</f>
        <v>CDC</v>
      </c>
      <c r="BX495" s="90" t="str">
        <f>IF(H495="NATIONAL HEMOPHILIA FOUNDATION","Non Federal","Federal")</f>
        <v>Federal</v>
      </c>
      <c r="BY495" s="128">
        <f>BM495</f>
        <v>2224411.2000000002</v>
      </c>
      <c r="BZ495" s="90" t="str">
        <f>IF(LEN(BR495)&gt;0,1,"")</f>
        <v/>
      </c>
      <c r="CA495" s="90" t="str">
        <f>IF(LEN(BR495)&gt;0,"VIRAL HEPATITIS PROJECT","")</f>
        <v/>
      </c>
      <c r="CB495" s="129" t="str">
        <f>IF(LEN(BR495)&gt;0,BM495*0.7,"")</f>
        <v/>
      </c>
      <c r="CC495" s="90">
        <f>BP495</f>
        <v>2335631.7600000002</v>
      </c>
      <c r="CD495" s="90" t="str">
        <f>IF(LEN(BR495)&gt;0,"70%","")</f>
        <v/>
      </c>
      <c r="CE495" s="90">
        <f>BS495</f>
        <v>227062</v>
      </c>
      <c r="CF495" s="90" t="str">
        <f>CA495</f>
        <v/>
      </c>
      <c r="CG495" s="90"/>
      <c r="CH495" s="90"/>
      <c r="CI495" s="90"/>
      <c r="CJ495" s="90"/>
      <c r="CK495" s="90"/>
      <c r="CL495" s="90"/>
      <c r="CM495" s="90"/>
      <c r="CN495" s="90"/>
      <c r="CO495" s="90"/>
      <c r="CP495" s="90"/>
      <c r="CQ495" s="90"/>
      <c r="CR495" s="90"/>
      <c r="CS495" s="90"/>
      <c r="CT495" s="137"/>
    </row>
    <row r="496" spans="1:98" ht="120">
      <c r="A496" s="89">
        <v>227066</v>
      </c>
      <c r="B496" s="90">
        <v>2020</v>
      </c>
      <c r="C496" s="90" t="s">
        <v>81</v>
      </c>
      <c r="D496" s="90" t="s">
        <v>1383</v>
      </c>
      <c r="E496" s="125" t="s">
        <v>793</v>
      </c>
      <c r="F496" s="24" t="s">
        <v>1384</v>
      </c>
      <c r="G496" s="90" t="s">
        <v>85</v>
      </c>
      <c r="H496" s="90" t="s">
        <v>117</v>
      </c>
      <c r="I496" s="90">
        <v>93</v>
      </c>
      <c r="J496" s="90">
        <v>157</v>
      </c>
      <c r="K496" s="90" t="s">
        <v>85</v>
      </c>
      <c r="L496" s="90" t="s">
        <v>1385</v>
      </c>
      <c r="M496" s="90" t="s">
        <v>119</v>
      </c>
      <c r="N496" s="24" t="s">
        <v>1386</v>
      </c>
      <c r="O496" s="24" t="str">
        <f>IF(ISNUMBER(SEARCH("Cancer",N496)),"Cancer",IF(ISNUMBER(SEARCH("health",N496)),"Public health",IF(ISNUMBER(SEARCH("disabilities",N496)),"Disabilities","Other")))</f>
        <v>Other</v>
      </c>
      <c r="P496" s="126">
        <v>2059368</v>
      </c>
      <c r="Q496" s="90" t="s">
        <v>85</v>
      </c>
      <c r="R496" s="90" t="str">
        <f>IF(P496&gt;20000000,"B","A")</f>
        <v>A</v>
      </c>
      <c r="S496" s="90" t="s">
        <v>90</v>
      </c>
      <c r="T496" s="90" t="s">
        <v>119</v>
      </c>
      <c r="U496" s="90" t="s">
        <v>119</v>
      </c>
      <c r="V496" s="90" t="s">
        <v>119</v>
      </c>
      <c r="W496" s="90" t="s">
        <v>119</v>
      </c>
      <c r="X496" s="90" t="s">
        <v>119</v>
      </c>
      <c r="Y496" s="90" t="s">
        <v>119</v>
      </c>
      <c r="Z496" s="90" t="s">
        <v>119</v>
      </c>
      <c r="AA496" s="90" t="s">
        <v>119</v>
      </c>
      <c r="AB496" s="90" t="s">
        <v>119</v>
      </c>
      <c r="AC496" s="90" t="s">
        <v>119</v>
      </c>
      <c r="AD496" s="90" t="s">
        <v>119</v>
      </c>
      <c r="AE496" s="24">
        <v>0</v>
      </c>
      <c r="AF496" s="90">
        <v>0</v>
      </c>
      <c r="AG496" s="24">
        <v>0</v>
      </c>
      <c r="AH496" s="90">
        <v>88707</v>
      </c>
      <c r="AI496" s="24" t="s">
        <v>94</v>
      </c>
      <c r="AJ496" s="24" t="s">
        <v>95</v>
      </c>
      <c r="AK496" s="90" t="s">
        <v>85</v>
      </c>
      <c r="AL496" s="90">
        <v>227066</v>
      </c>
      <c r="AM496" s="90" t="s">
        <v>81</v>
      </c>
      <c r="AN496" s="90" t="s">
        <v>1383</v>
      </c>
      <c r="AO496" s="125" t="s">
        <v>793</v>
      </c>
      <c r="AP496" s="24" t="s">
        <v>1386</v>
      </c>
      <c r="AQ496" s="90" t="s">
        <v>1385</v>
      </c>
      <c r="AR496" s="24" t="s">
        <v>1386</v>
      </c>
      <c r="AS496" s="90" t="s">
        <v>119</v>
      </c>
      <c r="AT496" s="24" t="s">
        <v>94</v>
      </c>
      <c r="AU496" s="90" t="s">
        <v>119</v>
      </c>
      <c r="AV496" s="90" t="str">
        <f>IF(ISNUMBER(SEARCH("disagree",AE496)),"N","Y")</f>
        <v>Y</v>
      </c>
      <c r="AW496" s="90" t="s">
        <v>119</v>
      </c>
      <c r="AX496" s="24" t="s">
        <v>119</v>
      </c>
      <c r="AY496" s="90" t="str">
        <f>CONCATENATE(AZ496,BA496,BB496,BC496)</f>
        <v/>
      </c>
      <c r="AZ496" s="90" t="str">
        <f>IF(ISNUMBER(SEARCH("Y",AC496)),"R","")</f>
        <v/>
      </c>
      <c r="BA496" s="90" t="str">
        <f>IF(ISNUMBER(SEARCH("Y",Y496)),"M","")</f>
        <v/>
      </c>
      <c r="BB496" s="90" t="str">
        <f>IF(ISNUMBER(SEARCH("Y",AB496)),"QC","")</f>
        <v/>
      </c>
      <c r="BC496" s="90" t="str">
        <f>IF(ISNUMBER(SEARCH("Y",Z496)),"S","")</f>
        <v/>
      </c>
      <c r="BD496" s="90"/>
      <c r="BE496" s="24" t="s">
        <v>119</v>
      </c>
      <c r="BF496" s="125" t="str">
        <f>IF(AND(AW496&gt;=56543,AW496&lt;=76543,LEN(AW496)&gt;0),"3 Feb 2020",IF(AND(AW496&gt;=66544,AW496&lt;=99999,LEN(AW496)&gt;0),"12 Sep 2020",""))</f>
        <v/>
      </c>
      <c r="BG496" s="125" t="str">
        <f>IF((AND(BF496="3 Feb 2020",LEN(BF496)&gt;0)),"Completed",IF((AND(BF496="12 Sep 2020",LEN(BF496)&gt;0)),"Pending",""))</f>
        <v/>
      </c>
      <c r="BH496" s="90" t="str">
        <f>IF((AND(BF496="3 Feb 2020",LEN(BF496)&gt;0)),"3 Feb 2020","")</f>
        <v/>
      </c>
      <c r="BI496" s="90">
        <v>227066</v>
      </c>
      <c r="BJ496" s="90" t="str">
        <f>L496</f>
        <v>5B38AR842743-11</v>
      </c>
      <c r="BK496" s="127">
        <v>43508</v>
      </c>
      <c r="BL496" s="127">
        <v>44239</v>
      </c>
      <c r="BM496" s="128">
        <f>P496*1.1</f>
        <v>2265304.8000000003</v>
      </c>
      <c r="BN496" s="129">
        <f>P496*0.9</f>
        <v>1853431.2</v>
      </c>
      <c r="BO496" s="130">
        <f>P496*0.8</f>
        <v>1647494.4000000001</v>
      </c>
      <c r="BP496" s="90">
        <f>IF(Z496="Y",BM496*0.4,BM496*1.05)</f>
        <v>2378570.0400000005</v>
      </c>
      <c r="BQ496" s="90">
        <f>BP496*0.8</f>
        <v>1902856.0320000006</v>
      </c>
      <c r="BR496" s="90" t="str">
        <f>IF(ISNUMBER(SEARCH("subrecipient",AI492)),P496*0.6,"")</f>
        <v/>
      </c>
      <c r="BS496" s="90">
        <v>227066</v>
      </c>
      <c r="BT496" s="90" t="str">
        <f>BJ496</f>
        <v>5B38AR842743-11</v>
      </c>
      <c r="BU496" s="127">
        <f>BK496</f>
        <v>43508</v>
      </c>
      <c r="BV496" s="127">
        <f>BL496</f>
        <v>44239</v>
      </c>
      <c r="BW496" s="90" t="str">
        <f>H496</f>
        <v>NIH</v>
      </c>
      <c r="BX496" s="90" t="str">
        <f>IF(H496="NATIONAL HEMOPHILIA FOUNDATION","Non Federal","Federal")</f>
        <v>Federal</v>
      </c>
      <c r="BY496" s="128">
        <f>BM496</f>
        <v>2265304.8000000003</v>
      </c>
      <c r="BZ496" s="90" t="str">
        <f>IF(LEN(BR496)&gt;0,1,"")</f>
        <v/>
      </c>
      <c r="CA496" s="90" t="str">
        <f>IF(LEN(BR496)&gt;0,"VIRAL HEPATITIS PROJECT","")</f>
        <v/>
      </c>
      <c r="CB496" s="129" t="str">
        <f>IF(LEN(BR496)&gt;0,BM496*0.7,"")</f>
        <v/>
      </c>
      <c r="CC496" s="90">
        <f>BP496</f>
        <v>2378570.0400000005</v>
      </c>
      <c r="CD496" s="90" t="str">
        <f>IF(LEN(BR496)&gt;0,"70%","")</f>
        <v/>
      </c>
      <c r="CE496" s="90">
        <f>BS496</f>
        <v>227066</v>
      </c>
      <c r="CF496" s="90" t="str">
        <f>CA496</f>
        <v/>
      </c>
      <c r="CG496" s="90"/>
      <c r="CH496" s="90"/>
      <c r="CI496" s="90"/>
      <c r="CJ496" s="90"/>
      <c r="CK496" s="90"/>
      <c r="CL496" s="90"/>
      <c r="CM496" s="90"/>
      <c r="CN496" s="90"/>
      <c r="CO496" s="90"/>
      <c r="CP496" s="90"/>
      <c r="CQ496" s="90"/>
      <c r="CR496" s="90"/>
      <c r="CS496" s="90"/>
      <c r="CT496" s="137"/>
    </row>
    <row r="497" spans="1:98" ht="120">
      <c r="A497" s="89">
        <v>227066</v>
      </c>
      <c r="B497" s="90">
        <v>2020</v>
      </c>
      <c r="C497" s="90" t="s">
        <v>81</v>
      </c>
      <c r="D497" s="90" t="s">
        <v>1383</v>
      </c>
      <c r="E497" s="125" t="s">
        <v>780</v>
      </c>
      <c r="F497" s="24" t="s">
        <v>1384</v>
      </c>
      <c r="G497" s="90" t="s">
        <v>85</v>
      </c>
      <c r="H497" s="90" t="s">
        <v>117</v>
      </c>
      <c r="I497" s="90">
        <v>93</v>
      </c>
      <c r="J497" s="90">
        <v>157</v>
      </c>
      <c r="K497" s="90" t="s">
        <v>85</v>
      </c>
      <c r="L497" s="90" t="s">
        <v>1385</v>
      </c>
      <c r="M497" s="90" t="s">
        <v>119</v>
      </c>
      <c r="N497" s="24" t="s">
        <v>1386</v>
      </c>
      <c r="O497" s="24" t="str">
        <f>IF(ISNUMBER(SEARCH("Cancer",N497)),"Cancer",IF(ISNUMBER(SEARCH("health",N497)),"Public health",IF(ISNUMBER(SEARCH("disabilities",N497)),"Disabilities","Other")))</f>
        <v>Other</v>
      </c>
      <c r="P497" s="126">
        <v>2059368</v>
      </c>
      <c r="Q497" s="90" t="s">
        <v>85</v>
      </c>
      <c r="R497" s="90" t="str">
        <f>IF(P497&gt;20000000,"B","A")</f>
        <v>A</v>
      </c>
      <c r="S497" s="90" t="s">
        <v>90</v>
      </c>
      <c r="T497" s="90" t="s">
        <v>119</v>
      </c>
      <c r="U497" s="90" t="s">
        <v>119</v>
      </c>
      <c r="V497" s="90" t="s">
        <v>119</v>
      </c>
      <c r="W497" s="90" t="s">
        <v>119</v>
      </c>
      <c r="X497" s="90" t="s">
        <v>119</v>
      </c>
      <c r="Y497" s="90" t="s">
        <v>119</v>
      </c>
      <c r="Z497" s="90" t="s">
        <v>119</v>
      </c>
      <c r="AA497" s="90" t="s">
        <v>119</v>
      </c>
      <c r="AB497" s="90" t="s">
        <v>119</v>
      </c>
      <c r="AC497" s="90" t="s">
        <v>119</v>
      </c>
      <c r="AD497" s="90" t="s">
        <v>119</v>
      </c>
      <c r="AE497" s="24">
        <v>0</v>
      </c>
      <c r="AF497" s="90">
        <v>0</v>
      </c>
      <c r="AG497" s="24">
        <v>0</v>
      </c>
      <c r="AH497" s="90">
        <v>88708</v>
      </c>
      <c r="AI497" s="24" t="s">
        <v>102</v>
      </c>
      <c r="AJ497" s="24" t="s">
        <v>103</v>
      </c>
      <c r="AK497" s="90" t="s">
        <v>85</v>
      </c>
      <c r="AL497" s="90">
        <v>227066</v>
      </c>
      <c r="AM497" s="90" t="s">
        <v>81</v>
      </c>
      <c r="AN497" s="90" t="s">
        <v>1383</v>
      </c>
      <c r="AO497" s="125" t="s">
        <v>780</v>
      </c>
      <c r="AP497" s="24" t="s">
        <v>1386</v>
      </c>
      <c r="AQ497" s="90" t="s">
        <v>1385</v>
      </c>
      <c r="AR497" s="24" t="s">
        <v>1386</v>
      </c>
      <c r="AS497" s="90" t="s">
        <v>119</v>
      </c>
      <c r="AT497" s="24" t="s">
        <v>102</v>
      </c>
      <c r="AU497" s="90" t="s">
        <v>119</v>
      </c>
      <c r="AV497" s="90" t="str">
        <f>IF(ISNUMBER(SEARCH("disagree",AE497)),"N","Y")</f>
        <v>Y</v>
      </c>
      <c r="AW497" s="90" t="s">
        <v>119</v>
      </c>
      <c r="AX497" s="24" t="s">
        <v>119</v>
      </c>
      <c r="AY497" s="90" t="str">
        <f>CONCATENATE(AZ497,BA497,BB497,BC497)</f>
        <v/>
      </c>
      <c r="AZ497" s="90" t="str">
        <f>IF(ISNUMBER(SEARCH("Y",AC497)),"R","")</f>
        <v/>
      </c>
      <c r="BA497" s="90" t="str">
        <f>IF(ISNUMBER(SEARCH("Y",Y497)),"M","")</f>
        <v/>
      </c>
      <c r="BB497" s="90" t="str">
        <f>IF(ISNUMBER(SEARCH("Y",AB497)),"QC","")</f>
        <v/>
      </c>
      <c r="BC497" s="90" t="str">
        <f>IF(ISNUMBER(SEARCH("Y",Z497)),"S","")</f>
        <v/>
      </c>
      <c r="BD497" s="90"/>
      <c r="BE497" s="24" t="s">
        <v>119</v>
      </c>
      <c r="BF497" s="125" t="str">
        <f>IF(AND(AW497&gt;=56543,AW497&lt;=76543,LEN(AW497)&gt;0),"3 Feb 2020",IF(AND(AW497&gt;=66544,AW497&lt;=99999,LEN(AW497)&gt;0),"12 Sep 2020",""))</f>
        <v/>
      </c>
      <c r="BG497" s="125" t="str">
        <f>IF((AND(BF497="3 Feb 2020",LEN(BF497)&gt;0)),"Completed",IF((AND(BF497="12 Sep 2020",LEN(BF497)&gt;0)),"Pending",""))</f>
        <v/>
      </c>
      <c r="BH497" s="90" t="str">
        <f>IF((AND(BF497="3 Feb 2020",LEN(BF497)&gt;0)),"3 Feb 2020","")</f>
        <v/>
      </c>
      <c r="BI497" s="90">
        <v>227066</v>
      </c>
      <c r="BJ497" s="90" t="str">
        <f>L497</f>
        <v>5B38AR842743-11</v>
      </c>
      <c r="BK497" s="127">
        <v>43508</v>
      </c>
      <c r="BL497" s="127">
        <v>44239</v>
      </c>
      <c r="BM497" s="128">
        <f>P497*1.1</f>
        <v>2265304.8000000003</v>
      </c>
      <c r="BN497" s="129">
        <f>P497*0.9</f>
        <v>1853431.2</v>
      </c>
      <c r="BO497" s="130">
        <f>P497*0.8</f>
        <v>1647494.4000000001</v>
      </c>
      <c r="BP497" s="90">
        <f>IF(Z497="Y",BM497*0.4,BM497*1.05)</f>
        <v>2378570.0400000005</v>
      </c>
      <c r="BQ497" s="90">
        <f>BP497*0.8</f>
        <v>1902856.0320000006</v>
      </c>
      <c r="BR497" s="90" t="str">
        <f>IF(ISNUMBER(SEARCH("subrecipient",AI493)),P497*0.6,"")</f>
        <v/>
      </c>
      <c r="BS497" s="90">
        <v>227066</v>
      </c>
      <c r="BT497" s="90" t="str">
        <f>BJ497</f>
        <v>5B38AR842743-11</v>
      </c>
      <c r="BU497" s="127">
        <f>BK497</f>
        <v>43508</v>
      </c>
      <c r="BV497" s="127">
        <f>BL497</f>
        <v>44239</v>
      </c>
      <c r="BW497" s="90" t="str">
        <f>H497</f>
        <v>NIH</v>
      </c>
      <c r="BX497" s="90" t="str">
        <f>IF(H497="NATIONAL HEMOPHILIA FOUNDATION","Non Federal","Federal")</f>
        <v>Federal</v>
      </c>
      <c r="BY497" s="128">
        <f>BM497</f>
        <v>2265304.8000000003</v>
      </c>
      <c r="BZ497" s="90" t="str">
        <f>IF(LEN(BR497)&gt;0,1,"")</f>
        <v/>
      </c>
      <c r="CA497" s="90" t="str">
        <f>IF(LEN(BR497)&gt;0,"VIRAL HEPATITIS PROJECT","")</f>
        <v/>
      </c>
      <c r="CB497" s="129" t="str">
        <f>IF(LEN(BR497)&gt;0,BM497*0.7,"")</f>
        <v/>
      </c>
      <c r="CC497" s="90">
        <f>BP497</f>
        <v>2378570.0400000005</v>
      </c>
      <c r="CD497" s="90" t="str">
        <f>IF(LEN(BR497)&gt;0,"70%","")</f>
        <v/>
      </c>
      <c r="CE497" s="90">
        <f>BS497</f>
        <v>227066</v>
      </c>
      <c r="CF497" s="90" t="str">
        <f>CA497</f>
        <v/>
      </c>
      <c r="CG497" s="90"/>
      <c r="CH497" s="90"/>
      <c r="CI497" s="90"/>
      <c r="CJ497" s="90"/>
      <c r="CK497" s="90"/>
      <c r="CL497" s="90"/>
      <c r="CM497" s="90"/>
      <c r="CN497" s="90"/>
      <c r="CO497" s="90"/>
      <c r="CP497" s="90"/>
      <c r="CQ497" s="90"/>
      <c r="CR497" s="90"/>
      <c r="CS497" s="90"/>
      <c r="CT497" s="137"/>
    </row>
    <row r="498" spans="1:98" ht="120">
      <c r="A498" s="89">
        <v>227066</v>
      </c>
      <c r="B498" s="90">
        <v>2020</v>
      </c>
      <c r="C498" s="90" t="s">
        <v>81</v>
      </c>
      <c r="D498" s="90" t="s">
        <v>1383</v>
      </c>
      <c r="E498" s="125" t="s">
        <v>781</v>
      </c>
      <c r="F498" s="24" t="s">
        <v>1384</v>
      </c>
      <c r="G498" s="90" t="s">
        <v>85</v>
      </c>
      <c r="H498" s="90" t="s">
        <v>117</v>
      </c>
      <c r="I498" s="90">
        <v>93</v>
      </c>
      <c r="J498" s="90">
        <v>157</v>
      </c>
      <c r="K498" s="90" t="s">
        <v>85</v>
      </c>
      <c r="L498" s="90" t="s">
        <v>1385</v>
      </c>
      <c r="M498" s="90" t="s">
        <v>119</v>
      </c>
      <c r="N498" s="24" t="s">
        <v>1386</v>
      </c>
      <c r="O498" s="24" t="str">
        <f>IF(ISNUMBER(SEARCH("Cancer",N498)),"Cancer",IF(ISNUMBER(SEARCH("health",N498)),"Public health",IF(ISNUMBER(SEARCH("disabilities",N498)),"Disabilities","Other")))</f>
        <v>Other</v>
      </c>
      <c r="P498" s="126">
        <v>2059368</v>
      </c>
      <c r="Q498" s="90" t="s">
        <v>85</v>
      </c>
      <c r="R498" s="90" t="str">
        <f>IF(P498&gt;20000000,"B","A")</f>
        <v>A</v>
      </c>
      <c r="S498" s="90" t="s">
        <v>90</v>
      </c>
      <c r="T498" s="90" t="s">
        <v>119</v>
      </c>
      <c r="U498" s="90" t="s">
        <v>119</v>
      </c>
      <c r="V498" s="90" t="s">
        <v>119</v>
      </c>
      <c r="W498" s="90" t="s">
        <v>119</v>
      </c>
      <c r="X498" s="90" t="s">
        <v>119</v>
      </c>
      <c r="Y498" s="90" t="s">
        <v>119</v>
      </c>
      <c r="Z498" s="90" t="s">
        <v>119</v>
      </c>
      <c r="AA498" s="90" t="s">
        <v>119</v>
      </c>
      <c r="AB498" s="90" t="s">
        <v>119</v>
      </c>
      <c r="AC498" s="90" t="s">
        <v>119</v>
      </c>
      <c r="AD498" s="90" t="s">
        <v>119</v>
      </c>
      <c r="AE498" s="24">
        <v>0</v>
      </c>
      <c r="AF498" s="90">
        <v>0</v>
      </c>
      <c r="AG498" s="24">
        <v>0</v>
      </c>
      <c r="AH498" s="90">
        <v>88709</v>
      </c>
      <c r="AI498" s="24" t="s">
        <v>110</v>
      </c>
      <c r="AJ498" s="24" t="s">
        <v>1387</v>
      </c>
      <c r="AK498" s="90" t="s">
        <v>85</v>
      </c>
      <c r="AL498" s="90">
        <v>227066</v>
      </c>
      <c r="AM498" s="90" t="s">
        <v>81</v>
      </c>
      <c r="AN498" s="90" t="s">
        <v>1383</v>
      </c>
      <c r="AO498" s="125" t="s">
        <v>781</v>
      </c>
      <c r="AP498" s="24" t="s">
        <v>1386</v>
      </c>
      <c r="AQ498" s="90" t="s">
        <v>1385</v>
      </c>
      <c r="AR498" s="24" t="s">
        <v>1386</v>
      </c>
      <c r="AS498" s="90" t="s">
        <v>119</v>
      </c>
      <c r="AT498" s="24" t="s">
        <v>110</v>
      </c>
      <c r="AU498" s="90" t="s">
        <v>119</v>
      </c>
      <c r="AV498" s="90" t="str">
        <f>IF(ISNUMBER(SEARCH("disagree",AE498)),"N","Y")</f>
        <v>Y</v>
      </c>
      <c r="AW498" s="90" t="s">
        <v>119</v>
      </c>
      <c r="AX498" s="24" t="s">
        <v>119</v>
      </c>
      <c r="AY498" s="90" t="str">
        <f>CONCATENATE(AZ498,BA498,BB498,BC498)</f>
        <v/>
      </c>
      <c r="AZ498" s="90" t="str">
        <f>IF(ISNUMBER(SEARCH("Y",AC498)),"R","")</f>
        <v/>
      </c>
      <c r="BA498" s="90" t="str">
        <f>IF(ISNUMBER(SEARCH("Y",Y498)),"M","")</f>
        <v/>
      </c>
      <c r="BB498" s="90" t="str">
        <f>IF(ISNUMBER(SEARCH("Y",AB498)),"QC","")</f>
        <v/>
      </c>
      <c r="BC498" s="90" t="str">
        <f>IF(ISNUMBER(SEARCH("Y",Z498)),"S","")</f>
        <v/>
      </c>
      <c r="BD498" s="90"/>
      <c r="BE498" s="24" t="s">
        <v>119</v>
      </c>
      <c r="BF498" s="125" t="str">
        <f>IF(AND(AW498&gt;=56543,AW498&lt;=76543,LEN(AW498)&gt;0),"3 Feb 2020",IF(AND(AW498&gt;=66544,AW498&lt;=99999,LEN(AW498)&gt;0),"12 Sep 2020",""))</f>
        <v/>
      </c>
      <c r="BG498" s="125" t="str">
        <f>IF((AND(BF498="3 Feb 2020",LEN(BF498)&gt;0)),"Completed",IF((AND(BF498="12 Sep 2020",LEN(BF498)&gt;0)),"Pending",""))</f>
        <v/>
      </c>
      <c r="BH498" s="90" t="str">
        <f>IF((AND(BF498="3 Feb 2020",LEN(BF498)&gt;0)),"3 Feb 2020","")</f>
        <v/>
      </c>
      <c r="BI498" s="90">
        <v>227066</v>
      </c>
      <c r="BJ498" s="90" t="str">
        <f>L498</f>
        <v>5B38AR842743-11</v>
      </c>
      <c r="BK498" s="127">
        <v>43508</v>
      </c>
      <c r="BL498" s="127">
        <v>44239</v>
      </c>
      <c r="BM498" s="128">
        <f>P498*1.1</f>
        <v>2265304.8000000003</v>
      </c>
      <c r="BN498" s="129">
        <f>P498*0.9</f>
        <v>1853431.2</v>
      </c>
      <c r="BO498" s="130">
        <f>P498*0.8</f>
        <v>1647494.4000000001</v>
      </c>
      <c r="BP498" s="90">
        <f>IF(Z498="Y",BM498*0.4,BM498*1.05)</f>
        <v>2378570.0400000005</v>
      </c>
      <c r="BQ498" s="90">
        <f>BP498*0.8</f>
        <v>1902856.0320000006</v>
      </c>
      <c r="BR498" s="90" t="str">
        <f>IF(ISNUMBER(SEARCH("subrecipient",AI494)),P498*0.6,"")</f>
        <v/>
      </c>
      <c r="BS498" s="90">
        <v>227066</v>
      </c>
      <c r="BT498" s="90" t="str">
        <f>BJ498</f>
        <v>5B38AR842743-11</v>
      </c>
      <c r="BU498" s="127">
        <f>BK498</f>
        <v>43508</v>
      </c>
      <c r="BV498" s="127">
        <f>BL498</f>
        <v>44239</v>
      </c>
      <c r="BW498" s="90" t="str">
        <f>H498</f>
        <v>NIH</v>
      </c>
      <c r="BX498" s="90" t="str">
        <f>IF(H498="NATIONAL HEMOPHILIA FOUNDATION","Non Federal","Federal")</f>
        <v>Federal</v>
      </c>
      <c r="BY498" s="128">
        <f>BM498</f>
        <v>2265304.8000000003</v>
      </c>
      <c r="BZ498" s="90" t="str">
        <f>IF(LEN(BR498)&gt;0,1,"")</f>
        <v/>
      </c>
      <c r="CA498" s="90" t="str">
        <f>IF(LEN(BR498)&gt;0,"VIRAL HEPATITIS PROJECT","")</f>
        <v/>
      </c>
      <c r="CB498" s="129" t="str">
        <f>IF(LEN(BR498)&gt;0,BM498*0.7,"")</f>
        <v/>
      </c>
      <c r="CC498" s="90">
        <f>BP498</f>
        <v>2378570.0400000005</v>
      </c>
      <c r="CD498" s="90" t="str">
        <f>IF(LEN(BR498)&gt;0,"70%","")</f>
        <v/>
      </c>
      <c r="CE498" s="90">
        <f>BS498</f>
        <v>227066</v>
      </c>
      <c r="CF498" s="90" t="str">
        <f>CA498</f>
        <v/>
      </c>
      <c r="CG498" s="90"/>
      <c r="CH498" s="90"/>
      <c r="CI498" s="90"/>
      <c r="CJ498" s="90"/>
      <c r="CK498" s="90"/>
      <c r="CL498" s="90"/>
      <c r="CM498" s="90"/>
      <c r="CN498" s="90"/>
      <c r="CO498" s="90"/>
      <c r="CP498" s="90"/>
      <c r="CQ498" s="90"/>
      <c r="CR498" s="90"/>
      <c r="CS498" s="90"/>
      <c r="CT498" s="137"/>
    </row>
    <row r="499" spans="1:98" ht="150">
      <c r="A499" s="89">
        <v>227315</v>
      </c>
      <c r="B499" s="90">
        <v>2020</v>
      </c>
      <c r="C499" s="90" t="s">
        <v>81</v>
      </c>
      <c r="D499" s="90" t="s">
        <v>1388</v>
      </c>
      <c r="E499" s="125" t="s">
        <v>784</v>
      </c>
      <c r="F499" s="24" t="s">
        <v>1389</v>
      </c>
      <c r="G499" s="90" t="s">
        <v>85</v>
      </c>
      <c r="H499" s="90" t="s">
        <v>132</v>
      </c>
      <c r="I499" s="90">
        <v>93</v>
      </c>
      <c r="J499" s="90">
        <v>157</v>
      </c>
      <c r="K499" s="90" t="s">
        <v>85</v>
      </c>
      <c r="L499" s="90" t="s">
        <v>1390</v>
      </c>
      <c r="M499" s="90" t="s">
        <v>119</v>
      </c>
      <c r="N499" s="24" t="s">
        <v>1391</v>
      </c>
      <c r="O499" s="24" t="str">
        <f>IF(ISNUMBER(SEARCH("Cancer",N499)),"Cancer",IF(ISNUMBER(SEARCH("health",N499)),"Public health",IF(ISNUMBER(SEARCH("disabilities",N499)),"Disabilities","Other")))</f>
        <v>Public health</v>
      </c>
      <c r="P499" s="126">
        <v>2067245</v>
      </c>
      <c r="Q499" s="90" t="s">
        <v>85</v>
      </c>
      <c r="R499" s="90" t="str">
        <f>IF(P499&gt;20000000,"B","A")</f>
        <v>A</v>
      </c>
      <c r="S499" s="90" t="s">
        <v>90</v>
      </c>
      <c r="T499" s="90" t="s">
        <v>119</v>
      </c>
      <c r="U499" s="90" t="s">
        <v>119</v>
      </c>
      <c r="V499" s="90" t="s">
        <v>119</v>
      </c>
      <c r="W499" s="90" t="s">
        <v>119</v>
      </c>
      <c r="X499" s="90" t="s">
        <v>119</v>
      </c>
      <c r="Y499" s="90" t="s">
        <v>119</v>
      </c>
      <c r="Z499" s="90" t="s">
        <v>119</v>
      </c>
      <c r="AA499" s="90" t="s">
        <v>119</v>
      </c>
      <c r="AB499" s="90" t="s">
        <v>119</v>
      </c>
      <c r="AC499" s="90" t="s">
        <v>119</v>
      </c>
      <c r="AD499" s="90" t="s">
        <v>119</v>
      </c>
      <c r="AE499" s="24">
        <v>0</v>
      </c>
      <c r="AF499" s="90">
        <v>0</v>
      </c>
      <c r="AG499" s="24">
        <v>0</v>
      </c>
      <c r="AH499" s="90">
        <v>88747</v>
      </c>
      <c r="AI499" s="24" t="s">
        <v>94</v>
      </c>
      <c r="AJ499" s="24" t="s">
        <v>1392</v>
      </c>
      <c r="AK499" s="90" t="s">
        <v>85</v>
      </c>
      <c r="AL499" s="90">
        <v>227315</v>
      </c>
      <c r="AM499" s="90" t="s">
        <v>81</v>
      </c>
      <c r="AN499" s="90" t="s">
        <v>1388</v>
      </c>
      <c r="AO499" s="125" t="s">
        <v>784</v>
      </c>
      <c r="AP499" s="24" t="s">
        <v>1391</v>
      </c>
      <c r="AQ499" s="90" t="s">
        <v>1390</v>
      </c>
      <c r="AR499" s="24" t="s">
        <v>1391</v>
      </c>
      <c r="AS499" s="90" t="s">
        <v>119</v>
      </c>
      <c r="AT499" s="24" t="s">
        <v>94</v>
      </c>
      <c r="AU499" s="90" t="s">
        <v>119</v>
      </c>
      <c r="AV499" s="90" t="str">
        <f>IF(ISNUMBER(SEARCH("disagree",AE499)),"N","Y")</f>
        <v>Y</v>
      </c>
      <c r="AW499" s="90" t="s">
        <v>119</v>
      </c>
      <c r="AX499" s="24" t="s">
        <v>119</v>
      </c>
      <c r="AY499" s="90" t="str">
        <f>CONCATENATE(AZ499,BA499,BB499,BC499)</f>
        <v/>
      </c>
      <c r="AZ499" s="90" t="str">
        <f>IF(ISNUMBER(SEARCH("Y",AC499)),"R","")</f>
        <v/>
      </c>
      <c r="BA499" s="90" t="str">
        <f>IF(ISNUMBER(SEARCH("Y",Y499)),"M","")</f>
        <v/>
      </c>
      <c r="BB499" s="90" t="str">
        <f>IF(ISNUMBER(SEARCH("Y",AB499)),"QC","")</f>
        <v/>
      </c>
      <c r="BC499" s="90" t="str">
        <f>IF(ISNUMBER(SEARCH("Y",Z499)),"S","")</f>
        <v/>
      </c>
      <c r="BD499" s="90"/>
      <c r="BE499" s="24" t="s">
        <v>119</v>
      </c>
      <c r="BF499" s="125" t="str">
        <f>IF(AND(AW499&gt;=56543,AW499&lt;=76543,LEN(AW499)&gt;0),"3 Feb 2020",IF(AND(AW499&gt;=66544,AW499&lt;=99999,LEN(AW499)&gt;0),"12 Sep 2020",""))</f>
        <v/>
      </c>
      <c r="BG499" s="125" t="str">
        <f>IF((AND(BF499="3 Feb 2020",LEN(BF499)&gt;0)),"Completed",IF((AND(BF499="12 Sep 2020",LEN(BF499)&gt;0)),"Pending",""))</f>
        <v/>
      </c>
      <c r="BH499" s="90" t="str">
        <f>IF((AND(BF499="3 Feb 2020",LEN(BF499)&gt;0)),"3 Feb 2020","")</f>
        <v/>
      </c>
      <c r="BI499" s="90">
        <v>227315</v>
      </c>
      <c r="BJ499" s="90" t="str">
        <f>L499</f>
        <v>8B94ER842741-22</v>
      </c>
      <c r="BK499" s="127">
        <v>43508</v>
      </c>
      <c r="BL499" s="127">
        <v>44239</v>
      </c>
      <c r="BM499" s="128">
        <f>P499*1.1</f>
        <v>2273969.5</v>
      </c>
      <c r="BN499" s="129">
        <f>P499*0.9</f>
        <v>1860520.5</v>
      </c>
      <c r="BO499" s="130">
        <f>P499*0.8</f>
        <v>1653796</v>
      </c>
      <c r="BP499" s="90">
        <f>IF(Z499="Y",BM499*0.4,BM499*1.05)</f>
        <v>2387667.9750000001</v>
      </c>
      <c r="BQ499" s="90">
        <f>BP499*0.8</f>
        <v>1910134.3800000001</v>
      </c>
      <c r="BR499" s="90" t="str">
        <f>IF(ISNUMBER(SEARCH("subrecipient",AI495)),P499*0.6,"")</f>
        <v/>
      </c>
      <c r="BS499" s="90">
        <v>227315</v>
      </c>
      <c r="BT499" s="90" t="str">
        <f>BJ499</f>
        <v>8B94ER842741-22</v>
      </c>
      <c r="BU499" s="127">
        <f>BK499</f>
        <v>43508</v>
      </c>
      <c r="BV499" s="127">
        <f>BL499</f>
        <v>44239</v>
      </c>
      <c r="BW499" s="90" t="str">
        <f>H499</f>
        <v>FDA</v>
      </c>
      <c r="BX499" s="90" t="str">
        <f>IF(H499="NATIONAL HEMOPHILIA FOUNDATION","Non Federal","Federal")</f>
        <v>Federal</v>
      </c>
      <c r="BY499" s="128">
        <f>BM499</f>
        <v>2273969.5</v>
      </c>
      <c r="BZ499" s="90" t="str">
        <f>IF(LEN(BR499)&gt;0,1,"")</f>
        <v/>
      </c>
      <c r="CA499" s="90" t="str">
        <f>IF(LEN(BR499)&gt;0,"VIRAL HEPATITIS PROJECT","")</f>
        <v/>
      </c>
      <c r="CB499" s="129" t="str">
        <f>IF(LEN(BR499)&gt;0,BM499*0.7,"")</f>
        <v/>
      </c>
      <c r="CC499" s="90">
        <f>BP499</f>
        <v>2387667.9750000001</v>
      </c>
      <c r="CD499" s="90" t="str">
        <f>IF(LEN(BR499)&gt;0,"70%","")</f>
        <v/>
      </c>
      <c r="CE499" s="90">
        <f>BS499</f>
        <v>227315</v>
      </c>
      <c r="CF499" s="90" t="str">
        <f>CA499</f>
        <v/>
      </c>
      <c r="CG499" s="90"/>
      <c r="CH499" s="90"/>
      <c r="CI499" s="90"/>
      <c r="CJ499" s="90"/>
      <c r="CK499" s="90"/>
      <c r="CL499" s="90"/>
      <c r="CM499" s="90"/>
      <c r="CN499" s="90"/>
      <c r="CO499" s="90"/>
      <c r="CP499" s="90"/>
      <c r="CQ499" s="90"/>
      <c r="CR499" s="90"/>
      <c r="CS499" s="90"/>
      <c r="CT499" s="137"/>
    </row>
    <row r="500" spans="1:98" ht="120">
      <c r="A500" s="89">
        <v>227315</v>
      </c>
      <c r="B500" s="90">
        <v>2020</v>
      </c>
      <c r="C500" s="90" t="s">
        <v>81</v>
      </c>
      <c r="D500" s="90" t="s">
        <v>1388</v>
      </c>
      <c r="E500" s="125" t="s">
        <v>790</v>
      </c>
      <c r="F500" s="24" t="s">
        <v>1389</v>
      </c>
      <c r="G500" s="90" t="s">
        <v>85</v>
      </c>
      <c r="H500" s="90" t="s">
        <v>132</v>
      </c>
      <c r="I500" s="90">
        <v>93</v>
      </c>
      <c r="J500" s="90">
        <v>157</v>
      </c>
      <c r="K500" s="90" t="s">
        <v>85</v>
      </c>
      <c r="L500" s="90" t="s">
        <v>1390</v>
      </c>
      <c r="M500" s="90" t="s">
        <v>119</v>
      </c>
      <c r="N500" s="24" t="s">
        <v>1391</v>
      </c>
      <c r="O500" s="24" t="str">
        <f>IF(ISNUMBER(SEARCH("Cancer",N500)),"Cancer",IF(ISNUMBER(SEARCH("health",N500)),"Public health",IF(ISNUMBER(SEARCH("disabilities",N500)),"Disabilities","Other")))</f>
        <v>Public health</v>
      </c>
      <c r="P500" s="126">
        <v>2067245</v>
      </c>
      <c r="Q500" s="90" t="s">
        <v>85</v>
      </c>
      <c r="R500" s="90" t="str">
        <f>IF(P500&gt;20000000,"B","A")</f>
        <v>A</v>
      </c>
      <c r="S500" s="90" t="s">
        <v>90</v>
      </c>
      <c r="T500" s="90" t="s">
        <v>119</v>
      </c>
      <c r="U500" s="90" t="s">
        <v>119</v>
      </c>
      <c r="V500" s="90" t="s">
        <v>119</v>
      </c>
      <c r="W500" s="90" t="s">
        <v>119</v>
      </c>
      <c r="X500" s="90" t="s">
        <v>119</v>
      </c>
      <c r="Y500" s="90" t="s">
        <v>119</v>
      </c>
      <c r="Z500" s="90" t="s">
        <v>119</v>
      </c>
      <c r="AA500" s="90" t="s">
        <v>119</v>
      </c>
      <c r="AB500" s="90" t="s">
        <v>119</v>
      </c>
      <c r="AC500" s="90" t="s">
        <v>119</v>
      </c>
      <c r="AD500" s="90" t="s">
        <v>119</v>
      </c>
      <c r="AE500" s="24">
        <v>0</v>
      </c>
      <c r="AF500" s="90">
        <v>0</v>
      </c>
      <c r="AG500" s="24">
        <v>0</v>
      </c>
      <c r="AH500" s="90">
        <v>88748</v>
      </c>
      <c r="AI500" s="24" t="s">
        <v>102</v>
      </c>
      <c r="AJ500" s="24" t="s">
        <v>103</v>
      </c>
      <c r="AK500" s="90" t="s">
        <v>85</v>
      </c>
      <c r="AL500" s="90">
        <v>227315</v>
      </c>
      <c r="AM500" s="90" t="s">
        <v>81</v>
      </c>
      <c r="AN500" s="90" t="s">
        <v>1388</v>
      </c>
      <c r="AO500" s="125" t="s">
        <v>790</v>
      </c>
      <c r="AP500" s="24" t="s">
        <v>1391</v>
      </c>
      <c r="AQ500" s="90" t="s">
        <v>1390</v>
      </c>
      <c r="AR500" s="24" t="s">
        <v>1391</v>
      </c>
      <c r="AS500" s="90" t="s">
        <v>119</v>
      </c>
      <c r="AT500" s="24" t="s">
        <v>102</v>
      </c>
      <c r="AU500" s="90" t="s">
        <v>119</v>
      </c>
      <c r="AV500" s="90" t="str">
        <f>IF(ISNUMBER(SEARCH("disagree",AE500)),"N","Y")</f>
        <v>Y</v>
      </c>
      <c r="AW500" s="90" t="s">
        <v>119</v>
      </c>
      <c r="AX500" s="24" t="s">
        <v>119</v>
      </c>
      <c r="AY500" s="90" t="str">
        <f>CONCATENATE(AZ500,BA500,BB500,BC500)</f>
        <v/>
      </c>
      <c r="AZ500" s="90" t="str">
        <f>IF(ISNUMBER(SEARCH("Y",AC500)),"R","")</f>
        <v/>
      </c>
      <c r="BA500" s="90" t="str">
        <f>IF(ISNUMBER(SEARCH("Y",Y500)),"M","")</f>
        <v/>
      </c>
      <c r="BB500" s="90" t="str">
        <f>IF(ISNUMBER(SEARCH("Y",AB500)),"QC","")</f>
        <v/>
      </c>
      <c r="BC500" s="90" t="str">
        <f>IF(ISNUMBER(SEARCH("Y",Z500)),"S","")</f>
        <v/>
      </c>
      <c r="BD500" s="90"/>
      <c r="BE500" s="24" t="s">
        <v>119</v>
      </c>
      <c r="BF500" s="125" t="str">
        <f>IF(AND(AW500&gt;=56543,AW500&lt;=76543,LEN(AW500)&gt;0),"3 Feb 2020",IF(AND(AW500&gt;=66544,AW500&lt;=99999,LEN(AW500)&gt;0),"12 Sep 2020",""))</f>
        <v/>
      </c>
      <c r="BG500" s="125" t="str">
        <f>IF((AND(BF500="3 Feb 2020",LEN(BF500)&gt;0)),"Completed",IF((AND(BF500="12 Sep 2020",LEN(BF500)&gt;0)),"Pending",""))</f>
        <v/>
      </c>
      <c r="BH500" s="90" t="str">
        <f>IF((AND(BF500="3 Feb 2020",LEN(BF500)&gt;0)),"3 Feb 2020","")</f>
        <v/>
      </c>
      <c r="BI500" s="90">
        <v>227315</v>
      </c>
      <c r="BJ500" s="90" t="str">
        <f>L500</f>
        <v>8B94ER842741-22</v>
      </c>
      <c r="BK500" s="127">
        <v>43508</v>
      </c>
      <c r="BL500" s="127">
        <v>44239</v>
      </c>
      <c r="BM500" s="128">
        <f>P500*1.1</f>
        <v>2273969.5</v>
      </c>
      <c r="BN500" s="129">
        <f>P500*0.9</f>
        <v>1860520.5</v>
      </c>
      <c r="BO500" s="130">
        <f>P500*0.8</f>
        <v>1653796</v>
      </c>
      <c r="BP500" s="90">
        <f>IF(Z500="Y",BM500*0.4,BM500*1.05)</f>
        <v>2387667.9750000001</v>
      </c>
      <c r="BQ500" s="90">
        <f>BP500*0.8</f>
        <v>1910134.3800000001</v>
      </c>
      <c r="BR500" s="90" t="str">
        <f>IF(ISNUMBER(SEARCH("subrecipient",AI496)),P500*0.6,"")</f>
        <v/>
      </c>
      <c r="BS500" s="90">
        <v>227315</v>
      </c>
      <c r="BT500" s="90" t="str">
        <f>BJ500</f>
        <v>8B94ER842741-22</v>
      </c>
      <c r="BU500" s="127">
        <f>BK500</f>
        <v>43508</v>
      </c>
      <c r="BV500" s="127">
        <f>BL500</f>
        <v>44239</v>
      </c>
      <c r="BW500" s="90" t="str">
        <f>H500</f>
        <v>FDA</v>
      </c>
      <c r="BX500" s="90" t="str">
        <f>IF(H500="NATIONAL HEMOPHILIA FOUNDATION","Non Federal","Federal")</f>
        <v>Federal</v>
      </c>
      <c r="BY500" s="128">
        <f>BM500</f>
        <v>2273969.5</v>
      </c>
      <c r="BZ500" s="90" t="str">
        <f>IF(LEN(BR500)&gt;0,1,"")</f>
        <v/>
      </c>
      <c r="CA500" s="90" t="str">
        <f>IF(LEN(BR500)&gt;0,"VIRAL HEPATITIS PROJECT","")</f>
        <v/>
      </c>
      <c r="CB500" s="129" t="str">
        <f>IF(LEN(BR500)&gt;0,BM500*0.7,"")</f>
        <v/>
      </c>
      <c r="CC500" s="90">
        <f>BP500</f>
        <v>2387667.9750000001</v>
      </c>
      <c r="CD500" s="90" t="str">
        <f>IF(LEN(BR500)&gt;0,"70%","")</f>
        <v/>
      </c>
      <c r="CE500" s="90">
        <f>BS500</f>
        <v>227315</v>
      </c>
      <c r="CF500" s="90" t="str">
        <f>CA500</f>
        <v/>
      </c>
      <c r="CG500" s="90"/>
      <c r="CH500" s="90"/>
      <c r="CI500" s="90"/>
      <c r="CJ500" s="90"/>
      <c r="CK500" s="90"/>
      <c r="CL500" s="90"/>
      <c r="CM500" s="90"/>
      <c r="CN500" s="90"/>
      <c r="CO500" s="90"/>
      <c r="CP500" s="90"/>
      <c r="CQ500" s="90"/>
      <c r="CR500" s="90"/>
      <c r="CS500" s="90"/>
      <c r="CT500" s="137"/>
    </row>
    <row r="501" spans="1:98" ht="120">
      <c r="A501" s="89">
        <v>228030</v>
      </c>
      <c r="B501" s="90">
        <v>2020</v>
      </c>
      <c r="C501" s="90" t="s">
        <v>81</v>
      </c>
      <c r="D501" s="90" t="s">
        <v>1393</v>
      </c>
      <c r="E501" s="125" t="s">
        <v>791</v>
      </c>
      <c r="F501" s="24" t="s">
        <v>1394</v>
      </c>
      <c r="G501" s="90" t="s">
        <v>85</v>
      </c>
      <c r="H501" s="90" t="s">
        <v>150</v>
      </c>
      <c r="I501" s="90">
        <v>93</v>
      </c>
      <c r="J501" s="90">
        <v>157</v>
      </c>
      <c r="K501" s="90" t="s">
        <v>85</v>
      </c>
      <c r="L501" s="90" t="s">
        <v>1395</v>
      </c>
      <c r="M501" s="90" t="s">
        <v>119</v>
      </c>
      <c r="N501" s="24" t="s">
        <v>1396</v>
      </c>
      <c r="O501" s="24" t="str">
        <f>IF(ISNUMBER(SEARCH("Cancer",N501)),"Cancer",IF(ISNUMBER(SEARCH("health",N501)),"Public health",IF(ISNUMBER(SEARCH("disabilities",N501)),"Disabilities","Other")))</f>
        <v>Other</v>
      </c>
      <c r="P501" s="126">
        <v>2272000</v>
      </c>
      <c r="Q501" s="90" t="s">
        <v>85</v>
      </c>
      <c r="R501" s="90" t="str">
        <f>IF(P501&gt;20000000,"B","A")</f>
        <v>A</v>
      </c>
      <c r="S501" s="90" t="s">
        <v>90</v>
      </c>
      <c r="T501" s="90" t="s">
        <v>119</v>
      </c>
      <c r="U501" s="90" t="s">
        <v>119</v>
      </c>
      <c r="V501" s="90" t="s">
        <v>119</v>
      </c>
      <c r="W501" s="90" t="s">
        <v>119</v>
      </c>
      <c r="X501" s="90" t="s">
        <v>119</v>
      </c>
      <c r="Y501" s="90" t="s">
        <v>119</v>
      </c>
      <c r="Z501" s="90" t="s">
        <v>119</v>
      </c>
      <c r="AA501" s="90" t="s">
        <v>119</v>
      </c>
      <c r="AB501" s="90" t="s">
        <v>119</v>
      </c>
      <c r="AC501" s="90" t="s">
        <v>119</v>
      </c>
      <c r="AD501" s="90" t="s">
        <v>119</v>
      </c>
      <c r="AE501" s="24">
        <v>0</v>
      </c>
      <c r="AF501" s="90">
        <v>0</v>
      </c>
      <c r="AG501" s="24">
        <v>0</v>
      </c>
      <c r="AH501" s="90">
        <v>89297</v>
      </c>
      <c r="AI501" s="24" t="s">
        <v>94</v>
      </c>
      <c r="AJ501" s="24" t="s">
        <v>1397</v>
      </c>
      <c r="AK501" s="90" t="s">
        <v>85</v>
      </c>
      <c r="AL501" s="90">
        <v>228030</v>
      </c>
      <c r="AM501" s="90" t="s">
        <v>81</v>
      </c>
      <c r="AN501" s="90" t="s">
        <v>1393</v>
      </c>
      <c r="AO501" s="125" t="s">
        <v>791</v>
      </c>
      <c r="AP501" s="24" t="s">
        <v>1396</v>
      </c>
      <c r="AQ501" s="90" t="s">
        <v>1395</v>
      </c>
      <c r="AR501" s="24" t="s">
        <v>1396</v>
      </c>
      <c r="AS501" s="90" t="s">
        <v>119</v>
      </c>
      <c r="AT501" s="24" t="s">
        <v>94</v>
      </c>
      <c r="AU501" s="90" t="s">
        <v>119</v>
      </c>
      <c r="AV501" s="90" t="str">
        <f>IF(ISNUMBER(SEARCH("disagree",AE501)),"N","Y")</f>
        <v>Y</v>
      </c>
      <c r="AW501" s="90" t="s">
        <v>119</v>
      </c>
      <c r="AX501" s="24" t="s">
        <v>119</v>
      </c>
      <c r="AY501" s="90" t="str">
        <f>CONCATENATE(AZ501,BA501,BB501,BC501)</f>
        <v/>
      </c>
      <c r="AZ501" s="90" t="str">
        <f>IF(ISNUMBER(SEARCH("Y",AC501)),"R","")</f>
        <v/>
      </c>
      <c r="BA501" s="90" t="str">
        <f>IF(ISNUMBER(SEARCH("Y",Y501)),"M","")</f>
        <v/>
      </c>
      <c r="BB501" s="90" t="str">
        <f>IF(ISNUMBER(SEARCH("Y",AB501)),"QC","")</f>
        <v/>
      </c>
      <c r="BC501" s="90" t="str">
        <f>IF(ISNUMBER(SEARCH("Y",Z501)),"S","")</f>
        <v/>
      </c>
      <c r="BD501" s="90"/>
      <c r="BE501" s="24" t="s">
        <v>119</v>
      </c>
      <c r="BF501" s="125" t="str">
        <f>IF(AND(AW501&gt;=56543,AW501&lt;=76543,LEN(AW501)&gt;0),"3 Feb 2020",IF(AND(AW501&gt;=66544,AW501&lt;=99999,LEN(AW501)&gt;0),"12 Sep 2020",""))</f>
        <v/>
      </c>
      <c r="BG501" s="125" t="str">
        <f>IF((AND(BF501="3 Feb 2020",LEN(BF501)&gt;0)),"Completed",IF((AND(BF501="12 Sep 2020",LEN(BF501)&gt;0)),"Pending",""))</f>
        <v/>
      </c>
      <c r="BH501" s="90" t="str">
        <f>IF((AND(BF501="3 Feb 2020",LEN(BF501)&gt;0)),"3 Feb 2020","")</f>
        <v/>
      </c>
      <c r="BI501" s="90">
        <v>228030</v>
      </c>
      <c r="BJ501" s="90" t="str">
        <f>L501</f>
        <v>3D37IT842741-47</v>
      </c>
      <c r="BK501" s="127">
        <v>43508</v>
      </c>
      <c r="BL501" s="127">
        <v>44239</v>
      </c>
      <c r="BM501" s="128">
        <f>P501*1.1</f>
        <v>2499200</v>
      </c>
      <c r="BN501" s="129">
        <f>P501*0.9</f>
        <v>2044800</v>
      </c>
      <c r="BO501" s="130">
        <f>P501*0.8</f>
        <v>1817600</v>
      </c>
      <c r="BP501" s="90">
        <f>IF(Z501="Y",BM501*0.4,BM501*1.05)</f>
        <v>2624160</v>
      </c>
      <c r="BQ501" s="90">
        <f>BP501*0.8</f>
        <v>2099328</v>
      </c>
      <c r="BR501" s="90" t="str">
        <f>IF(ISNUMBER(SEARCH("subrecipient",AI497)),P501*0.6,"")</f>
        <v/>
      </c>
      <c r="BS501" s="90">
        <v>228030</v>
      </c>
      <c r="BT501" s="90" t="str">
        <f>BJ501</f>
        <v>3D37IT842741-47</v>
      </c>
      <c r="BU501" s="127">
        <f>BK501</f>
        <v>43508</v>
      </c>
      <c r="BV501" s="127">
        <f>BL501</f>
        <v>44239</v>
      </c>
      <c r="BW501" s="90" t="str">
        <f>H501</f>
        <v>ACF</v>
      </c>
      <c r="BX501" s="90" t="str">
        <f>IF(H501="NATIONAL HEMOPHILIA FOUNDATION","Non Federal","Federal")</f>
        <v>Federal</v>
      </c>
      <c r="BY501" s="128">
        <f>BM501</f>
        <v>2499200</v>
      </c>
      <c r="BZ501" s="90" t="str">
        <f>IF(LEN(BR501)&gt;0,1,"")</f>
        <v/>
      </c>
      <c r="CA501" s="90" t="str">
        <f>IF(LEN(BR501)&gt;0,"VIRAL HEPATITIS PROJECT","")</f>
        <v/>
      </c>
      <c r="CB501" s="129" t="str">
        <f>IF(LEN(BR501)&gt;0,BM501*0.7,"")</f>
        <v/>
      </c>
      <c r="CC501" s="90">
        <f>BP501</f>
        <v>2624160</v>
      </c>
      <c r="CD501" s="90" t="str">
        <f>IF(LEN(BR501)&gt;0,"70%","")</f>
        <v/>
      </c>
      <c r="CE501" s="90">
        <f>BS501</f>
        <v>228030</v>
      </c>
      <c r="CF501" s="90" t="str">
        <f>CA501</f>
        <v/>
      </c>
      <c r="CG501" s="90"/>
      <c r="CH501" s="90"/>
      <c r="CI501" s="90"/>
      <c r="CJ501" s="90"/>
      <c r="CK501" s="90"/>
      <c r="CL501" s="90"/>
      <c r="CM501" s="90"/>
      <c r="CN501" s="90"/>
      <c r="CO501" s="90"/>
      <c r="CP501" s="90"/>
      <c r="CQ501" s="90"/>
      <c r="CR501" s="90"/>
      <c r="CS501" s="90"/>
      <c r="CT501" s="137"/>
    </row>
    <row r="502" spans="1:98" ht="120">
      <c r="A502" s="89">
        <v>228030</v>
      </c>
      <c r="B502" s="90">
        <v>2020</v>
      </c>
      <c r="C502" s="90" t="s">
        <v>81</v>
      </c>
      <c r="D502" s="90" t="s">
        <v>1393</v>
      </c>
      <c r="E502" s="125" t="s">
        <v>793</v>
      </c>
      <c r="F502" s="24" t="s">
        <v>1394</v>
      </c>
      <c r="G502" s="90" t="s">
        <v>85</v>
      </c>
      <c r="H502" s="90" t="s">
        <v>150</v>
      </c>
      <c r="I502" s="90">
        <v>93</v>
      </c>
      <c r="J502" s="90">
        <v>157</v>
      </c>
      <c r="K502" s="90" t="s">
        <v>85</v>
      </c>
      <c r="L502" s="90" t="s">
        <v>1395</v>
      </c>
      <c r="M502" s="90" t="s">
        <v>119</v>
      </c>
      <c r="N502" s="24" t="s">
        <v>1396</v>
      </c>
      <c r="O502" s="24" t="str">
        <f>IF(ISNUMBER(SEARCH("Cancer",N502)),"Cancer",IF(ISNUMBER(SEARCH("health",N502)),"Public health",IF(ISNUMBER(SEARCH("disabilities",N502)),"Disabilities","Other")))</f>
        <v>Other</v>
      </c>
      <c r="P502" s="126">
        <v>2272000</v>
      </c>
      <c r="Q502" s="90" t="s">
        <v>85</v>
      </c>
      <c r="R502" s="90" t="str">
        <f>IF(P502&gt;20000000,"B","A")</f>
        <v>A</v>
      </c>
      <c r="S502" s="90" t="s">
        <v>90</v>
      </c>
      <c r="T502" s="90" t="s">
        <v>119</v>
      </c>
      <c r="U502" s="90" t="s">
        <v>119</v>
      </c>
      <c r="V502" s="90" t="s">
        <v>119</v>
      </c>
      <c r="W502" s="90" t="s">
        <v>119</v>
      </c>
      <c r="X502" s="90" t="s">
        <v>119</v>
      </c>
      <c r="Y502" s="90" t="s">
        <v>119</v>
      </c>
      <c r="Z502" s="90" t="s">
        <v>119</v>
      </c>
      <c r="AA502" s="90" t="s">
        <v>119</v>
      </c>
      <c r="AB502" s="90" t="s">
        <v>119</v>
      </c>
      <c r="AC502" s="90" t="s">
        <v>119</v>
      </c>
      <c r="AD502" s="90" t="s">
        <v>119</v>
      </c>
      <c r="AE502" s="24">
        <v>0</v>
      </c>
      <c r="AF502" s="90">
        <v>0</v>
      </c>
      <c r="AG502" s="24">
        <v>0</v>
      </c>
      <c r="AH502" s="90">
        <v>89298</v>
      </c>
      <c r="AI502" s="24" t="s">
        <v>102</v>
      </c>
      <c r="AJ502" s="24" t="s">
        <v>916</v>
      </c>
      <c r="AK502" s="90" t="s">
        <v>85</v>
      </c>
      <c r="AL502" s="90">
        <v>228030</v>
      </c>
      <c r="AM502" s="90" t="s">
        <v>81</v>
      </c>
      <c r="AN502" s="90" t="s">
        <v>1393</v>
      </c>
      <c r="AO502" s="125" t="s">
        <v>793</v>
      </c>
      <c r="AP502" s="24" t="s">
        <v>1396</v>
      </c>
      <c r="AQ502" s="90" t="s">
        <v>1395</v>
      </c>
      <c r="AR502" s="24" t="s">
        <v>1396</v>
      </c>
      <c r="AS502" s="90" t="s">
        <v>119</v>
      </c>
      <c r="AT502" s="24" t="s">
        <v>102</v>
      </c>
      <c r="AU502" s="90" t="s">
        <v>119</v>
      </c>
      <c r="AV502" s="90" t="str">
        <f>IF(ISNUMBER(SEARCH("disagree",AE502)),"N","Y")</f>
        <v>Y</v>
      </c>
      <c r="AW502" s="90" t="s">
        <v>119</v>
      </c>
      <c r="AX502" s="24" t="s">
        <v>119</v>
      </c>
      <c r="AY502" s="90" t="str">
        <f>CONCATENATE(AZ502,BA502,BB502,BC502)</f>
        <v/>
      </c>
      <c r="AZ502" s="90" t="str">
        <f>IF(ISNUMBER(SEARCH("Y",AC502)),"R","")</f>
        <v/>
      </c>
      <c r="BA502" s="90" t="str">
        <f>IF(ISNUMBER(SEARCH("Y",Y502)),"M","")</f>
        <v/>
      </c>
      <c r="BB502" s="90" t="str">
        <f>IF(ISNUMBER(SEARCH("Y",AB502)),"QC","")</f>
        <v/>
      </c>
      <c r="BC502" s="90" t="str">
        <f>IF(ISNUMBER(SEARCH("Y",Z502)),"S","")</f>
        <v/>
      </c>
      <c r="BD502" s="90"/>
      <c r="BE502" s="24" t="s">
        <v>119</v>
      </c>
      <c r="BF502" s="125" t="str">
        <f>IF(AND(AW502&gt;=56543,AW502&lt;=76543,LEN(AW502)&gt;0),"3 Feb 2020",IF(AND(AW502&gt;=66544,AW502&lt;=99999,LEN(AW502)&gt;0),"12 Sep 2020",""))</f>
        <v/>
      </c>
      <c r="BG502" s="125" t="str">
        <f>IF((AND(BF502="3 Feb 2020",LEN(BF502)&gt;0)),"Completed",IF((AND(BF502="12 Sep 2020",LEN(BF502)&gt;0)),"Pending",""))</f>
        <v/>
      </c>
      <c r="BH502" s="90" t="str">
        <f>IF((AND(BF502="3 Feb 2020",LEN(BF502)&gt;0)),"3 Feb 2020","")</f>
        <v/>
      </c>
      <c r="BI502" s="90">
        <v>228030</v>
      </c>
      <c r="BJ502" s="90" t="str">
        <f>L502</f>
        <v>3D37IT842741-47</v>
      </c>
      <c r="BK502" s="127">
        <v>43508</v>
      </c>
      <c r="BL502" s="127">
        <v>44239</v>
      </c>
      <c r="BM502" s="128">
        <f>P502*1.1</f>
        <v>2499200</v>
      </c>
      <c r="BN502" s="129">
        <f>P502*0.9</f>
        <v>2044800</v>
      </c>
      <c r="BO502" s="130">
        <f>P502*0.8</f>
        <v>1817600</v>
      </c>
      <c r="BP502" s="90">
        <f>IF(Z502="Y",BM502*0.4,BM502*1.05)</f>
        <v>2624160</v>
      </c>
      <c r="BQ502" s="90">
        <f>BP502*0.8</f>
        <v>2099328</v>
      </c>
      <c r="BR502" s="90" t="str">
        <f>IF(ISNUMBER(SEARCH("subrecipient",AI498)),P502*0.6,"")</f>
        <v/>
      </c>
      <c r="BS502" s="90">
        <v>228030</v>
      </c>
      <c r="BT502" s="90" t="str">
        <f>BJ502</f>
        <v>3D37IT842741-47</v>
      </c>
      <c r="BU502" s="127">
        <f>BK502</f>
        <v>43508</v>
      </c>
      <c r="BV502" s="127">
        <f>BL502</f>
        <v>44239</v>
      </c>
      <c r="BW502" s="90" t="str">
        <f>H502</f>
        <v>ACF</v>
      </c>
      <c r="BX502" s="90" t="str">
        <f>IF(H502="NATIONAL HEMOPHILIA FOUNDATION","Non Federal","Federal")</f>
        <v>Federal</v>
      </c>
      <c r="BY502" s="128">
        <f>BM502</f>
        <v>2499200</v>
      </c>
      <c r="BZ502" s="90" t="str">
        <f>IF(LEN(BR502)&gt;0,1,"")</f>
        <v/>
      </c>
      <c r="CA502" s="90" t="str">
        <f>IF(LEN(BR502)&gt;0,"VIRAL HEPATITIS PROJECT","")</f>
        <v/>
      </c>
      <c r="CB502" s="129" t="str">
        <f>IF(LEN(BR502)&gt;0,BM502*0.7,"")</f>
        <v/>
      </c>
      <c r="CC502" s="90">
        <f>BP502</f>
        <v>2624160</v>
      </c>
      <c r="CD502" s="90" t="str">
        <f>IF(LEN(BR502)&gt;0,"70%","")</f>
        <v/>
      </c>
      <c r="CE502" s="90">
        <f>BS502</f>
        <v>228030</v>
      </c>
      <c r="CF502" s="90" t="str">
        <f>CA502</f>
        <v/>
      </c>
      <c r="CG502" s="90"/>
      <c r="CH502" s="90"/>
      <c r="CI502" s="90"/>
      <c r="CJ502" s="90"/>
      <c r="CK502" s="90"/>
      <c r="CL502" s="90"/>
      <c r="CM502" s="90"/>
      <c r="CN502" s="90"/>
      <c r="CO502" s="90"/>
      <c r="CP502" s="90"/>
      <c r="CQ502" s="90"/>
      <c r="CR502" s="90"/>
      <c r="CS502" s="90"/>
      <c r="CT502" s="137"/>
    </row>
    <row r="503" spans="1:98" ht="120">
      <c r="A503" s="89">
        <v>228030</v>
      </c>
      <c r="B503" s="90">
        <v>2020</v>
      </c>
      <c r="C503" s="90" t="s">
        <v>81</v>
      </c>
      <c r="D503" s="90" t="s">
        <v>1393</v>
      </c>
      <c r="E503" s="125" t="s">
        <v>780</v>
      </c>
      <c r="F503" s="24" t="s">
        <v>1394</v>
      </c>
      <c r="G503" s="90" t="s">
        <v>85</v>
      </c>
      <c r="H503" s="90" t="s">
        <v>150</v>
      </c>
      <c r="I503" s="90">
        <v>93</v>
      </c>
      <c r="J503" s="90">
        <v>157</v>
      </c>
      <c r="K503" s="90" t="s">
        <v>85</v>
      </c>
      <c r="L503" s="90" t="s">
        <v>1395</v>
      </c>
      <c r="M503" s="90" t="s">
        <v>119</v>
      </c>
      <c r="N503" s="24" t="s">
        <v>1396</v>
      </c>
      <c r="O503" s="24" t="str">
        <f>IF(ISNUMBER(SEARCH("Cancer",N503)),"Cancer",IF(ISNUMBER(SEARCH("health",N503)),"Public health",IF(ISNUMBER(SEARCH("disabilities",N503)),"Disabilities","Other")))</f>
        <v>Other</v>
      </c>
      <c r="P503" s="126">
        <v>2272000</v>
      </c>
      <c r="Q503" s="90" t="s">
        <v>85</v>
      </c>
      <c r="R503" s="90" t="str">
        <f>IF(P503&gt;20000000,"B","A")</f>
        <v>A</v>
      </c>
      <c r="S503" s="90" t="s">
        <v>90</v>
      </c>
      <c r="T503" s="90" t="s">
        <v>119</v>
      </c>
      <c r="U503" s="90" t="s">
        <v>119</v>
      </c>
      <c r="V503" s="90" t="s">
        <v>119</v>
      </c>
      <c r="W503" s="90" t="s">
        <v>119</v>
      </c>
      <c r="X503" s="90" t="s">
        <v>119</v>
      </c>
      <c r="Y503" s="90" t="s">
        <v>119</v>
      </c>
      <c r="Z503" s="90" t="s">
        <v>119</v>
      </c>
      <c r="AA503" s="90" t="s">
        <v>119</v>
      </c>
      <c r="AB503" s="90" t="s">
        <v>119</v>
      </c>
      <c r="AC503" s="90" t="s">
        <v>119</v>
      </c>
      <c r="AD503" s="90" t="s">
        <v>119</v>
      </c>
      <c r="AE503" s="24">
        <v>0</v>
      </c>
      <c r="AF503" s="90">
        <v>0</v>
      </c>
      <c r="AG503" s="24">
        <v>0</v>
      </c>
      <c r="AH503" s="90">
        <v>89299</v>
      </c>
      <c r="AI503" s="24" t="s">
        <v>917</v>
      </c>
      <c r="AJ503" s="24" t="s">
        <v>1398</v>
      </c>
      <c r="AK503" s="90" t="s">
        <v>85</v>
      </c>
      <c r="AL503" s="90">
        <v>228030</v>
      </c>
      <c r="AM503" s="90" t="s">
        <v>81</v>
      </c>
      <c r="AN503" s="90" t="s">
        <v>1393</v>
      </c>
      <c r="AO503" s="125" t="s">
        <v>780</v>
      </c>
      <c r="AP503" s="24" t="s">
        <v>1396</v>
      </c>
      <c r="AQ503" s="90" t="s">
        <v>1395</v>
      </c>
      <c r="AR503" s="24" t="s">
        <v>1396</v>
      </c>
      <c r="AS503" s="90" t="s">
        <v>119</v>
      </c>
      <c r="AT503" s="24" t="s">
        <v>917</v>
      </c>
      <c r="AU503" s="90" t="s">
        <v>119</v>
      </c>
      <c r="AV503" s="90" t="str">
        <f>IF(ISNUMBER(SEARCH("disagree",AE503)),"N","Y")</f>
        <v>Y</v>
      </c>
      <c r="AW503" s="90" t="s">
        <v>119</v>
      </c>
      <c r="AX503" s="24" t="s">
        <v>119</v>
      </c>
      <c r="AY503" s="90" t="str">
        <f>CONCATENATE(AZ503,BA503,BB503,BC503)</f>
        <v/>
      </c>
      <c r="AZ503" s="90" t="str">
        <f>IF(ISNUMBER(SEARCH("Y",AC503)),"R","")</f>
        <v/>
      </c>
      <c r="BA503" s="90" t="str">
        <f>IF(ISNUMBER(SEARCH("Y",Y503)),"M","")</f>
        <v/>
      </c>
      <c r="BB503" s="90" t="str">
        <f>IF(ISNUMBER(SEARCH("Y",AB503)),"QC","")</f>
        <v/>
      </c>
      <c r="BC503" s="90" t="str">
        <f>IF(ISNUMBER(SEARCH("Y",Z503)),"S","")</f>
        <v/>
      </c>
      <c r="BD503" s="90"/>
      <c r="BE503" s="24" t="s">
        <v>119</v>
      </c>
      <c r="BF503" s="125" t="str">
        <f>IF(AND(AW503&gt;=56543,AW503&lt;=76543,LEN(AW503)&gt;0),"3 Feb 2020",IF(AND(AW503&gt;=66544,AW503&lt;=99999,LEN(AW503)&gt;0),"12 Sep 2020",""))</f>
        <v/>
      </c>
      <c r="BG503" s="125" t="str">
        <f>IF((AND(BF503="3 Feb 2020",LEN(BF503)&gt;0)),"Completed",IF((AND(BF503="12 Sep 2020",LEN(BF503)&gt;0)),"Pending",""))</f>
        <v/>
      </c>
      <c r="BH503" s="90" t="str">
        <f>IF((AND(BF503="3 Feb 2020",LEN(BF503)&gt;0)),"3 Feb 2020","")</f>
        <v/>
      </c>
      <c r="BI503" s="90">
        <v>228030</v>
      </c>
      <c r="BJ503" s="90" t="str">
        <f>L503</f>
        <v>3D37IT842741-47</v>
      </c>
      <c r="BK503" s="127">
        <v>43508</v>
      </c>
      <c r="BL503" s="127">
        <v>44239</v>
      </c>
      <c r="BM503" s="128">
        <f>P503*1.1</f>
        <v>2499200</v>
      </c>
      <c r="BN503" s="129">
        <f>P503*0.9</f>
        <v>2044800</v>
      </c>
      <c r="BO503" s="130">
        <f>P503*0.8</f>
        <v>1817600</v>
      </c>
      <c r="BP503" s="90">
        <f>IF(Z503="Y",BM503*0.4,BM503*1.05)</f>
        <v>2624160</v>
      </c>
      <c r="BQ503" s="90">
        <f>BP503*0.8</f>
        <v>2099328</v>
      </c>
      <c r="BR503" s="90" t="str">
        <f>IF(ISNUMBER(SEARCH("subrecipient",AI499)),P503*0.6,"")</f>
        <v/>
      </c>
      <c r="BS503" s="90">
        <v>228030</v>
      </c>
      <c r="BT503" s="90" t="str">
        <f>BJ503</f>
        <v>3D37IT842741-47</v>
      </c>
      <c r="BU503" s="127">
        <f>BK503</f>
        <v>43508</v>
      </c>
      <c r="BV503" s="127">
        <f>BL503</f>
        <v>44239</v>
      </c>
      <c r="BW503" s="90" t="str">
        <f>H503</f>
        <v>ACF</v>
      </c>
      <c r="BX503" s="90" t="str">
        <f>IF(H503="NATIONAL HEMOPHILIA FOUNDATION","Non Federal","Federal")</f>
        <v>Federal</v>
      </c>
      <c r="BY503" s="128">
        <f>BM503</f>
        <v>2499200</v>
      </c>
      <c r="BZ503" s="90" t="str">
        <f>IF(LEN(BR503)&gt;0,1,"")</f>
        <v/>
      </c>
      <c r="CA503" s="90" t="str">
        <f>IF(LEN(BR503)&gt;0,"VIRAL HEPATITIS PROJECT","")</f>
        <v/>
      </c>
      <c r="CB503" s="129" t="str">
        <f>IF(LEN(BR503)&gt;0,BM503*0.7,"")</f>
        <v/>
      </c>
      <c r="CC503" s="90">
        <f>BP503</f>
        <v>2624160</v>
      </c>
      <c r="CD503" s="90" t="str">
        <f>IF(LEN(BR503)&gt;0,"70%","")</f>
        <v/>
      </c>
      <c r="CE503" s="90">
        <f>BS503</f>
        <v>228030</v>
      </c>
      <c r="CF503" s="90" t="str">
        <f>CA503</f>
        <v/>
      </c>
      <c r="CG503" s="90"/>
      <c r="CH503" s="90"/>
      <c r="CI503" s="90"/>
      <c r="CJ503" s="90"/>
      <c r="CK503" s="90"/>
      <c r="CL503" s="90"/>
      <c r="CM503" s="90"/>
      <c r="CN503" s="90"/>
      <c r="CO503" s="90"/>
      <c r="CP503" s="90"/>
      <c r="CQ503" s="90"/>
      <c r="CR503" s="90"/>
      <c r="CS503" s="90"/>
      <c r="CT503" s="137"/>
    </row>
    <row r="504" spans="1:98" ht="120">
      <c r="A504" s="89">
        <v>228030</v>
      </c>
      <c r="B504" s="90">
        <v>2020</v>
      </c>
      <c r="C504" s="90" t="s">
        <v>81</v>
      </c>
      <c r="D504" s="90" t="s">
        <v>1393</v>
      </c>
      <c r="E504" s="125" t="s">
        <v>781</v>
      </c>
      <c r="F504" s="24" t="s">
        <v>1394</v>
      </c>
      <c r="G504" s="90" t="s">
        <v>85</v>
      </c>
      <c r="H504" s="90" t="s">
        <v>150</v>
      </c>
      <c r="I504" s="90">
        <v>93</v>
      </c>
      <c r="J504" s="90">
        <v>157</v>
      </c>
      <c r="K504" s="90" t="s">
        <v>85</v>
      </c>
      <c r="L504" s="90" t="s">
        <v>1395</v>
      </c>
      <c r="M504" s="90" t="s">
        <v>119</v>
      </c>
      <c r="N504" s="24" t="s">
        <v>1396</v>
      </c>
      <c r="O504" s="24" t="str">
        <f>IF(ISNUMBER(SEARCH("Cancer",N504)),"Cancer",IF(ISNUMBER(SEARCH("health",N504)),"Public health",IF(ISNUMBER(SEARCH("disabilities",N504)),"Disabilities","Other")))</f>
        <v>Other</v>
      </c>
      <c r="P504" s="126">
        <v>2272000</v>
      </c>
      <c r="Q504" s="90" t="s">
        <v>85</v>
      </c>
      <c r="R504" s="90" t="str">
        <f>IF(P504&gt;20000000,"B","A")</f>
        <v>A</v>
      </c>
      <c r="S504" s="90" t="s">
        <v>90</v>
      </c>
      <c r="T504" s="90" t="s">
        <v>119</v>
      </c>
      <c r="U504" s="90" t="s">
        <v>119</v>
      </c>
      <c r="V504" s="90" t="s">
        <v>119</v>
      </c>
      <c r="W504" s="90" t="s">
        <v>119</v>
      </c>
      <c r="X504" s="90" t="s">
        <v>119</v>
      </c>
      <c r="Y504" s="90" t="s">
        <v>119</v>
      </c>
      <c r="Z504" s="90" t="s">
        <v>119</v>
      </c>
      <c r="AA504" s="90" t="s">
        <v>119</v>
      </c>
      <c r="AB504" s="90" t="s">
        <v>119</v>
      </c>
      <c r="AC504" s="90" t="s">
        <v>119</v>
      </c>
      <c r="AD504" s="90" t="s">
        <v>119</v>
      </c>
      <c r="AE504" s="24">
        <v>0</v>
      </c>
      <c r="AF504" s="90">
        <v>0</v>
      </c>
      <c r="AG504" s="24">
        <v>0</v>
      </c>
      <c r="AH504" s="90">
        <v>89300</v>
      </c>
      <c r="AI504" s="24" t="s">
        <v>919</v>
      </c>
      <c r="AJ504" s="24" t="s">
        <v>920</v>
      </c>
      <c r="AK504" s="90" t="s">
        <v>85</v>
      </c>
      <c r="AL504" s="90">
        <v>228030</v>
      </c>
      <c r="AM504" s="90" t="s">
        <v>81</v>
      </c>
      <c r="AN504" s="90" t="s">
        <v>1393</v>
      </c>
      <c r="AO504" s="125" t="s">
        <v>781</v>
      </c>
      <c r="AP504" s="24" t="s">
        <v>1396</v>
      </c>
      <c r="AQ504" s="90" t="s">
        <v>1395</v>
      </c>
      <c r="AR504" s="24" t="s">
        <v>1396</v>
      </c>
      <c r="AS504" s="90" t="s">
        <v>119</v>
      </c>
      <c r="AT504" s="24" t="s">
        <v>919</v>
      </c>
      <c r="AU504" s="90" t="s">
        <v>119</v>
      </c>
      <c r="AV504" s="90" t="str">
        <f>IF(ISNUMBER(SEARCH("disagree",AE504)),"N","Y")</f>
        <v>Y</v>
      </c>
      <c r="AW504" s="90" t="s">
        <v>119</v>
      </c>
      <c r="AX504" s="24" t="s">
        <v>119</v>
      </c>
      <c r="AY504" s="90" t="str">
        <f>CONCATENATE(AZ504,BA504,BB504,BC504)</f>
        <v/>
      </c>
      <c r="AZ504" s="90" t="str">
        <f>IF(ISNUMBER(SEARCH("Y",AC504)),"R","")</f>
        <v/>
      </c>
      <c r="BA504" s="90" t="str">
        <f>IF(ISNUMBER(SEARCH("Y",Y504)),"M","")</f>
        <v/>
      </c>
      <c r="BB504" s="90" t="str">
        <f>IF(ISNUMBER(SEARCH("Y",AB504)),"QC","")</f>
        <v/>
      </c>
      <c r="BC504" s="90" t="str">
        <f>IF(ISNUMBER(SEARCH("Y",Z504)),"S","")</f>
        <v/>
      </c>
      <c r="BD504" s="90"/>
      <c r="BE504" s="24" t="s">
        <v>119</v>
      </c>
      <c r="BF504" s="125" t="str">
        <f>IF(AND(AW504&gt;=56543,AW504&lt;=76543,LEN(AW504)&gt;0),"3 Feb 2020",IF(AND(AW504&gt;=66544,AW504&lt;=99999,LEN(AW504)&gt;0),"12 Sep 2020",""))</f>
        <v/>
      </c>
      <c r="BG504" s="125" t="str">
        <f>IF((AND(BF504="3 Feb 2020",LEN(BF504)&gt;0)),"Completed",IF((AND(BF504="12 Sep 2020",LEN(BF504)&gt;0)),"Pending",""))</f>
        <v/>
      </c>
      <c r="BH504" s="90" t="str">
        <f>IF((AND(BF504="3 Feb 2020",LEN(BF504)&gt;0)),"3 Feb 2020","")</f>
        <v/>
      </c>
      <c r="BI504" s="90">
        <v>228030</v>
      </c>
      <c r="BJ504" s="90" t="str">
        <f>L504</f>
        <v>3D37IT842741-47</v>
      </c>
      <c r="BK504" s="127">
        <v>43508</v>
      </c>
      <c r="BL504" s="127">
        <v>44239</v>
      </c>
      <c r="BM504" s="128">
        <f>P504*1.1</f>
        <v>2499200</v>
      </c>
      <c r="BN504" s="129">
        <f>P504*0.9</f>
        <v>2044800</v>
      </c>
      <c r="BO504" s="130">
        <f>P504*0.8</f>
        <v>1817600</v>
      </c>
      <c r="BP504" s="90">
        <f>IF(Z504="Y",BM504*0.4,BM504*1.05)</f>
        <v>2624160</v>
      </c>
      <c r="BQ504" s="90">
        <f>BP504*0.8</f>
        <v>2099328</v>
      </c>
      <c r="BR504" s="90" t="str">
        <f>IF(ISNUMBER(SEARCH("subrecipient",AI500)),P504*0.6,"")</f>
        <v/>
      </c>
      <c r="BS504" s="90">
        <v>228030</v>
      </c>
      <c r="BT504" s="90" t="str">
        <f>BJ504</f>
        <v>3D37IT842741-47</v>
      </c>
      <c r="BU504" s="127">
        <f>BK504</f>
        <v>43508</v>
      </c>
      <c r="BV504" s="127">
        <f>BL504</f>
        <v>44239</v>
      </c>
      <c r="BW504" s="90" t="str">
        <f>H504</f>
        <v>ACF</v>
      </c>
      <c r="BX504" s="90" t="str">
        <f>IF(H504="NATIONAL HEMOPHILIA FOUNDATION","Non Federal","Federal")</f>
        <v>Federal</v>
      </c>
      <c r="BY504" s="128">
        <f>BM504</f>
        <v>2499200</v>
      </c>
      <c r="BZ504" s="90" t="str">
        <f>IF(LEN(BR504)&gt;0,1,"")</f>
        <v/>
      </c>
      <c r="CA504" s="90" t="str">
        <f>IF(LEN(BR504)&gt;0,"VIRAL HEPATITIS PROJECT","")</f>
        <v/>
      </c>
      <c r="CB504" s="129" t="str">
        <f>IF(LEN(BR504)&gt;0,BM504*0.7,"")</f>
        <v/>
      </c>
      <c r="CC504" s="90">
        <f>BP504</f>
        <v>2624160</v>
      </c>
      <c r="CD504" s="90" t="str">
        <f>IF(LEN(BR504)&gt;0,"70%","")</f>
        <v/>
      </c>
      <c r="CE504" s="90">
        <f>BS504</f>
        <v>228030</v>
      </c>
      <c r="CF504" s="90" t="str">
        <f>CA504</f>
        <v/>
      </c>
      <c r="CG504" s="90"/>
      <c r="CH504" s="90"/>
      <c r="CI504" s="90"/>
      <c r="CJ504" s="90"/>
      <c r="CK504" s="90"/>
      <c r="CL504" s="90"/>
      <c r="CM504" s="90"/>
      <c r="CN504" s="90"/>
      <c r="CO504" s="90"/>
      <c r="CP504" s="90"/>
      <c r="CQ504" s="90"/>
      <c r="CR504" s="90"/>
      <c r="CS504" s="90"/>
      <c r="CT504" s="137"/>
    </row>
    <row r="505" spans="1:98" ht="150">
      <c r="A505" s="89">
        <v>228084</v>
      </c>
      <c r="B505" s="90">
        <v>2020</v>
      </c>
      <c r="C505" s="90" t="s">
        <v>81</v>
      </c>
      <c r="D505" s="90" t="s">
        <v>1399</v>
      </c>
      <c r="E505" s="125" t="s">
        <v>784</v>
      </c>
      <c r="F505" s="24" t="s">
        <v>1400</v>
      </c>
      <c r="G505" s="90" t="s">
        <v>85</v>
      </c>
      <c r="H505" s="90" t="s">
        <v>86</v>
      </c>
      <c r="I505" s="90">
        <v>93</v>
      </c>
      <c r="J505" s="90">
        <v>157</v>
      </c>
      <c r="K505" s="90" t="s">
        <v>85</v>
      </c>
      <c r="L505" s="90" t="s">
        <v>1401</v>
      </c>
      <c r="M505" s="90" t="s">
        <v>119</v>
      </c>
      <c r="N505" s="24" t="s">
        <v>1402</v>
      </c>
      <c r="O505" s="24" t="str">
        <f>IF(ISNUMBER(SEARCH("Cancer",N505)),"Cancer",IF(ISNUMBER(SEARCH("health",N505)),"Public health",IF(ISNUMBER(SEARCH("disabilities",N505)),"Disabilities","Other")))</f>
        <v>Other</v>
      </c>
      <c r="P505" s="126">
        <v>2048295</v>
      </c>
      <c r="Q505" s="90" t="s">
        <v>85</v>
      </c>
      <c r="R505" s="90" t="str">
        <f>IF(P505&gt;20000000,"B","A")</f>
        <v>A</v>
      </c>
      <c r="S505" s="90" t="s">
        <v>90</v>
      </c>
      <c r="T505" s="90" t="s">
        <v>119</v>
      </c>
      <c r="U505" s="90" t="s">
        <v>119</v>
      </c>
      <c r="V505" s="90" t="s">
        <v>119</v>
      </c>
      <c r="W505" s="90" t="s">
        <v>119</v>
      </c>
      <c r="X505" s="90" t="s">
        <v>119</v>
      </c>
      <c r="Y505" s="90" t="s">
        <v>119</v>
      </c>
      <c r="Z505" s="90" t="s">
        <v>119</v>
      </c>
      <c r="AA505" s="90" t="s">
        <v>119</v>
      </c>
      <c r="AB505" s="90" t="s">
        <v>119</v>
      </c>
      <c r="AC505" s="90" t="s">
        <v>119</v>
      </c>
      <c r="AD505" s="90" t="s">
        <v>119</v>
      </c>
      <c r="AE505" s="24">
        <v>0</v>
      </c>
      <c r="AF505" s="90">
        <v>0</v>
      </c>
      <c r="AG505" s="24">
        <v>0</v>
      </c>
      <c r="AH505" s="90">
        <v>83574</v>
      </c>
      <c r="AI505" s="24" t="s">
        <v>94</v>
      </c>
      <c r="AJ505" s="24" t="s">
        <v>1403</v>
      </c>
      <c r="AK505" s="90" t="s">
        <v>85</v>
      </c>
      <c r="AL505" s="90">
        <v>228084</v>
      </c>
      <c r="AM505" s="90" t="s">
        <v>81</v>
      </c>
      <c r="AN505" s="90" t="s">
        <v>1399</v>
      </c>
      <c r="AO505" s="125" t="s">
        <v>784</v>
      </c>
      <c r="AP505" s="24" t="s">
        <v>1402</v>
      </c>
      <c r="AQ505" s="90" t="s">
        <v>1401</v>
      </c>
      <c r="AR505" s="24" t="s">
        <v>1402</v>
      </c>
      <c r="AS505" s="90" t="s">
        <v>119</v>
      </c>
      <c r="AT505" s="24" t="s">
        <v>94</v>
      </c>
      <c r="AU505" s="90" t="s">
        <v>119</v>
      </c>
      <c r="AV505" s="90" t="str">
        <f>IF(ISNUMBER(SEARCH("disagree",AE505)),"N","Y")</f>
        <v>Y</v>
      </c>
      <c r="AW505" s="90" t="s">
        <v>119</v>
      </c>
      <c r="AX505" s="24" t="s">
        <v>119</v>
      </c>
      <c r="AY505" s="90" t="str">
        <f>CONCATENATE(AZ505,BA505,BB505,BC505)</f>
        <v/>
      </c>
      <c r="AZ505" s="90" t="str">
        <f>IF(ISNUMBER(SEARCH("Y",AC505)),"R","")</f>
        <v/>
      </c>
      <c r="BA505" s="90" t="str">
        <f>IF(ISNUMBER(SEARCH("Y",Y505)),"M","")</f>
        <v/>
      </c>
      <c r="BB505" s="90" t="str">
        <f>IF(ISNUMBER(SEARCH("Y",AB505)),"QC","")</f>
        <v/>
      </c>
      <c r="BC505" s="90" t="str">
        <f>IF(ISNUMBER(SEARCH("Y",Z505)),"S","")</f>
        <v/>
      </c>
      <c r="BD505" s="90"/>
      <c r="BE505" s="24" t="s">
        <v>119</v>
      </c>
      <c r="BF505" s="125" t="str">
        <f>IF(AND(AW505&gt;=56543,AW505&lt;=76543,LEN(AW505)&gt;0),"3 Feb 2020",IF(AND(AW505&gt;=66544,AW505&lt;=99999,LEN(AW505)&gt;0),"12 Sep 2020",""))</f>
        <v/>
      </c>
      <c r="BG505" s="125" t="str">
        <f>IF((AND(BF505="3 Feb 2020",LEN(BF505)&gt;0)),"Completed",IF((AND(BF505="12 Sep 2020",LEN(BF505)&gt;0)),"Pending",""))</f>
        <v/>
      </c>
      <c r="BH505" s="90" t="str">
        <f>IF((AND(BF505="3 Feb 2020",LEN(BF505)&gt;0)),"3 Feb 2020","")</f>
        <v/>
      </c>
      <c r="BI505" s="90">
        <v>228084</v>
      </c>
      <c r="BJ505" s="90" t="str">
        <f>L505</f>
        <v>9B33BR845467-13</v>
      </c>
      <c r="BK505" s="127">
        <v>43508</v>
      </c>
      <c r="BL505" s="127">
        <v>44239</v>
      </c>
      <c r="BM505" s="128">
        <f>P505*1.1</f>
        <v>2253124.5</v>
      </c>
      <c r="BN505" s="129">
        <f>P505*0.9</f>
        <v>1843465.5</v>
      </c>
      <c r="BO505" s="130">
        <f>P505*0.8</f>
        <v>1638636</v>
      </c>
      <c r="BP505" s="90">
        <f>IF(Z505="Y",BM505*0.4,BM505*1.05)</f>
        <v>2365780.7250000001</v>
      </c>
      <c r="BQ505" s="90">
        <f>BP505*0.8</f>
        <v>1892624.58</v>
      </c>
      <c r="BR505" s="90" t="str">
        <f>IF(ISNUMBER(SEARCH("subrecipient",AI501)),P505*0.6,"")</f>
        <v/>
      </c>
      <c r="BS505" s="90">
        <v>228084</v>
      </c>
      <c r="BT505" s="90" t="str">
        <f>BJ505</f>
        <v>9B33BR845467-13</v>
      </c>
      <c r="BU505" s="127">
        <f>BK505</f>
        <v>43508</v>
      </c>
      <c r="BV505" s="127">
        <f>BL505</f>
        <v>44239</v>
      </c>
      <c r="BW505" s="90" t="str">
        <f>H505</f>
        <v>CDC</v>
      </c>
      <c r="BX505" s="90" t="str">
        <f>IF(H505="NATIONAL HEMOPHILIA FOUNDATION","Non Federal","Federal")</f>
        <v>Federal</v>
      </c>
      <c r="BY505" s="128">
        <f>BM505</f>
        <v>2253124.5</v>
      </c>
      <c r="BZ505" s="90" t="str">
        <f>IF(LEN(BR505)&gt;0,1,"")</f>
        <v/>
      </c>
      <c r="CA505" s="90" t="str">
        <f>IF(LEN(BR505)&gt;0,"VIRAL HEPATITIS PROJECT","")</f>
        <v/>
      </c>
      <c r="CB505" s="129" t="str">
        <f>IF(LEN(BR505)&gt;0,BM505*0.7,"")</f>
        <v/>
      </c>
      <c r="CC505" s="90">
        <f>BP505</f>
        <v>2365780.7250000001</v>
      </c>
      <c r="CD505" s="90" t="str">
        <f>IF(LEN(BR505)&gt;0,"70%","")</f>
        <v/>
      </c>
      <c r="CE505" s="90">
        <f>BS505</f>
        <v>228084</v>
      </c>
      <c r="CF505" s="90" t="str">
        <f>CA505</f>
        <v/>
      </c>
      <c r="CG505" s="90"/>
      <c r="CH505" s="90"/>
      <c r="CI505" s="90"/>
      <c r="CJ505" s="90"/>
      <c r="CK505" s="90"/>
      <c r="CL505" s="90"/>
      <c r="CM505" s="90"/>
      <c r="CN505" s="90"/>
      <c r="CO505" s="90"/>
      <c r="CP505" s="90"/>
      <c r="CQ505" s="90"/>
      <c r="CR505" s="90"/>
      <c r="CS505" s="90"/>
      <c r="CT505" s="137"/>
    </row>
    <row r="506" spans="1:98" ht="150">
      <c r="A506" s="89">
        <v>228084</v>
      </c>
      <c r="B506" s="90">
        <v>2020</v>
      </c>
      <c r="C506" s="90" t="s">
        <v>81</v>
      </c>
      <c r="D506" s="90" t="s">
        <v>1399</v>
      </c>
      <c r="E506" s="125" t="s">
        <v>790</v>
      </c>
      <c r="F506" s="24" t="s">
        <v>1400</v>
      </c>
      <c r="G506" s="90" t="s">
        <v>85</v>
      </c>
      <c r="H506" s="90" t="s">
        <v>86</v>
      </c>
      <c r="I506" s="90">
        <v>93</v>
      </c>
      <c r="J506" s="90">
        <v>157</v>
      </c>
      <c r="K506" s="90" t="s">
        <v>85</v>
      </c>
      <c r="L506" s="90" t="s">
        <v>1401</v>
      </c>
      <c r="M506" s="90" t="s">
        <v>119</v>
      </c>
      <c r="N506" s="24" t="s">
        <v>1402</v>
      </c>
      <c r="O506" s="24" t="str">
        <f>IF(ISNUMBER(SEARCH("Cancer",N506)),"Cancer",IF(ISNUMBER(SEARCH("health",N506)),"Public health",IF(ISNUMBER(SEARCH("disabilities",N506)),"Disabilities","Other")))</f>
        <v>Other</v>
      </c>
      <c r="P506" s="126">
        <v>2048295</v>
      </c>
      <c r="Q506" s="90" t="s">
        <v>85</v>
      </c>
      <c r="R506" s="90" t="str">
        <f>IF(P506&gt;20000000,"B","A")</f>
        <v>A</v>
      </c>
      <c r="S506" s="90" t="s">
        <v>90</v>
      </c>
      <c r="T506" s="90" t="s">
        <v>119</v>
      </c>
      <c r="U506" s="90" t="s">
        <v>119</v>
      </c>
      <c r="V506" s="90" t="s">
        <v>119</v>
      </c>
      <c r="W506" s="90" t="s">
        <v>119</v>
      </c>
      <c r="X506" s="90" t="s">
        <v>119</v>
      </c>
      <c r="Y506" s="90" t="s">
        <v>119</v>
      </c>
      <c r="Z506" s="90" t="s">
        <v>119</v>
      </c>
      <c r="AA506" s="90" t="s">
        <v>119</v>
      </c>
      <c r="AB506" s="90" t="s">
        <v>119</v>
      </c>
      <c r="AC506" s="90" t="s">
        <v>119</v>
      </c>
      <c r="AD506" s="90" t="s">
        <v>119</v>
      </c>
      <c r="AE506" s="24">
        <v>0</v>
      </c>
      <c r="AF506" s="90">
        <v>0</v>
      </c>
      <c r="AG506" s="24">
        <v>0</v>
      </c>
      <c r="AH506" s="90">
        <v>83575</v>
      </c>
      <c r="AI506" s="24" t="s">
        <v>102</v>
      </c>
      <c r="AJ506" s="24" t="s">
        <v>103</v>
      </c>
      <c r="AK506" s="90" t="s">
        <v>85</v>
      </c>
      <c r="AL506" s="90">
        <v>228084</v>
      </c>
      <c r="AM506" s="90" t="s">
        <v>81</v>
      </c>
      <c r="AN506" s="90" t="s">
        <v>1399</v>
      </c>
      <c r="AO506" s="125" t="s">
        <v>790</v>
      </c>
      <c r="AP506" s="24" t="s">
        <v>1402</v>
      </c>
      <c r="AQ506" s="90" t="s">
        <v>1401</v>
      </c>
      <c r="AR506" s="24" t="s">
        <v>1402</v>
      </c>
      <c r="AS506" s="90" t="s">
        <v>119</v>
      </c>
      <c r="AT506" s="24" t="s">
        <v>102</v>
      </c>
      <c r="AU506" s="90" t="s">
        <v>119</v>
      </c>
      <c r="AV506" s="90" t="str">
        <f>IF(ISNUMBER(SEARCH("disagree",AE506)),"N","Y")</f>
        <v>Y</v>
      </c>
      <c r="AW506" s="90" t="s">
        <v>119</v>
      </c>
      <c r="AX506" s="24" t="s">
        <v>119</v>
      </c>
      <c r="AY506" s="90" t="str">
        <f>CONCATENATE(AZ506,BA506,BB506,BC506)</f>
        <v/>
      </c>
      <c r="AZ506" s="90" t="str">
        <f>IF(ISNUMBER(SEARCH("Y",AC506)),"R","")</f>
        <v/>
      </c>
      <c r="BA506" s="90" t="str">
        <f>IF(ISNUMBER(SEARCH("Y",Y506)),"M","")</f>
        <v/>
      </c>
      <c r="BB506" s="90" t="str">
        <f>IF(ISNUMBER(SEARCH("Y",AB506)),"QC","")</f>
        <v/>
      </c>
      <c r="BC506" s="90" t="str">
        <f>IF(ISNUMBER(SEARCH("Y",Z506)),"S","")</f>
        <v/>
      </c>
      <c r="BD506" s="90"/>
      <c r="BE506" s="24" t="s">
        <v>119</v>
      </c>
      <c r="BF506" s="125" t="str">
        <f>IF(AND(AW506&gt;=56543,AW506&lt;=76543,LEN(AW506)&gt;0),"3 Feb 2020",IF(AND(AW506&gt;=66544,AW506&lt;=99999,LEN(AW506)&gt;0),"12 Sep 2020",""))</f>
        <v/>
      </c>
      <c r="BG506" s="125" t="str">
        <f>IF((AND(BF506="3 Feb 2020",LEN(BF506)&gt;0)),"Completed",IF((AND(BF506="12 Sep 2020",LEN(BF506)&gt;0)),"Pending",""))</f>
        <v/>
      </c>
      <c r="BH506" s="90" t="str">
        <f>IF((AND(BF506="3 Feb 2020",LEN(BF506)&gt;0)),"3 Feb 2020","")</f>
        <v/>
      </c>
      <c r="BI506" s="90">
        <v>228084</v>
      </c>
      <c r="BJ506" s="90" t="str">
        <f>L506</f>
        <v>9B33BR845467-13</v>
      </c>
      <c r="BK506" s="127">
        <v>43508</v>
      </c>
      <c r="BL506" s="127">
        <v>44239</v>
      </c>
      <c r="BM506" s="128">
        <f>P506*1.1</f>
        <v>2253124.5</v>
      </c>
      <c r="BN506" s="129">
        <f>P506*0.9</f>
        <v>1843465.5</v>
      </c>
      <c r="BO506" s="130">
        <f>P506*0.8</f>
        <v>1638636</v>
      </c>
      <c r="BP506" s="90">
        <f>IF(Z506="Y",BM506*0.4,BM506*1.05)</f>
        <v>2365780.7250000001</v>
      </c>
      <c r="BQ506" s="90">
        <f>BP506*0.8</f>
        <v>1892624.58</v>
      </c>
      <c r="BR506" s="90" t="str">
        <f>IF(ISNUMBER(SEARCH("subrecipient",AI502)),P506*0.6,"")</f>
        <v/>
      </c>
      <c r="BS506" s="90">
        <v>228084</v>
      </c>
      <c r="BT506" s="90" t="str">
        <f>BJ506</f>
        <v>9B33BR845467-13</v>
      </c>
      <c r="BU506" s="127">
        <f>BK506</f>
        <v>43508</v>
      </c>
      <c r="BV506" s="127">
        <f>BL506</f>
        <v>44239</v>
      </c>
      <c r="BW506" s="90" t="str">
        <f>H506</f>
        <v>CDC</v>
      </c>
      <c r="BX506" s="90" t="str">
        <f>IF(H506="NATIONAL HEMOPHILIA FOUNDATION","Non Federal","Federal")</f>
        <v>Federal</v>
      </c>
      <c r="BY506" s="128">
        <f>BM506</f>
        <v>2253124.5</v>
      </c>
      <c r="BZ506" s="90" t="str">
        <f>IF(LEN(BR506)&gt;0,1,"")</f>
        <v/>
      </c>
      <c r="CA506" s="90" t="str">
        <f>IF(LEN(BR506)&gt;0,"VIRAL HEPATITIS PROJECT","")</f>
        <v/>
      </c>
      <c r="CB506" s="129" t="str">
        <f>IF(LEN(BR506)&gt;0,BM506*0.7,"")</f>
        <v/>
      </c>
      <c r="CC506" s="90">
        <f>BP506</f>
        <v>2365780.7250000001</v>
      </c>
      <c r="CD506" s="90" t="str">
        <f>IF(LEN(BR506)&gt;0,"70%","")</f>
        <v/>
      </c>
      <c r="CE506" s="90">
        <f>BS506</f>
        <v>228084</v>
      </c>
      <c r="CF506" s="90" t="str">
        <f>CA506</f>
        <v/>
      </c>
      <c r="CG506" s="90"/>
      <c r="CH506" s="90"/>
      <c r="CI506" s="90"/>
      <c r="CJ506" s="90"/>
      <c r="CK506" s="90"/>
      <c r="CL506" s="90"/>
      <c r="CM506" s="90"/>
      <c r="CN506" s="90"/>
      <c r="CO506" s="90"/>
      <c r="CP506" s="90"/>
      <c r="CQ506" s="90"/>
      <c r="CR506" s="90"/>
      <c r="CS506" s="90"/>
      <c r="CT506" s="137"/>
    </row>
    <row r="507" spans="1:98" ht="150">
      <c r="A507" s="89">
        <v>228084</v>
      </c>
      <c r="B507" s="90">
        <v>2020</v>
      </c>
      <c r="C507" s="90" t="s">
        <v>81</v>
      </c>
      <c r="D507" s="90" t="s">
        <v>1399</v>
      </c>
      <c r="E507" s="125" t="s">
        <v>791</v>
      </c>
      <c r="F507" s="24" t="s">
        <v>1400</v>
      </c>
      <c r="G507" s="90" t="s">
        <v>85</v>
      </c>
      <c r="H507" s="90" t="s">
        <v>86</v>
      </c>
      <c r="I507" s="90">
        <v>93</v>
      </c>
      <c r="J507" s="90">
        <v>157</v>
      </c>
      <c r="K507" s="90" t="s">
        <v>85</v>
      </c>
      <c r="L507" s="90" t="s">
        <v>1401</v>
      </c>
      <c r="M507" s="90" t="s">
        <v>119</v>
      </c>
      <c r="N507" s="24" t="s">
        <v>1402</v>
      </c>
      <c r="O507" s="24" t="str">
        <f>IF(ISNUMBER(SEARCH("Cancer",N507)),"Cancer",IF(ISNUMBER(SEARCH("health",N507)),"Public health",IF(ISNUMBER(SEARCH("disabilities",N507)),"Disabilities","Other")))</f>
        <v>Other</v>
      </c>
      <c r="P507" s="126">
        <v>2048295</v>
      </c>
      <c r="Q507" s="90" t="s">
        <v>85</v>
      </c>
      <c r="R507" s="90" t="str">
        <f>IF(P507&gt;20000000,"B","A")</f>
        <v>A</v>
      </c>
      <c r="S507" s="90" t="s">
        <v>90</v>
      </c>
      <c r="T507" s="90" t="s">
        <v>119</v>
      </c>
      <c r="U507" s="90" t="s">
        <v>119</v>
      </c>
      <c r="V507" s="90" t="s">
        <v>119</v>
      </c>
      <c r="W507" s="90" t="s">
        <v>119</v>
      </c>
      <c r="X507" s="90" t="s">
        <v>119</v>
      </c>
      <c r="Y507" s="90" t="s">
        <v>119</v>
      </c>
      <c r="Z507" s="90" t="s">
        <v>119</v>
      </c>
      <c r="AA507" s="90" t="s">
        <v>119</v>
      </c>
      <c r="AB507" s="90" t="s">
        <v>119</v>
      </c>
      <c r="AC507" s="90" t="s">
        <v>119</v>
      </c>
      <c r="AD507" s="90" t="s">
        <v>119</v>
      </c>
      <c r="AE507" s="24">
        <v>0</v>
      </c>
      <c r="AF507" s="90">
        <v>0</v>
      </c>
      <c r="AG507" s="24">
        <v>0</v>
      </c>
      <c r="AH507" s="90">
        <v>83573</v>
      </c>
      <c r="AI507" s="24" t="s">
        <v>110</v>
      </c>
      <c r="AJ507" s="24" t="s">
        <v>1404</v>
      </c>
      <c r="AK507" s="90" t="s">
        <v>85</v>
      </c>
      <c r="AL507" s="90">
        <v>228084</v>
      </c>
      <c r="AM507" s="90" t="s">
        <v>81</v>
      </c>
      <c r="AN507" s="90" t="s">
        <v>1399</v>
      </c>
      <c r="AO507" s="125" t="s">
        <v>791</v>
      </c>
      <c r="AP507" s="24" t="s">
        <v>1402</v>
      </c>
      <c r="AQ507" s="90" t="s">
        <v>1401</v>
      </c>
      <c r="AR507" s="24" t="s">
        <v>1402</v>
      </c>
      <c r="AS507" s="90" t="s">
        <v>119</v>
      </c>
      <c r="AT507" s="24" t="s">
        <v>110</v>
      </c>
      <c r="AU507" s="90" t="s">
        <v>119</v>
      </c>
      <c r="AV507" s="90" t="str">
        <f>IF(ISNUMBER(SEARCH("disagree",AE507)),"N","Y")</f>
        <v>Y</v>
      </c>
      <c r="AW507" s="90" t="s">
        <v>119</v>
      </c>
      <c r="AX507" s="24" t="s">
        <v>119</v>
      </c>
      <c r="AY507" s="90" t="str">
        <f>CONCATENATE(AZ507,BA507,BB507,BC507)</f>
        <v/>
      </c>
      <c r="AZ507" s="90" t="str">
        <f>IF(ISNUMBER(SEARCH("Y",AC507)),"R","")</f>
        <v/>
      </c>
      <c r="BA507" s="90" t="str">
        <f>IF(ISNUMBER(SEARCH("Y",Y507)),"M","")</f>
        <v/>
      </c>
      <c r="BB507" s="90" t="str">
        <f>IF(ISNUMBER(SEARCH("Y",AB507)),"QC","")</f>
        <v/>
      </c>
      <c r="BC507" s="90" t="str">
        <f>IF(ISNUMBER(SEARCH("Y",Z507)),"S","")</f>
        <v/>
      </c>
      <c r="BD507" s="90"/>
      <c r="BE507" s="24" t="s">
        <v>119</v>
      </c>
      <c r="BF507" s="125" t="str">
        <f>IF(AND(AW507&gt;=56543,AW507&lt;=76543,LEN(AW507)&gt;0),"3 Feb 2020",IF(AND(AW507&gt;=66544,AW507&lt;=99999,LEN(AW507)&gt;0),"12 Sep 2020",""))</f>
        <v/>
      </c>
      <c r="BG507" s="125" t="str">
        <f>IF((AND(BF507="3 Feb 2020",LEN(BF507)&gt;0)),"Completed",IF((AND(BF507="12 Sep 2020",LEN(BF507)&gt;0)),"Pending",""))</f>
        <v/>
      </c>
      <c r="BH507" s="90" t="str">
        <f>IF((AND(BF507="3 Feb 2020",LEN(BF507)&gt;0)),"3 Feb 2020","")</f>
        <v/>
      </c>
      <c r="BI507" s="90">
        <v>228084</v>
      </c>
      <c r="BJ507" s="90" t="str">
        <f>L507</f>
        <v>9B33BR845467-13</v>
      </c>
      <c r="BK507" s="127">
        <v>43508</v>
      </c>
      <c r="BL507" s="127">
        <v>44239</v>
      </c>
      <c r="BM507" s="128">
        <f>P507*1.1</f>
        <v>2253124.5</v>
      </c>
      <c r="BN507" s="129">
        <f>P507*0.9</f>
        <v>1843465.5</v>
      </c>
      <c r="BO507" s="130">
        <f>P507*0.8</f>
        <v>1638636</v>
      </c>
      <c r="BP507" s="90">
        <f>IF(Z507="Y",BM507*0.4,BM507*1.05)</f>
        <v>2365780.7250000001</v>
      </c>
      <c r="BQ507" s="90">
        <f>BP507*0.8</f>
        <v>1892624.58</v>
      </c>
      <c r="BR507" s="90" t="str">
        <f>IF(ISNUMBER(SEARCH("subrecipient",AI503)),P507*0.6,"")</f>
        <v/>
      </c>
      <c r="BS507" s="90">
        <v>228084</v>
      </c>
      <c r="BT507" s="90" t="str">
        <f>BJ507</f>
        <v>9B33BR845467-13</v>
      </c>
      <c r="BU507" s="127">
        <f>BK507</f>
        <v>43508</v>
      </c>
      <c r="BV507" s="127">
        <f>BL507</f>
        <v>44239</v>
      </c>
      <c r="BW507" s="90" t="str">
        <f>H507</f>
        <v>CDC</v>
      </c>
      <c r="BX507" s="90" t="str">
        <f>IF(H507="NATIONAL HEMOPHILIA FOUNDATION","Non Federal","Federal")</f>
        <v>Federal</v>
      </c>
      <c r="BY507" s="128">
        <f>BM507</f>
        <v>2253124.5</v>
      </c>
      <c r="BZ507" s="90" t="str">
        <f>IF(LEN(BR507)&gt;0,1,"")</f>
        <v/>
      </c>
      <c r="CA507" s="90" t="str">
        <f>IF(LEN(BR507)&gt;0,"VIRAL HEPATITIS PROJECT","")</f>
        <v/>
      </c>
      <c r="CB507" s="129" t="str">
        <f>IF(LEN(BR507)&gt;0,BM507*0.7,"")</f>
        <v/>
      </c>
      <c r="CC507" s="90">
        <f>BP507</f>
        <v>2365780.7250000001</v>
      </c>
      <c r="CD507" s="90" t="str">
        <f>IF(LEN(BR507)&gt;0,"70%","")</f>
        <v/>
      </c>
      <c r="CE507" s="90">
        <f>BS507</f>
        <v>228084</v>
      </c>
      <c r="CF507" s="90" t="str">
        <f>CA507</f>
        <v/>
      </c>
      <c r="CG507" s="90"/>
      <c r="CH507" s="90"/>
      <c r="CI507" s="90"/>
      <c r="CJ507" s="90"/>
      <c r="CK507" s="90"/>
      <c r="CL507" s="90"/>
      <c r="CM507" s="90"/>
      <c r="CN507" s="90"/>
      <c r="CO507" s="90"/>
      <c r="CP507" s="90"/>
      <c r="CQ507" s="90"/>
      <c r="CR507" s="90"/>
      <c r="CS507" s="90"/>
      <c r="CT507" s="137"/>
    </row>
    <row r="508" spans="1:98" ht="90">
      <c r="A508" s="89">
        <v>228101</v>
      </c>
      <c r="B508" s="90">
        <v>2020</v>
      </c>
      <c r="C508" s="90" t="s">
        <v>81</v>
      </c>
      <c r="D508" s="90" t="s">
        <v>1405</v>
      </c>
      <c r="E508" s="125" t="s">
        <v>793</v>
      </c>
      <c r="F508" s="24" t="s">
        <v>1406</v>
      </c>
      <c r="G508" s="90" t="s">
        <v>85</v>
      </c>
      <c r="H508" s="90" t="s">
        <v>117</v>
      </c>
      <c r="I508" s="90">
        <v>93</v>
      </c>
      <c r="J508" s="90">
        <v>157</v>
      </c>
      <c r="K508" s="90" t="s">
        <v>85</v>
      </c>
      <c r="L508" s="90" t="s">
        <v>1407</v>
      </c>
      <c r="M508" s="90" t="s">
        <v>119</v>
      </c>
      <c r="N508" s="24" t="s">
        <v>1371</v>
      </c>
      <c r="O508" s="24" t="str">
        <f>IF(ISNUMBER(SEARCH("Cancer",N508)),"Cancer",IF(ISNUMBER(SEARCH("health",N508)),"Public health",IF(ISNUMBER(SEARCH("disabilities",N508)),"Disabilities","Other")))</f>
        <v>Other</v>
      </c>
      <c r="P508" s="126">
        <v>2165617</v>
      </c>
      <c r="Q508" s="90" t="s">
        <v>85</v>
      </c>
      <c r="R508" s="90" t="str">
        <f>IF(P508&gt;20000000,"B","A")</f>
        <v>A</v>
      </c>
      <c r="S508" s="90" t="s">
        <v>90</v>
      </c>
      <c r="T508" s="90" t="s">
        <v>119</v>
      </c>
      <c r="U508" s="90" t="s">
        <v>119</v>
      </c>
      <c r="V508" s="90" t="s">
        <v>119</v>
      </c>
      <c r="W508" s="90" t="s">
        <v>119</v>
      </c>
      <c r="X508" s="90" t="s">
        <v>119</v>
      </c>
      <c r="Y508" s="90" t="s">
        <v>119</v>
      </c>
      <c r="Z508" s="90" t="s">
        <v>119</v>
      </c>
      <c r="AA508" s="90" t="s">
        <v>119</v>
      </c>
      <c r="AB508" s="90" t="s">
        <v>119</v>
      </c>
      <c r="AC508" s="90" t="s">
        <v>119</v>
      </c>
      <c r="AD508" s="90" t="s">
        <v>119</v>
      </c>
      <c r="AE508" s="24">
        <v>0</v>
      </c>
      <c r="AF508" s="90">
        <v>0</v>
      </c>
      <c r="AG508" s="24">
        <v>0</v>
      </c>
      <c r="AH508" s="90">
        <v>87158</v>
      </c>
      <c r="AI508" s="24" t="s">
        <v>94</v>
      </c>
      <c r="AJ508" s="24" t="s">
        <v>1408</v>
      </c>
      <c r="AK508" s="90" t="s">
        <v>85</v>
      </c>
      <c r="AL508" s="90">
        <v>228101</v>
      </c>
      <c r="AM508" s="90" t="s">
        <v>81</v>
      </c>
      <c r="AN508" s="90" t="s">
        <v>1405</v>
      </c>
      <c r="AO508" s="125" t="s">
        <v>793</v>
      </c>
      <c r="AP508" s="24" t="s">
        <v>1371</v>
      </c>
      <c r="AQ508" s="90" t="s">
        <v>1407</v>
      </c>
      <c r="AR508" s="24" t="s">
        <v>1371</v>
      </c>
      <c r="AS508" s="90" t="s">
        <v>119</v>
      </c>
      <c r="AT508" s="24" t="s">
        <v>94</v>
      </c>
      <c r="AU508" s="90" t="s">
        <v>119</v>
      </c>
      <c r="AV508" s="90" t="str">
        <f>IF(ISNUMBER(SEARCH("disagree",AE508)),"N","Y")</f>
        <v>Y</v>
      </c>
      <c r="AW508" s="90" t="s">
        <v>119</v>
      </c>
      <c r="AX508" s="24" t="s">
        <v>119</v>
      </c>
      <c r="AY508" s="90" t="str">
        <f>CONCATENATE(AZ508,BA508,BB508,BC508)</f>
        <v/>
      </c>
      <c r="AZ508" s="90" t="str">
        <f>IF(ISNUMBER(SEARCH("Y",AC508)),"R","")</f>
        <v/>
      </c>
      <c r="BA508" s="90" t="str">
        <f>IF(ISNUMBER(SEARCH("Y",Y508)),"M","")</f>
        <v/>
      </c>
      <c r="BB508" s="90" t="str">
        <f>IF(ISNUMBER(SEARCH("Y",AB508)),"QC","")</f>
        <v/>
      </c>
      <c r="BC508" s="90" t="str">
        <f>IF(ISNUMBER(SEARCH("Y",Z508)),"S","")</f>
        <v/>
      </c>
      <c r="BD508" s="90"/>
      <c r="BE508" s="24" t="s">
        <v>119</v>
      </c>
      <c r="BF508" s="125" t="str">
        <f>IF(AND(AW508&gt;=56543,AW508&lt;=76543,LEN(AW508)&gt;0),"3 Feb 2020",IF(AND(AW508&gt;=66544,AW508&lt;=99999,LEN(AW508)&gt;0),"12 Sep 2020",""))</f>
        <v/>
      </c>
      <c r="BG508" s="125" t="str">
        <f>IF((AND(BF508="3 Feb 2020",LEN(BF508)&gt;0)),"Completed",IF((AND(BF508="12 Sep 2020",LEN(BF508)&gt;0)),"Pending",""))</f>
        <v/>
      </c>
      <c r="BH508" s="90" t="str">
        <f>IF((AND(BF508="3 Feb 2020",LEN(BF508)&gt;0)),"3 Feb 2020","")</f>
        <v/>
      </c>
      <c r="BI508" s="90">
        <v>228101</v>
      </c>
      <c r="BJ508" s="90" t="str">
        <f>L508</f>
        <v>1B43CR843430-37</v>
      </c>
      <c r="BK508" s="127">
        <v>43508</v>
      </c>
      <c r="BL508" s="127">
        <v>44239</v>
      </c>
      <c r="BM508" s="128">
        <f>P508*1.1</f>
        <v>2382178.7000000002</v>
      </c>
      <c r="BN508" s="129">
        <f>P508*0.9</f>
        <v>1949055.3</v>
      </c>
      <c r="BO508" s="130">
        <f>P508*0.8</f>
        <v>1732493.6</v>
      </c>
      <c r="BP508" s="90">
        <f>IF(Z508="Y",BM508*0.4,BM508*1.05)</f>
        <v>2501287.6350000002</v>
      </c>
      <c r="BQ508" s="90">
        <f>BP508*0.8</f>
        <v>2001030.1080000002</v>
      </c>
      <c r="BR508" s="90" t="str">
        <f>IF(ISNUMBER(SEARCH("subrecipient",AI504)),P508*0.6,"")</f>
        <v/>
      </c>
      <c r="BS508" s="90">
        <v>228101</v>
      </c>
      <c r="BT508" s="90" t="str">
        <f>BJ508</f>
        <v>1B43CR843430-37</v>
      </c>
      <c r="BU508" s="127">
        <f>BK508</f>
        <v>43508</v>
      </c>
      <c r="BV508" s="127">
        <f>BL508</f>
        <v>44239</v>
      </c>
      <c r="BW508" s="90" t="str">
        <f>H508</f>
        <v>NIH</v>
      </c>
      <c r="BX508" s="90" t="str">
        <f>IF(H508="NATIONAL HEMOPHILIA FOUNDATION","Non Federal","Federal")</f>
        <v>Federal</v>
      </c>
      <c r="BY508" s="128">
        <f>BM508</f>
        <v>2382178.7000000002</v>
      </c>
      <c r="BZ508" s="90" t="str">
        <f>IF(LEN(BR508)&gt;0,1,"")</f>
        <v/>
      </c>
      <c r="CA508" s="90" t="str">
        <f>IF(LEN(BR508)&gt;0,"VIRAL HEPATITIS PROJECT","")</f>
        <v/>
      </c>
      <c r="CB508" s="129" t="str">
        <f>IF(LEN(BR508)&gt;0,BM508*0.7,"")</f>
        <v/>
      </c>
      <c r="CC508" s="90">
        <f>BP508</f>
        <v>2501287.6350000002</v>
      </c>
      <c r="CD508" s="90" t="str">
        <f>IF(LEN(BR508)&gt;0,"70%","")</f>
        <v/>
      </c>
      <c r="CE508" s="90">
        <f>BS508</f>
        <v>228101</v>
      </c>
      <c r="CF508" s="90" t="str">
        <f>CA508</f>
        <v/>
      </c>
      <c r="CG508" s="90"/>
      <c r="CH508" s="90"/>
      <c r="CI508" s="90"/>
      <c r="CJ508" s="90"/>
      <c r="CK508" s="90"/>
      <c r="CL508" s="90"/>
      <c r="CM508" s="90"/>
      <c r="CN508" s="90"/>
      <c r="CO508" s="90"/>
      <c r="CP508" s="90"/>
      <c r="CQ508" s="90"/>
      <c r="CR508" s="90"/>
      <c r="CS508" s="90"/>
      <c r="CT508" s="137"/>
    </row>
    <row r="509" spans="1:98" ht="90">
      <c r="A509" s="89">
        <v>228101</v>
      </c>
      <c r="B509" s="90">
        <v>2020</v>
      </c>
      <c r="C509" s="90" t="s">
        <v>81</v>
      </c>
      <c r="D509" s="90" t="s">
        <v>1405</v>
      </c>
      <c r="E509" s="125" t="s">
        <v>780</v>
      </c>
      <c r="F509" s="24" t="s">
        <v>1406</v>
      </c>
      <c r="G509" s="90" t="s">
        <v>85</v>
      </c>
      <c r="H509" s="90" t="s">
        <v>117</v>
      </c>
      <c r="I509" s="90">
        <v>93</v>
      </c>
      <c r="J509" s="90">
        <v>157</v>
      </c>
      <c r="K509" s="90" t="s">
        <v>85</v>
      </c>
      <c r="L509" s="90" t="s">
        <v>1407</v>
      </c>
      <c r="M509" s="90" t="s">
        <v>119</v>
      </c>
      <c r="N509" s="24" t="s">
        <v>1371</v>
      </c>
      <c r="O509" s="24" t="str">
        <f>IF(ISNUMBER(SEARCH("Cancer",N509)),"Cancer",IF(ISNUMBER(SEARCH("health",N509)),"Public health",IF(ISNUMBER(SEARCH("disabilities",N509)),"Disabilities","Other")))</f>
        <v>Other</v>
      </c>
      <c r="P509" s="126">
        <v>2165617</v>
      </c>
      <c r="Q509" s="90" t="s">
        <v>85</v>
      </c>
      <c r="R509" s="90" t="str">
        <f>IF(P509&gt;20000000,"B","A")</f>
        <v>A</v>
      </c>
      <c r="S509" s="90" t="s">
        <v>90</v>
      </c>
      <c r="T509" s="90" t="s">
        <v>119</v>
      </c>
      <c r="U509" s="90" t="s">
        <v>119</v>
      </c>
      <c r="V509" s="90" t="s">
        <v>119</v>
      </c>
      <c r="W509" s="90" t="s">
        <v>119</v>
      </c>
      <c r="X509" s="90" t="s">
        <v>119</v>
      </c>
      <c r="Y509" s="90" t="s">
        <v>119</v>
      </c>
      <c r="Z509" s="90" t="s">
        <v>119</v>
      </c>
      <c r="AA509" s="90" t="s">
        <v>119</v>
      </c>
      <c r="AB509" s="90" t="s">
        <v>119</v>
      </c>
      <c r="AC509" s="90" t="s">
        <v>119</v>
      </c>
      <c r="AD509" s="90" t="s">
        <v>119</v>
      </c>
      <c r="AE509" s="24">
        <v>0</v>
      </c>
      <c r="AF509" s="90">
        <v>0</v>
      </c>
      <c r="AG509" s="24">
        <v>0</v>
      </c>
      <c r="AH509" s="90">
        <v>87159</v>
      </c>
      <c r="AI509" s="24" t="s">
        <v>102</v>
      </c>
      <c r="AJ509" s="24" t="s">
        <v>103</v>
      </c>
      <c r="AK509" s="90" t="s">
        <v>85</v>
      </c>
      <c r="AL509" s="90">
        <v>228101</v>
      </c>
      <c r="AM509" s="90" t="s">
        <v>81</v>
      </c>
      <c r="AN509" s="90" t="s">
        <v>1405</v>
      </c>
      <c r="AO509" s="125" t="s">
        <v>780</v>
      </c>
      <c r="AP509" s="24" t="s">
        <v>1371</v>
      </c>
      <c r="AQ509" s="90" t="s">
        <v>1407</v>
      </c>
      <c r="AR509" s="24" t="s">
        <v>1371</v>
      </c>
      <c r="AS509" s="90" t="s">
        <v>119</v>
      </c>
      <c r="AT509" s="24" t="s">
        <v>102</v>
      </c>
      <c r="AU509" s="90" t="s">
        <v>119</v>
      </c>
      <c r="AV509" s="90" t="str">
        <f>IF(ISNUMBER(SEARCH("disagree",AE509)),"N","Y")</f>
        <v>Y</v>
      </c>
      <c r="AW509" s="90" t="s">
        <v>119</v>
      </c>
      <c r="AX509" s="24" t="s">
        <v>119</v>
      </c>
      <c r="AY509" s="90" t="str">
        <f>CONCATENATE(AZ509,BA509,BB509,BC509)</f>
        <v/>
      </c>
      <c r="AZ509" s="90" t="str">
        <f>IF(ISNUMBER(SEARCH("Y",AC509)),"R","")</f>
        <v/>
      </c>
      <c r="BA509" s="90" t="str">
        <f>IF(ISNUMBER(SEARCH("Y",Y509)),"M","")</f>
        <v/>
      </c>
      <c r="BB509" s="90" t="str">
        <f>IF(ISNUMBER(SEARCH("Y",AB509)),"QC","")</f>
        <v/>
      </c>
      <c r="BC509" s="90" t="str">
        <f>IF(ISNUMBER(SEARCH("Y",Z509)),"S","")</f>
        <v/>
      </c>
      <c r="BD509" s="90"/>
      <c r="BE509" s="24" t="s">
        <v>119</v>
      </c>
      <c r="BF509" s="125" t="str">
        <f>IF(AND(AW509&gt;=56543,AW509&lt;=76543,LEN(AW509)&gt;0),"3 Feb 2020",IF(AND(AW509&gt;=66544,AW509&lt;=99999,LEN(AW509)&gt;0),"12 Sep 2020",""))</f>
        <v/>
      </c>
      <c r="BG509" s="125" t="str">
        <f>IF((AND(BF509="3 Feb 2020",LEN(BF509)&gt;0)),"Completed",IF((AND(BF509="12 Sep 2020",LEN(BF509)&gt;0)),"Pending",""))</f>
        <v/>
      </c>
      <c r="BH509" s="90" t="str">
        <f>IF((AND(BF509="3 Feb 2020",LEN(BF509)&gt;0)),"3 Feb 2020","")</f>
        <v/>
      </c>
      <c r="BI509" s="90">
        <v>228101</v>
      </c>
      <c r="BJ509" s="90" t="str">
        <f>L509</f>
        <v>1B43CR843430-37</v>
      </c>
      <c r="BK509" s="127">
        <v>43508</v>
      </c>
      <c r="BL509" s="127">
        <v>44239</v>
      </c>
      <c r="BM509" s="128">
        <f>P509*1.1</f>
        <v>2382178.7000000002</v>
      </c>
      <c r="BN509" s="129">
        <f>P509*0.9</f>
        <v>1949055.3</v>
      </c>
      <c r="BO509" s="130">
        <f>P509*0.8</f>
        <v>1732493.6</v>
      </c>
      <c r="BP509" s="90">
        <f>IF(Z509="Y",BM509*0.4,BM509*1.05)</f>
        <v>2501287.6350000002</v>
      </c>
      <c r="BQ509" s="90">
        <f>BP509*0.8</f>
        <v>2001030.1080000002</v>
      </c>
      <c r="BR509" s="90" t="str">
        <f>IF(ISNUMBER(SEARCH("subrecipient",AI505)),P509*0.6,"")</f>
        <v/>
      </c>
      <c r="BS509" s="90">
        <v>228101</v>
      </c>
      <c r="BT509" s="90" t="str">
        <f>BJ509</f>
        <v>1B43CR843430-37</v>
      </c>
      <c r="BU509" s="127">
        <f>BK509</f>
        <v>43508</v>
      </c>
      <c r="BV509" s="127">
        <f>BL509</f>
        <v>44239</v>
      </c>
      <c r="BW509" s="90" t="str">
        <f>H509</f>
        <v>NIH</v>
      </c>
      <c r="BX509" s="90" t="str">
        <f>IF(H509="NATIONAL HEMOPHILIA FOUNDATION","Non Federal","Federal")</f>
        <v>Federal</v>
      </c>
      <c r="BY509" s="128">
        <f>BM509</f>
        <v>2382178.7000000002</v>
      </c>
      <c r="BZ509" s="90" t="str">
        <f>IF(LEN(BR509)&gt;0,1,"")</f>
        <v/>
      </c>
      <c r="CA509" s="90" t="str">
        <f>IF(LEN(BR509)&gt;0,"VIRAL HEPATITIS PROJECT","")</f>
        <v/>
      </c>
      <c r="CB509" s="129" t="str">
        <f>IF(LEN(BR509)&gt;0,BM509*0.7,"")</f>
        <v/>
      </c>
      <c r="CC509" s="90">
        <f>BP509</f>
        <v>2501287.6350000002</v>
      </c>
      <c r="CD509" s="90" t="str">
        <f>IF(LEN(BR509)&gt;0,"70%","")</f>
        <v/>
      </c>
      <c r="CE509" s="90">
        <f>BS509</f>
        <v>228101</v>
      </c>
      <c r="CF509" s="90" t="str">
        <f>CA509</f>
        <v/>
      </c>
      <c r="CG509" s="90"/>
      <c r="CH509" s="90"/>
      <c r="CI509" s="90"/>
      <c r="CJ509" s="90"/>
      <c r="CK509" s="90"/>
      <c r="CL509" s="90"/>
      <c r="CM509" s="90"/>
      <c r="CN509" s="90"/>
      <c r="CO509" s="90"/>
      <c r="CP509" s="90"/>
      <c r="CQ509" s="90"/>
      <c r="CR509" s="90"/>
      <c r="CS509" s="90"/>
      <c r="CT509" s="137"/>
    </row>
    <row r="510" spans="1:98" ht="90">
      <c r="A510" s="89">
        <v>228103</v>
      </c>
      <c r="B510" s="90">
        <v>2020</v>
      </c>
      <c r="C510" s="90" t="s">
        <v>81</v>
      </c>
      <c r="D510" s="90" t="s">
        <v>1409</v>
      </c>
      <c r="E510" s="125" t="s">
        <v>781</v>
      </c>
      <c r="F510" s="24" t="s">
        <v>1410</v>
      </c>
      <c r="G510" s="90" t="s">
        <v>85</v>
      </c>
      <c r="H510" s="90" t="s">
        <v>132</v>
      </c>
      <c r="I510" s="90">
        <v>93</v>
      </c>
      <c r="J510" s="90">
        <v>157</v>
      </c>
      <c r="K510" s="90" t="s">
        <v>85</v>
      </c>
      <c r="L510" s="90" t="s">
        <v>1411</v>
      </c>
      <c r="M510" s="90" t="s">
        <v>119</v>
      </c>
      <c r="N510" s="24" t="s">
        <v>1371</v>
      </c>
      <c r="O510" s="24" t="str">
        <f>IF(ISNUMBER(SEARCH("Cancer",N510)),"Cancer",IF(ISNUMBER(SEARCH("health",N510)),"Public health",IF(ISNUMBER(SEARCH("disabilities",N510)),"Disabilities","Other")))</f>
        <v>Other</v>
      </c>
      <c r="P510" s="126">
        <v>2891101</v>
      </c>
      <c r="Q510" s="90" t="s">
        <v>85</v>
      </c>
      <c r="R510" s="90" t="str">
        <f>IF(P510&gt;20000000,"B","A")</f>
        <v>A</v>
      </c>
      <c r="S510" s="90" t="s">
        <v>90</v>
      </c>
      <c r="T510" s="90" t="s">
        <v>119</v>
      </c>
      <c r="U510" s="90" t="s">
        <v>119</v>
      </c>
      <c r="V510" s="90" t="s">
        <v>119</v>
      </c>
      <c r="W510" s="90" t="s">
        <v>119</v>
      </c>
      <c r="X510" s="90" t="s">
        <v>119</v>
      </c>
      <c r="Y510" s="90" t="s">
        <v>119</v>
      </c>
      <c r="Z510" s="90" t="s">
        <v>119</v>
      </c>
      <c r="AA510" s="90" t="s">
        <v>119</v>
      </c>
      <c r="AB510" s="90" t="s">
        <v>119</v>
      </c>
      <c r="AC510" s="90" t="s">
        <v>119</v>
      </c>
      <c r="AD510" s="90" t="s">
        <v>119</v>
      </c>
      <c r="AE510" s="24">
        <v>0</v>
      </c>
      <c r="AF510" s="90">
        <v>0</v>
      </c>
      <c r="AG510" s="24">
        <v>0</v>
      </c>
      <c r="AH510" s="90">
        <v>87116</v>
      </c>
      <c r="AI510" s="24" t="s">
        <v>94</v>
      </c>
      <c r="AJ510" s="24" t="s">
        <v>1412</v>
      </c>
      <c r="AK510" s="90" t="s">
        <v>85</v>
      </c>
      <c r="AL510" s="90">
        <v>228103</v>
      </c>
      <c r="AM510" s="90" t="s">
        <v>81</v>
      </c>
      <c r="AN510" s="90" t="s">
        <v>1409</v>
      </c>
      <c r="AO510" s="125" t="s">
        <v>781</v>
      </c>
      <c r="AP510" s="24" t="s">
        <v>1371</v>
      </c>
      <c r="AQ510" s="90" t="s">
        <v>1411</v>
      </c>
      <c r="AR510" s="24" t="s">
        <v>1371</v>
      </c>
      <c r="AS510" s="90" t="s">
        <v>119</v>
      </c>
      <c r="AT510" s="24" t="s">
        <v>94</v>
      </c>
      <c r="AU510" s="90" t="s">
        <v>119</v>
      </c>
      <c r="AV510" s="90" t="str">
        <f>IF(ISNUMBER(SEARCH("disagree",AE510)),"N","Y")</f>
        <v>Y</v>
      </c>
      <c r="AW510" s="90" t="s">
        <v>119</v>
      </c>
      <c r="AX510" s="24" t="s">
        <v>119</v>
      </c>
      <c r="AY510" s="90" t="str">
        <f>CONCATENATE(AZ510,BA510,BB510,BC510)</f>
        <v/>
      </c>
      <c r="AZ510" s="90" t="str">
        <f>IF(ISNUMBER(SEARCH("Y",AC510)),"R","")</f>
        <v/>
      </c>
      <c r="BA510" s="90" t="str">
        <f>IF(ISNUMBER(SEARCH("Y",Y510)),"M","")</f>
        <v/>
      </c>
      <c r="BB510" s="90" t="str">
        <f>IF(ISNUMBER(SEARCH("Y",AB510)),"QC","")</f>
        <v/>
      </c>
      <c r="BC510" s="90" t="str">
        <f>IF(ISNUMBER(SEARCH("Y",Z510)),"S","")</f>
        <v/>
      </c>
      <c r="BD510" s="90"/>
      <c r="BE510" s="24" t="s">
        <v>119</v>
      </c>
      <c r="BF510" s="125" t="str">
        <f>IF(AND(AW510&gt;=56543,AW510&lt;=76543,LEN(AW510)&gt;0),"3 Feb 2020",IF(AND(AW510&gt;=66544,AW510&lt;=99999,LEN(AW510)&gt;0),"12 Sep 2020",""))</f>
        <v/>
      </c>
      <c r="BG510" s="125" t="str">
        <f>IF((AND(BF510="3 Feb 2020",LEN(BF510)&gt;0)),"Completed",IF((AND(BF510="12 Sep 2020",LEN(BF510)&gt;0)),"Pending",""))</f>
        <v/>
      </c>
      <c r="BH510" s="90" t="str">
        <f>IF((AND(BF510="3 Feb 2020",LEN(BF510)&gt;0)),"3 Feb 2020","")</f>
        <v/>
      </c>
      <c r="BI510" s="90">
        <v>228103</v>
      </c>
      <c r="BJ510" s="90" t="str">
        <f>L510</f>
        <v>6B68CR842913-70</v>
      </c>
      <c r="BK510" s="127">
        <v>43508</v>
      </c>
      <c r="BL510" s="127">
        <v>44239</v>
      </c>
      <c r="BM510" s="128">
        <f>P510*1.1</f>
        <v>3180211.1</v>
      </c>
      <c r="BN510" s="129">
        <f>P510*0.9</f>
        <v>2601990.9</v>
      </c>
      <c r="BO510" s="130">
        <f>P510*0.8</f>
        <v>2312880.8000000003</v>
      </c>
      <c r="BP510" s="90">
        <f>IF(Z510="Y",BM510*0.4,BM510*1.05)</f>
        <v>3339221.6550000003</v>
      </c>
      <c r="BQ510" s="90">
        <f>BP510*0.8</f>
        <v>2671377.3240000005</v>
      </c>
      <c r="BR510" s="90" t="str">
        <f>IF(ISNUMBER(SEARCH("subrecipient",AI506)),P510*0.6,"")</f>
        <v/>
      </c>
      <c r="BS510" s="90">
        <v>228103</v>
      </c>
      <c r="BT510" s="90" t="str">
        <f>BJ510</f>
        <v>6B68CR842913-70</v>
      </c>
      <c r="BU510" s="127">
        <f>BK510</f>
        <v>43508</v>
      </c>
      <c r="BV510" s="127">
        <f>BL510</f>
        <v>44239</v>
      </c>
      <c r="BW510" s="90" t="str">
        <f>H510</f>
        <v>FDA</v>
      </c>
      <c r="BX510" s="90" t="str">
        <f>IF(H510="NATIONAL HEMOPHILIA FOUNDATION","Non Federal","Federal")</f>
        <v>Federal</v>
      </c>
      <c r="BY510" s="128">
        <f>BM510</f>
        <v>3180211.1</v>
      </c>
      <c r="BZ510" s="90" t="str">
        <f>IF(LEN(BR510)&gt;0,1,"")</f>
        <v/>
      </c>
      <c r="CA510" s="90" t="str">
        <f>IF(LEN(BR510)&gt;0,"VIRAL HEPATITIS PROJECT","")</f>
        <v/>
      </c>
      <c r="CB510" s="129" t="str">
        <f>IF(LEN(BR510)&gt;0,BM510*0.7,"")</f>
        <v/>
      </c>
      <c r="CC510" s="90">
        <f>BP510</f>
        <v>3339221.6550000003</v>
      </c>
      <c r="CD510" s="90" t="str">
        <f>IF(LEN(BR510)&gt;0,"70%","")</f>
        <v/>
      </c>
      <c r="CE510" s="90">
        <f>BS510</f>
        <v>228103</v>
      </c>
      <c r="CF510" s="90" t="str">
        <f>CA510</f>
        <v/>
      </c>
      <c r="CG510" s="90"/>
      <c r="CH510" s="90"/>
      <c r="CI510" s="90"/>
      <c r="CJ510" s="90"/>
      <c r="CK510" s="90"/>
      <c r="CL510" s="90"/>
      <c r="CM510" s="90"/>
      <c r="CN510" s="90"/>
      <c r="CO510" s="90"/>
      <c r="CP510" s="90"/>
      <c r="CQ510" s="90"/>
      <c r="CR510" s="90"/>
      <c r="CS510" s="90"/>
      <c r="CT510" s="137"/>
    </row>
    <row r="511" spans="1:98" ht="90">
      <c r="A511" s="89">
        <v>228103</v>
      </c>
      <c r="B511" s="90">
        <v>2020</v>
      </c>
      <c r="C511" s="90" t="s">
        <v>81</v>
      </c>
      <c r="D511" s="90" t="s">
        <v>1409</v>
      </c>
      <c r="E511" s="125" t="s">
        <v>784</v>
      </c>
      <c r="F511" s="24" t="s">
        <v>1410</v>
      </c>
      <c r="G511" s="90" t="s">
        <v>85</v>
      </c>
      <c r="H511" s="90" t="s">
        <v>132</v>
      </c>
      <c r="I511" s="90">
        <v>93</v>
      </c>
      <c r="J511" s="90">
        <v>157</v>
      </c>
      <c r="K511" s="90" t="s">
        <v>85</v>
      </c>
      <c r="L511" s="90" t="s">
        <v>1411</v>
      </c>
      <c r="M511" s="90" t="s">
        <v>119</v>
      </c>
      <c r="N511" s="24" t="s">
        <v>1371</v>
      </c>
      <c r="O511" s="24" t="str">
        <f>IF(ISNUMBER(SEARCH("Cancer",N511)),"Cancer",IF(ISNUMBER(SEARCH("health",N511)),"Public health",IF(ISNUMBER(SEARCH("disabilities",N511)),"Disabilities","Other")))</f>
        <v>Other</v>
      </c>
      <c r="P511" s="126">
        <v>2891101</v>
      </c>
      <c r="Q511" s="90" t="s">
        <v>85</v>
      </c>
      <c r="R511" s="90" t="str">
        <f>IF(P511&gt;20000000,"B","A")</f>
        <v>A</v>
      </c>
      <c r="S511" s="90" t="s">
        <v>90</v>
      </c>
      <c r="T511" s="90" t="s">
        <v>119</v>
      </c>
      <c r="U511" s="90" t="s">
        <v>119</v>
      </c>
      <c r="V511" s="90" t="s">
        <v>119</v>
      </c>
      <c r="W511" s="90" t="s">
        <v>119</v>
      </c>
      <c r="X511" s="90" t="s">
        <v>119</v>
      </c>
      <c r="Y511" s="90" t="s">
        <v>119</v>
      </c>
      <c r="Z511" s="90" t="s">
        <v>119</v>
      </c>
      <c r="AA511" s="90" t="s">
        <v>119</v>
      </c>
      <c r="AB511" s="90" t="s">
        <v>119</v>
      </c>
      <c r="AC511" s="90" t="s">
        <v>119</v>
      </c>
      <c r="AD511" s="90" t="s">
        <v>119</v>
      </c>
      <c r="AE511" s="24">
        <v>0</v>
      </c>
      <c r="AF511" s="90">
        <v>0</v>
      </c>
      <c r="AG511" s="24">
        <v>0</v>
      </c>
      <c r="AH511" s="90">
        <v>87117</v>
      </c>
      <c r="AI511" s="24" t="s">
        <v>102</v>
      </c>
      <c r="AJ511" s="24" t="s">
        <v>103</v>
      </c>
      <c r="AK511" s="90" t="s">
        <v>85</v>
      </c>
      <c r="AL511" s="90">
        <v>228103</v>
      </c>
      <c r="AM511" s="90" t="s">
        <v>81</v>
      </c>
      <c r="AN511" s="90" t="s">
        <v>1409</v>
      </c>
      <c r="AO511" s="125" t="s">
        <v>784</v>
      </c>
      <c r="AP511" s="24" t="s">
        <v>1371</v>
      </c>
      <c r="AQ511" s="90" t="s">
        <v>1411</v>
      </c>
      <c r="AR511" s="24" t="s">
        <v>1371</v>
      </c>
      <c r="AS511" s="90" t="s">
        <v>119</v>
      </c>
      <c r="AT511" s="24" t="s">
        <v>102</v>
      </c>
      <c r="AU511" s="90" t="s">
        <v>119</v>
      </c>
      <c r="AV511" s="90" t="str">
        <f>IF(ISNUMBER(SEARCH("disagree",AE511)),"N","Y")</f>
        <v>Y</v>
      </c>
      <c r="AW511" s="90" t="s">
        <v>119</v>
      </c>
      <c r="AX511" s="24" t="s">
        <v>119</v>
      </c>
      <c r="AY511" s="90" t="str">
        <f>CONCATENATE(AZ511,BA511,BB511,BC511)</f>
        <v/>
      </c>
      <c r="AZ511" s="90" t="str">
        <f>IF(ISNUMBER(SEARCH("Y",AC511)),"R","")</f>
        <v/>
      </c>
      <c r="BA511" s="90" t="str">
        <f>IF(ISNUMBER(SEARCH("Y",Y511)),"M","")</f>
        <v/>
      </c>
      <c r="BB511" s="90" t="str">
        <f>IF(ISNUMBER(SEARCH("Y",AB511)),"QC","")</f>
        <v/>
      </c>
      <c r="BC511" s="90" t="str">
        <f>IF(ISNUMBER(SEARCH("Y",Z511)),"S","")</f>
        <v/>
      </c>
      <c r="BD511" s="90"/>
      <c r="BE511" s="24" t="s">
        <v>119</v>
      </c>
      <c r="BF511" s="125" t="str">
        <f>IF(AND(AW511&gt;=56543,AW511&lt;=76543,LEN(AW511)&gt;0),"3 Feb 2020",IF(AND(AW511&gt;=66544,AW511&lt;=99999,LEN(AW511)&gt;0),"12 Sep 2020",""))</f>
        <v/>
      </c>
      <c r="BG511" s="125" t="str">
        <f>IF((AND(BF511="3 Feb 2020",LEN(BF511)&gt;0)),"Completed",IF((AND(BF511="12 Sep 2020",LEN(BF511)&gt;0)),"Pending",""))</f>
        <v/>
      </c>
      <c r="BH511" s="90" t="str">
        <f>IF((AND(BF511="3 Feb 2020",LEN(BF511)&gt;0)),"3 Feb 2020","")</f>
        <v/>
      </c>
      <c r="BI511" s="90">
        <v>228103</v>
      </c>
      <c r="BJ511" s="90" t="str">
        <f>L511</f>
        <v>6B68CR842913-70</v>
      </c>
      <c r="BK511" s="127">
        <v>43508</v>
      </c>
      <c r="BL511" s="127">
        <v>44239</v>
      </c>
      <c r="BM511" s="128">
        <f>P511*1.1</f>
        <v>3180211.1</v>
      </c>
      <c r="BN511" s="129">
        <f>P511*0.9</f>
        <v>2601990.9</v>
      </c>
      <c r="BO511" s="130">
        <f>P511*0.8</f>
        <v>2312880.8000000003</v>
      </c>
      <c r="BP511" s="90">
        <f>IF(Z511="Y",BM511*0.4,BM511*1.05)</f>
        <v>3339221.6550000003</v>
      </c>
      <c r="BQ511" s="90">
        <f>BP511*0.8</f>
        <v>2671377.3240000005</v>
      </c>
      <c r="BR511" s="90" t="str">
        <f>IF(ISNUMBER(SEARCH("subrecipient",AI507)),P511*0.6,"")</f>
        <v/>
      </c>
      <c r="BS511" s="90">
        <v>228103</v>
      </c>
      <c r="BT511" s="90" t="str">
        <f>BJ511</f>
        <v>6B68CR842913-70</v>
      </c>
      <c r="BU511" s="127">
        <f>BK511</f>
        <v>43508</v>
      </c>
      <c r="BV511" s="127">
        <f>BL511</f>
        <v>44239</v>
      </c>
      <c r="BW511" s="90" t="str">
        <f>H511</f>
        <v>FDA</v>
      </c>
      <c r="BX511" s="90" t="str">
        <f>IF(H511="NATIONAL HEMOPHILIA FOUNDATION","Non Federal","Federal")</f>
        <v>Federal</v>
      </c>
      <c r="BY511" s="128">
        <f>BM511</f>
        <v>3180211.1</v>
      </c>
      <c r="BZ511" s="90" t="str">
        <f>IF(LEN(BR511)&gt;0,1,"")</f>
        <v/>
      </c>
      <c r="CA511" s="90" t="str">
        <f>IF(LEN(BR511)&gt;0,"VIRAL HEPATITIS PROJECT","")</f>
        <v/>
      </c>
      <c r="CB511" s="129" t="str">
        <f>IF(LEN(BR511)&gt;0,BM511*0.7,"")</f>
        <v/>
      </c>
      <c r="CC511" s="90">
        <f>BP511</f>
        <v>3339221.6550000003</v>
      </c>
      <c r="CD511" s="90" t="str">
        <f>IF(LEN(BR511)&gt;0,"70%","")</f>
        <v/>
      </c>
      <c r="CE511" s="90">
        <f>BS511</f>
        <v>228103</v>
      </c>
      <c r="CF511" s="90" t="str">
        <f>CA511</f>
        <v/>
      </c>
      <c r="CG511" s="90"/>
      <c r="CH511" s="90"/>
      <c r="CI511" s="90"/>
      <c r="CJ511" s="90"/>
      <c r="CK511" s="90"/>
      <c r="CL511" s="90"/>
      <c r="CM511" s="90"/>
      <c r="CN511" s="90"/>
      <c r="CO511" s="90"/>
      <c r="CP511" s="90"/>
      <c r="CQ511" s="90"/>
      <c r="CR511" s="90"/>
      <c r="CS511" s="90"/>
      <c r="CT511" s="137"/>
    </row>
    <row r="512" spans="1:98" ht="285">
      <c r="A512" s="89">
        <v>228285</v>
      </c>
      <c r="B512" s="90">
        <v>2020</v>
      </c>
      <c r="C512" s="90" t="s">
        <v>81</v>
      </c>
      <c r="D512" s="90" t="s">
        <v>1413</v>
      </c>
      <c r="E512" s="125" t="s">
        <v>790</v>
      </c>
      <c r="F512" s="24" t="s">
        <v>1414</v>
      </c>
      <c r="G512" s="90" t="s">
        <v>85</v>
      </c>
      <c r="H512" s="90" t="s">
        <v>150</v>
      </c>
      <c r="I512" s="90">
        <v>93</v>
      </c>
      <c r="J512" s="90">
        <v>157</v>
      </c>
      <c r="K512" s="90" t="s">
        <v>85</v>
      </c>
      <c r="L512" s="90" t="s">
        <v>1415</v>
      </c>
      <c r="M512" s="90" t="s">
        <v>87</v>
      </c>
      <c r="N512" s="24" t="s">
        <v>1192</v>
      </c>
      <c r="O512" s="24" t="str">
        <f>IF(ISNUMBER(SEARCH("Cancer",N512)),"Cancer",IF(ISNUMBER(SEARCH("health",N512)),"Public health",IF(ISNUMBER(SEARCH("disabilities",N512)),"Disabilities","Other")))</f>
        <v>Other</v>
      </c>
      <c r="P512" s="126">
        <v>2641608</v>
      </c>
      <c r="Q512" s="90" t="s">
        <v>85</v>
      </c>
      <c r="R512" s="90" t="str">
        <f>IF(P512&gt;20000000,"B","A")</f>
        <v>A</v>
      </c>
      <c r="S512" s="90" t="s">
        <v>90</v>
      </c>
      <c r="T512" s="90">
        <v>2576989</v>
      </c>
      <c r="U512" s="90" t="s">
        <v>91</v>
      </c>
      <c r="V512" s="90" t="s">
        <v>584</v>
      </c>
      <c r="W512" s="90" t="s">
        <v>87</v>
      </c>
      <c r="X512" s="90" t="s">
        <v>85</v>
      </c>
      <c r="Y512" s="90" t="s">
        <v>85</v>
      </c>
      <c r="Z512" s="90" t="s">
        <v>87</v>
      </c>
      <c r="AA512" s="90" t="s">
        <v>85</v>
      </c>
      <c r="AB512" s="90" t="s">
        <v>85</v>
      </c>
      <c r="AC512" s="90" t="s">
        <v>85</v>
      </c>
      <c r="AD512" s="90">
        <v>0</v>
      </c>
      <c r="AE512" s="24" t="s">
        <v>1416</v>
      </c>
      <c r="AF512" s="90" t="s">
        <v>91</v>
      </c>
      <c r="AG512" s="24" t="s">
        <v>1417</v>
      </c>
      <c r="AH512" s="90">
        <v>88182</v>
      </c>
      <c r="AI512" s="24" t="s">
        <v>94</v>
      </c>
      <c r="AJ512" s="24" t="s">
        <v>95</v>
      </c>
      <c r="AK512" s="90" t="s">
        <v>85</v>
      </c>
      <c r="AL512" s="90">
        <v>228285</v>
      </c>
      <c r="AM512" s="90" t="s">
        <v>81</v>
      </c>
      <c r="AN512" s="90" t="s">
        <v>1413</v>
      </c>
      <c r="AO512" s="125" t="s">
        <v>790</v>
      </c>
      <c r="AP512" s="24" t="s">
        <v>1192</v>
      </c>
      <c r="AQ512" s="90" t="s">
        <v>1415</v>
      </c>
      <c r="AR512" s="24" t="s">
        <v>1192</v>
      </c>
      <c r="AS512" s="90">
        <v>2576989</v>
      </c>
      <c r="AT512" s="24" t="s">
        <v>94</v>
      </c>
      <c r="AU512" s="90" t="s">
        <v>584</v>
      </c>
      <c r="AV512" s="90" t="str">
        <f>IF(ISNUMBER(SEARCH("disagree",AE512)),"N","Y")</f>
        <v>Y</v>
      </c>
      <c r="AW512" s="90">
        <v>90917</v>
      </c>
      <c r="AX512" s="24" t="s">
        <v>96</v>
      </c>
      <c r="AY512" s="90" t="str">
        <f>CONCATENATE(AZ512,BA512,BB512,BC512)</f>
        <v>S</v>
      </c>
      <c r="AZ512" s="90" t="str">
        <f>IF(ISNUMBER(SEARCH("Y",AC512)),"R","")</f>
        <v/>
      </c>
      <c r="BA512" s="90" t="str">
        <f>IF(ISNUMBER(SEARCH("Y",Y512)),"M","")</f>
        <v/>
      </c>
      <c r="BB512" s="90" t="str">
        <f>IF(ISNUMBER(SEARCH("Y",AB512)),"QC","")</f>
        <v/>
      </c>
      <c r="BC512" s="90" t="str">
        <f>IF(ISNUMBER(SEARCH("Y",Z512)),"S","")</f>
        <v>S</v>
      </c>
      <c r="BD512" s="90"/>
      <c r="BE512" s="24" t="s">
        <v>97</v>
      </c>
      <c r="BF512" s="125" t="str">
        <f>IF(AND(AW512&gt;=56543,AW512&lt;=76543,LEN(AW512)&gt;0),"3 Feb 2020",IF(AND(AW512&gt;=66544,AW512&lt;=99999,LEN(AW512)&gt;0),"12 Sep 2020",""))</f>
        <v>12 Sep 2020</v>
      </c>
      <c r="BG512" s="125" t="str">
        <f>IF((AND(BF512="3 Feb 2020",LEN(BF512)&gt;0)),"Completed",IF((AND(BF512="12 Sep 2020",LEN(BF512)&gt;0)),"Pending",""))</f>
        <v>Pending</v>
      </c>
      <c r="BH512" s="90" t="str">
        <f>IF((AND(BF512="3 Feb 2020",LEN(BF512)&gt;0)),"3 Feb 2020","")</f>
        <v/>
      </c>
      <c r="BI512" s="90">
        <v>228285</v>
      </c>
      <c r="BJ512" s="90" t="str">
        <f>L512</f>
        <v>5C44CS842757-66</v>
      </c>
      <c r="BK512" s="127">
        <v>43508</v>
      </c>
      <c r="BL512" s="127">
        <v>44239</v>
      </c>
      <c r="BM512" s="128">
        <f>P512*1.1</f>
        <v>2905768.8000000003</v>
      </c>
      <c r="BN512" s="129">
        <f>P512*0.9</f>
        <v>2377447.2000000002</v>
      </c>
      <c r="BO512" s="130">
        <f>P512*0.8</f>
        <v>2113286.4</v>
      </c>
      <c r="BP512" s="90">
        <f>IF(Z512="Y",BM512*0.4,BM512*1.05)</f>
        <v>1162307.5200000003</v>
      </c>
      <c r="BQ512" s="90">
        <f>BP512*0.8</f>
        <v>929846.01600000029</v>
      </c>
      <c r="BR512" s="90" t="str">
        <f>IF(ISNUMBER(SEARCH("subrecipient",AI508)),P512*0.6,"")</f>
        <v/>
      </c>
      <c r="BS512" s="90">
        <v>228285</v>
      </c>
      <c r="BT512" s="90" t="str">
        <f>BJ512</f>
        <v>5C44CS842757-66</v>
      </c>
      <c r="BU512" s="127">
        <f>BK512</f>
        <v>43508</v>
      </c>
      <c r="BV512" s="127">
        <f>BL512</f>
        <v>44239</v>
      </c>
      <c r="BW512" s="90" t="str">
        <f>H512</f>
        <v>ACF</v>
      </c>
      <c r="BX512" s="90" t="str">
        <f>IF(H512="NATIONAL HEMOPHILIA FOUNDATION","Non Federal","Federal")</f>
        <v>Federal</v>
      </c>
      <c r="BY512" s="128">
        <f>BM512</f>
        <v>2905768.8000000003</v>
      </c>
      <c r="BZ512" s="90" t="str">
        <f>IF(LEN(BR512)&gt;0,1,"")</f>
        <v/>
      </c>
      <c r="CA512" s="90" t="str">
        <f>IF(LEN(BR512)&gt;0,"VIRAL HEPATITIS PROJECT","")</f>
        <v/>
      </c>
      <c r="CB512" s="129" t="str">
        <f>IF(LEN(BR512)&gt;0,BM512*0.7,"")</f>
        <v/>
      </c>
      <c r="CC512" s="90">
        <f>BP512</f>
        <v>1162307.5200000003</v>
      </c>
      <c r="CD512" s="90" t="str">
        <f>IF(LEN(BR512)&gt;0,"70%","")</f>
        <v/>
      </c>
      <c r="CE512" s="90">
        <f>BS512</f>
        <v>228285</v>
      </c>
      <c r="CF512" s="90" t="str">
        <f>CA512</f>
        <v/>
      </c>
      <c r="CG512" s="90"/>
      <c r="CH512" s="90"/>
      <c r="CI512" s="90"/>
      <c r="CJ512" s="90"/>
      <c r="CK512" s="90"/>
      <c r="CL512" s="90"/>
      <c r="CM512" s="90"/>
      <c r="CN512" s="90"/>
      <c r="CO512" s="90"/>
      <c r="CP512" s="90"/>
      <c r="CQ512" s="90"/>
      <c r="CR512" s="90"/>
      <c r="CS512" s="90"/>
      <c r="CT512" s="137"/>
    </row>
    <row r="513" spans="1:98" ht="45">
      <c r="A513" s="89">
        <v>228285</v>
      </c>
      <c r="B513" s="90">
        <v>2020</v>
      </c>
      <c r="C513" s="90" t="s">
        <v>81</v>
      </c>
      <c r="D513" s="90" t="s">
        <v>1413</v>
      </c>
      <c r="E513" s="125" t="s">
        <v>791</v>
      </c>
      <c r="F513" s="24" t="s">
        <v>1414</v>
      </c>
      <c r="G513" s="90" t="s">
        <v>85</v>
      </c>
      <c r="H513" s="90" t="s">
        <v>150</v>
      </c>
      <c r="I513" s="90">
        <v>93</v>
      </c>
      <c r="J513" s="90">
        <v>157</v>
      </c>
      <c r="K513" s="90" t="s">
        <v>85</v>
      </c>
      <c r="L513" s="90" t="s">
        <v>1415</v>
      </c>
      <c r="M513" s="90" t="s">
        <v>87</v>
      </c>
      <c r="N513" s="24" t="s">
        <v>1192</v>
      </c>
      <c r="O513" s="24" t="str">
        <f>IF(ISNUMBER(SEARCH("Cancer",N513)),"Cancer",IF(ISNUMBER(SEARCH("health",N513)),"Public health",IF(ISNUMBER(SEARCH("disabilities",N513)),"Disabilities","Other")))</f>
        <v>Other</v>
      </c>
      <c r="P513" s="126">
        <v>2641608</v>
      </c>
      <c r="Q513" s="90" t="s">
        <v>85</v>
      </c>
      <c r="R513" s="90" t="str">
        <f>IF(P513&gt;20000000,"B","A")</f>
        <v>A</v>
      </c>
      <c r="S513" s="90" t="s">
        <v>90</v>
      </c>
      <c r="T513" s="90">
        <v>2576989</v>
      </c>
      <c r="U513" s="90" t="s">
        <v>91</v>
      </c>
      <c r="V513" s="90" t="s">
        <v>584</v>
      </c>
      <c r="W513" s="90" t="s">
        <v>87</v>
      </c>
      <c r="X513" s="90" t="s">
        <v>85</v>
      </c>
      <c r="Y513" s="90" t="s">
        <v>85</v>
      </c>
      <c r="Z513" s="90" t="s">
        <v>87</v>
      </c>
      <c r="AA513" s="90" t="s">
        <v>85</v>
      </c>
      <c r="AB513" s="90" t="s">
        <v>85</v>
      </c>
      <c r="AC513" s="90" t="s">
        <v>85</v>
      </c>
      <c r="AD513" s="90">
        <v>0</v>
      </c>
      <c r="AE513" s="24">
        <v>0</v>
      </c>
      <c r="AF513" s="90">
        <v>0</v>
      </c>
      <c r="AG513" s="24">
        <v>0</v>
      </c>
      <c r="AH513" s="90">
        <v>88181</v>
      </c>
      <c r="AI513" s="24" t="s">
        <v>102</v>
      </c>
      <c r="AJ513" s="24" t="s">
        <v>103</v>
      </c>
      <c r="AK513" s="90" t="s">
        <v>85</v>
      </c>
      <c r="AL513" s="90">
        <v>228285</v>
      </c>
      <c r="AM513" s="90" t="s">
        <v>81</v>
      </c>
      <c r="AN513" s="90" t="s">
        <v>1413</v>
      </c>
      <c r="AO513" s="125" t="s">
        <v>791</v>
      </c>
      <c r="AP513" s="24" t="s">
        <v>1192</v>
      </c>
      <c r="AQ513" s="90" t="s">
        <v>1415</v>
      </c>
      <c r="AR513" s="24" t="s">
        <v>1192</v>
      </c>
      <c r="AS513" s="90">
        <v>2576989</v>
      </c>
      <c r="AT513" s="24" t="s">
        <v>102</v>
      </c>
      <c r="AU513" s="90" t="s">
        <v>584</v>
      </c>
      <c r="AV513" s="90" t="str">
        <f>IF(ISNUMBER(SEARCH("disagree",AE513)),"N","Y")</f>
        <v>Y</v>
      </c>
      <c r="AW513" s="90">
        <v>86678</v>
      </c>
      <c r="AX513" s="24" t="s">
        <v>104</v>
      </c>
      <c r="AY513" s="90" t="str">
        <f>CONCATENATE(AZ513,BA513,BB513,BC513)</f>
        <v>S</v>
      </c>
      <c r="AZ513" s="90" t="str">
        <f>IF(ISNUMBER(SEARCH("Y",AC513)),"R","")</f>
        <v/>
      </c>
      <c r="BA513" s="90" t="str">
        <f>IF(ISNUMBER(SEARCH("Y",Y513)),"M","")</f>
        <v/>
      </c>
      <c r="BB513" s="90" t="str">
        <f>IF(ISNUMBER(SEARCH("Y",AB513)),"QC","")</f>
        <v/>
      </c>
      <c r="BC513" s="90" t="str">
        <f>IF(ISNUMBER(SEARCH("Y",Z513)),"S","")</f>
        <v>S</v>
      </c>
      <c r="BD513" s="90"/>
      <c r="BE513" s="24" t="s">
        <v>327</v>
      </c>
      <c r="BF513" s="125" t="str">
        <f>IF(AND(AW513&gt;=56543,AW513&lt;=76543,LEN(AW513)&gt;0),"3 Feb 2020",IF(AND(AW513&gt;=66544,AW513&lt;=99999,LEN(AW513)&gt;0),"12 Sep 2020",""))</f>
        <v>12 Sep 2020</v>
      </c>
      <c r="BG513" s="125" t="str">
        <f>IF((AND(BF513="3 Feb 2020",LEN(BF513)&gt;0)),"Completed",IF((AND(BF513="12 Sep 2020",LEN(BF513)&gt;0)),"Pending",""))</f>
        <v>Pending</v>
      </c>
      <c r="BH513" s="90" t="str">
        <f>IF((AND(BF513="3 Feb 2020",LEN(BF513)&gt;0)),"3 Feb 2020","")</f>
        <v/>
      </c>
      <c r="BI513" s="90">
        <v>228285</v>
      </c>
      <c r="BJ513" s="90" t="str">
        <f>L513</f>
        <v>5C44CS842757-66</v>
      </c>
      <c r="BK513" s="127">
        <v>43508</v>
      </c>
      <c r="BL513" s="127">
        <v>44239</v>
      </c>
      <c r="BM513" s="128">
        <f>P513*1.1</f>
        <v>2905768.8000000003</v>
      </c>
      <c r="BN513" s="129">
        <f>P513*0.9</f>
        <v>2377447.2000000002</v>
      </c>
      <c r="BO513" s="130">
        <f>P513*0.8</f>
        <v>2113286.4</v>
      </c>
      <c r="BP513" s="90">
        <f>IF(Z513="Y",BM513*0.4,BM513*1.05)</f>
        <v>1162307.5200000003</v>
      </c>
      <c r="BQ513" s="90">
        <f>BP513*0.8</f>
        <v>929846.01600000029</v>
      </c>
      <c r="BR513" s="90" t="str">
        <f>IF(ISNUMBER(SEARCH("subrecipient",AI509)),P513*0.6,"")</f>
        <v/>
      </c>
      <c r="BS513" s="90">
        <v>228285</v>
      </c>
      <c r="BT513" s="90" t="str">
        <f>BJ513</f>
        <v>5C44CS842757-66</v>
      </c>
      <c r="BU513" s="127">
        <f>BK513</f>
        <v>43508</v>
      </c>
      <c r="BV513" s="127">
        <f>BL513</f>
        <v>44239</v>
      </c>
      <c r="BW513" s="90" t="str">
        <f>H513</f>
        <v>ACF</v>
      </c>
      <c r="BX513" s="90" t="str">
        <f>IF(H513="NATIONAL HEMOPHILIA FOUNDATION","Non Federal","Federal")</f>
        <v>Federal</v>
      </c>
      <c r="BY513" s="128">
        <f>BM513</f>
        <v>2905768.8000000003</v>
      </c>
      <c r="BZ513" s="90" t="str">
        <f>IF(LEN(BR513)&gt;0,1,"")</f>
        <v/>
      </c>
      <c r="CA513" s="90" t="str">
        <f>IF(LEN(BR513)&gt;0,"VIRAL HEPATITIS PROJECT","")</f>
        <v/>
      </c>
      <c r="CB513" s="129" t="str">
        <f>IF(LEN(BR513)&gt;0,BM513*0.7,"")</f>
        <v/>
      </c>
      <c r="CC513" s="90">
        <f>BP513</f>
        <v>1162307.5200000003</v>
      </c>
      <c r="CD513" s="90" t="str">
        <f>IF(LEN(BR513)&gt;0,"70%","")</f>
        <v/>
      </c>
      <c r="CE513" s="90">
        <f>BS513</f>
        <v>228285</v>
      </c>
      <c r="CF513" s="90" t="str">
        <f>CA513</f>
        <v/>
      </c>
      <c r="CG513" s="90"/>
      <c r="CH513" s="90"/>
      <c r="CI513" s="90"/>
      <c r="CJ513" s="90"/>
      <c r="CK513" s="90"/>
      <c r="CL513" s="90"/>
      <c r="CM513" s="90"/>
      <c r="CN513" s="90"/>
      <c r="CO513" s="90"/>
      <c r="CP513" s="90"/>
      <c r="CQ513" s="90"/>
      <c r="CR513" s="90"/>
      <c r="CS513" s="90"/>
      <c r="CT513" s="137"/>
    </row>
    <row r="514" spans="1:98" ht="30">
      <c r="A514" s="89">
        <v>228285</v>
      </c>
      <c r="B514" s="90">
        <v>2020</v>
      </c>
      <c r="C514" s="90" t="s">
        <v>81</v>
      </c>
      <c r="D514" s="90" t="s">
        <v>1413</v>
      </c>
      <c r="E514" s="125" t="s">
        <v>793</v>
      </c>
      <c r="F514" s="24" t="s">
        <v>1414</v>
      </c>
      <c r="G514" s="90" t="s">
        <v>85</v>
      </c>
      <c r="H514" s="90" t="s">
        <v>150</v>
      </c>
      <c r="I514" s="90">
        <v>93</v>
      </c>
      <c r="J514" s="90">
        <v>157</v>
      </c>
      <c r="K514" s="90" t="s">
        <v>85</v>
      </c>
      <c r="L514" s="90" t="s">
        <v>1415</v>
      </c>
      <c r="M514" s="90" t="s">
        <v>87</v>
      </c>
      <c r="N514" s="24" t="s">
        <v>1192</v>
      </c>
      <c r="O514" s="24" t="str">
        <f>IF(ISNUMBER(SEARCH("Cancer",N514)),"Cancer",IF(ISNUMBER(SEARCH("health",N514)),"Public health",IF(ISNUMBER(SEARCH("disabilities",N514)),"Disabilities","Other")))</f>
        <v>Other</v>
      </c>
      <c r="P514" s="126">
        <v>2641608</v>
      </c>
      <c r="Q514" s="90" t="s">
        <v>85</v>
      </c>
      <c r="R514" s="90" t="str">
        <f>IF(P514&gt;20000000,"B","A")</f>
        <v>A</v>
      </c>
      <c r="S514" s="90" t="s">
        <v>90</v>
      </c>
      <c r="T514" s="90">
        <v>2576989</v>
      </c>
      <c r="U514" s="90" t="s">
        <v>91</v>
      </c>
      <c r="V514" s="90" t="s">
        <v>584</v>
      </c>
      <c r="W514" s="90" t="s">
        <v>87</v>
      </c>
      <c r="X514" s="90" t="s">
        <v>85</v>
      </c>
      <c r="Y514" s="90" t="s">
        <v>85</v>
      </c>
      <c r="Z514" s="90" t="s">
        <v>87</v>
      </c>
      <c r="AA514" s="90" t="s">
        <v>85</v>
      </c>
      <c r="AB514" s="90" t="s">
        <v>85</v>
      </c>
      <c r="AC514" s="90" t="s">
        <v>85</v>
      </c>
      <c r="AD514" s="90">
        <v>0</v>
      </c>
      <c r="AE514" s="24">
        <v>0</v>
      </c>
      <c r="AF514" s="90">
        <v>0</v>
      </c>
      <c r="AG514" s="24">
        <v>0</v>
      </c>
      <c r="AH514" s="90">
        <v>88180</v>
      </c>
      <c r="AI514" s="24" t="s">
        <v>110</v>
      </c>
      <c r="AJ514" s="24" t="s">
        <v>1418</v>
      </c>
      <c r="AK514" s="90" t="s">
        <v>85</v>
      </c>
      <c r="AL514" s="90">
        <v>228285</v>
      </c>
      <c r="AM514" s="90" t="s">
        <v>81</v>
      </c>
      <c r="AN514" s="90" t="s">
        <v>1413</v>
      </c>
      <c r="AO514" s="125" t="s">
        <v>793</v>
      </c>
      <c r="AP514" s="24" t="s">
        <v>1192</v>
      </c>
      <c r="AQ514" s="90" t="s">
        <v>1415</v>
      </c>
      <c r="AR514" s="24" t="s">
        <v>1192</v>
      </c>
      <c r="AS514" s="90">
        <v>2576989</v>
      </c>
      <c r="AT514" s="24" t="s">
        <v>110</v>
      </c>
      <c r="AU514" s="90" t="s">
        <v>584</v>
      </c>
      <c r="AV514" s="90" t="str">
        <f>IF(ISNUMBER(SEARCH("disagree",AE514)),"N","Y")</f>
        <v>Y</v>
      </c>
      <c r="AW514" s="90">
        <v>90946</v>
      </c>
      <c r="AX514" s="24" t="s">
        <v>112</v>
      </c>
      <c r="AY514" s="90" t="str">
        <f>CONCATENATE(AZ514,BA514,BB514,BC514)</f>
        <v>S</v>
      </c>
      <c r="AZ514" s="90" t="str">
        <f>IF(ISNUMBER(SEARCH("Y",AC514)),"R","")</f>
        <v/>
      </c>
      <c r="BA514" s="90" t="str">
        <f>IF(ISNUMBER(SEARCH("Y",Y514)),"M","")</f>
        <v/>
      </c>
      <c r="BB514" s="90" t="str">
        <f>IF(ISNUMBER(SEARCH("Y",AB514)),"QC","")</f>
        <v/>
      </c>
      <c r="BC514" s="90" t="str">
        <f>IF(ISNUMBER(SEARCH("Y",Z514)),"S","")</f>
        <v>S</v>
      </c>
      <c r="BD514" s="90"/>
      <c r="BE514" s="24" t="s">
        <v>113</v>
      </c>
      <c r="BF514" s="125" t="str">
        <f>IF(AND(AW514&gt;=56543,AW514&lt;=76543,LEN(AW514)&gt;0),"3 Feb 2020",IF(AND(AW514&gt;=66544,AW514&lt;=99999,LEN(AW514)&gt;0),"12 Sep 2020",""))</f>
        <v>12 Sep 2020</v>
      </c>
      <c r="BG514" s="125" t="str">
        <f>IF((AND(BF514="3 Feb 2020",LEN(BF514)&gt;0)),"Completed",IF((AND(BF514="12 Sep 2020",LEN(BF514)&gt;0)),"Pending",""))</f>
        <v>Pending</v>
      </c>
      <c r="BH514" s="90" t="str">
        <f>IF((AND(BF514="3 Feb 2020",LEN(BF514)&gt;0)),"3 Feb 2020","")</f>
        <v/>
      </c>
      <c r="BI514" s="90">
        <v>228285</v>
      </c>
      <c r="BJ514" s="90" t="str">
        <f>L514</f>
        <v>5C44CS842757-66</v>
      </c>
      <c r="BK514" s="127">
        <v>43508</v>
      </c>
      <c r="BL514" s="127">
        <v>44239</v>
      </c>
      <c r="BM514" s="128">
        <f>P514*1.1</f>
        <v>2905768.8000000003</v>
      </c>
      <c r="BN514" s="129">
        <f>P514*0.9</f>
        <v>2377447.2000000002</v>
      </c>
      <c r="BO514" s="130">
        <f>P514*0.8</f>
        <v>2113286.4</v>
      </c>
      <c r="BP514" s="90">
        <f>IF(Z514="Y",BM514*0.4,BM514*1.05)</f>
        <v>1162307.5200000003</v>
      </c>
      <c r="BQ514" s="90">
        <f>BP514*0.8</f>
        <v>929846.01600000029</v>
      </c>
      <c r="BR514" s="90" t="str">
        <f>IF(ISNUMBER(SEARCH("subrecipient",AI510)),P514*0.6,"")</f>
        <v/>
      </c>
      <c r="BS514" s="90">
        <v>228285</v>
      </c>
      <c r="BT514" s="90" t="str">
        <f>BJ514</f>
        <v>5C44CS842757-66</v>
      </c>
      <c r="BU514" s="127">
        <f>BK514</f>
        <v>43508</v>
      </c>
      <c r="BV514" s="127">
        <f>BL514</f>
        <v>44239</v>
      </c>
      <c r="BW514" s="90" t="str">
        <f>H514</f>
        <v>ACF</v>
      </c>
      <c r="BX514" s="90" t="str">
        <f>IF(H514="NATIONAL HEMOPHILIA FOUNDATION","Non Federal","Federal")</f>
        <v>Federal</v>
      </c>
      <c r="BY514" s="128">
        <f>BM514</f>
        <v>2905768.8000000003</v>
      </c>
      <c r="BZ514" s="90" t="str">
        <f>IF(LEN(BR514)&gt;0,1,"")</f>
        <v/>
      </c>
      <c r="CA514" s="90" t="str">
        <f>IF(LEN(BR514)&gt;0,"VIRAL HEPATITIS PROJECT","")</f>
        <v/>
      </c>
      <c r="CB514" s="129" t="str">
        <f>IF(LEN(BR514)&gt;0,BM514*0.7,"")</f>
        <v/>
      </c>
      <c r="CC514" s="90">
        <f>BP514</f>
        <v>1162307.5200000003</v>
      </c>
      <c r="CD514" s="90" t="str">
        <f>IF(LEN(BR514)&gt;0,"70%","")</f>
        <v/>
      </c>
      <c r="CE514" s="90">
        <f>BS514</f>
        <v>228285</v>
      </c>
      <c r="CF514" s="90" t="str">
        <f>CA514</f>
        <v/>
      </c>
      <c r="CG514" s="90"/>
      <c r="CH514" s="90"/>
      <c r="CI514" s="90"/>
      <c r="CJ514" s="90"/>
      <c r="CK514" s="90"/>
      <c r="CL514" s="90"/>
      <c r="CM514" s="90"/>
      <c r="CN514" s="90"/>
      <c r="CO514" s="90"/>
      <c r="CP514" s="90"/>
      <c r="CQ514" s="90"/>
      <c r="CR514" s="90"/>
      <c r="CS514" s="90"/>
      <c r="CT514" s="137"/>
    </row>
    <row r="515" spans="1:98" ht="105">
      <c r="A515" s="89">
        <v>228286</v>
      </c>
      <c r="B515" s="90">
        <v>2020</v>
      </c>
      <c r="C515" s="90" t="s">
        <v>81</v>
      </c>
      <c r="D515" s="90" t="s">
        <v>1419</v>
      </c>
      <c r="E515" s="125" t="s">
        <v>780</v>
      </c>
      <c r="F515" s="24" t="s">
        <v>1420</v>
      </c>
      <c r="G515" s="90" t="s">
        <v>85</v>
      </c>
      <c r="H515" s="90" t="s">
        <v>86</v>
      </c>
      <c r="I515" s="90">
        <v>93</v>
      </c>
      <c r="J515" s="90">
        <v>157</v>
      </c>
      <c r="K515" s="90" t="s">
        <v>85</v>
      </c>
      <c r="L515" s="90" t="s">
        <v>1421</v>
      </c>
      <c r="M515" s="90" t="s">
        <v>119</v>
      </c>
      <c r="N515" s="24" t="s">
        <v>1422</v>
      </c>
      <c r="O515" s="24" t="str">
        <f>IF(ISNUMBER(SEARCH("Cancer",N515)),"Cancer",IF(ISNUMBER(SEARCH("health",N515)),"Public health",IF(ISNUMBER(SEARCH("disabilities",N515)),"Disabilities","Other")))</f>
        <v>Other</v>
      </c>
      <c r="P515" s="126">
        <v>2739540</v>
      </c>
      <c r="Q515" s="90" t="s">
        <v>85</v>
      </c>
      <c r="R515" s="90" t="str">
        <f>IF(P515&gt;20000000,"B","A")</f>
        <v>A</v>
      </c>
      <c r="S515" s="90" t="s">
        <v>90</v>
      </c>
      <c r="T515" s="90" t="s">
        <v>119</v>
      </c>
      <c r="U515" s="90" t="s">
        <v>119</v>
      </c>
      <c r="V515" s="90" t="s">
        <v>119</v>
      </c>
      <c r="W515" s="90" t="s">
        <v>119</v>
      </c>
      <c r="X515" s="90" t="s">
        <v>119</v>
      </c>
      <c r="Y515" s="90" t="s">
        <v>119</v>
      </c>
      <c r="Z515" s="90" t="s">
        <v>119</v>
      </c>
      <c r="AA515" s="90" t="s">
        <v>119</v>
      </c>
      <c r="AB515" s="90" t="s">
        <v>119</v>
      </c>
      <c r="AC515" s="90" t="s">
        <v>119</v>
      </c>
      <c r="AD515" s="90" t="s">
        <v>119</v>
      </c>
      <c r="AE515" s="24">
        <v>0</v>
      </c>
      <c r="AF515" s="90">
        <v>0</v>
      </c>
      <c r="AG515" s="24">
        <v>0</v>
      </c>
      <c r="AH515" s="90">
        <v>88256</v>
      </c>
      <c r="AI515" s="24" t="s">
        <v>94</v>
      </c>
      <c r="AJ515" s="24" t="s">
        <v>95</v>
      </c>
      <c r="AK515" s="90" t="s">
        <v>85</v>
      </c>
      <c r="AL515" s="90">
        <v>228286</v>
      </c>
      <c r="AM515" s="90" t="s">
        <v>81</v>
      </c>
      <c r="AN515" s="90" t="s">
        <v>1419</v>
      </c>
      <c r="AO515" s="125" t="s">
        <v>780</v>
      </c>
      <c r="AP515" s="24" t="s">
        <v>1422</v>
      </c>
      <c r="AQ515" s="90" t="s">
        <v>1421</v>
      </c>
      <c r="AR515" s="24" t="s">
        <v>1422</v>
      </c>
      <c r="AS515" s="90" t="s">
        <v>119</v>
      </c>
      <c r="AT515" s="24" t="s">
        <v>94</v>
      </c>
      <c r="AU515" s="90" t="s">
        <v>119</v>
      </c>
      <c r="AV515" s="90" t="str">
        <f>IF(ISNUMBER(SEARCH("disagree",AE515)),"N","Y")</f>
        <v>Y</v>
      </c>
      <c r="AW515" s="90" t="s">
        <v>119</v>
      </c>
      <c r="AX515" s="24" t="s">
        <v>119</v>
      </c>
      <c r="AY515" s="90" t="str">
        <f>CONCATENATE(AZ515,BA515,BB515,BC515)</f>
        <v/>
      </c>
      <c r="AZ515" s="90" t="str">
        <f>IF(ISNUMBER(SEARCH("Y",AC515)),"R","")</f>
        <v/>
      </c>
      <c r="BA515" s="90" t="str">
        <f>IF(ISNUMBER(SEARCH("Y",Y515)),"M","")</f>
        <v/>
      </c>
      <c r="BB515" s="90" t="str">
        <f>IF(ISNUMBER(SEARCH("Y",AB515)),"QC","")</f>
        <v/>
      </c>
      <c r="BC515" s="90" t="str">
        <f>IF(ISNUMBER(SEARCH("Y",Z515)),"S","")</f>
        <v/>
      </c>
      <c r="BD515" s="90"/>
      <c r="BE515" s="24" t="s">
        <v>119</v>
      </c>
      <c r="BF515" s="125" t="str">
        <f>IF(AND(AW515&gt;=56543,AW515&lt;=76543,LEN(AW515)&gt;0),"3 Feb 2020",IF(AND(AW515&gt;=66544,AW515&lt;=99999,LEN(AW515)&gt;0),"12 Sep 2020",""))</f>
        <v/>
      </c>
      <c r="BG515" s="125" t="str">
        <f>IF((AND(BF515="3 Feb 2020",LEN(BF515)&gt;0)),"Completed",IF((AND(BF515="12 Sep 2020",LEN(BF515)&gt;0)),"Pending",""))</f>
        <v/>
      </c>
      <c r="BH515" s="90" t="str">
        <f>IF((AND(BF515="3 Feb 2020",LEN(BF515)&gt;0)),"3 Feb 2020","")</f>
        <v/>
      </c>
      <c r="BI515" s="90">
        <v>228286</v>
      </c>
      <c r="BJ515" s="90" t="str">
        <f>L515</f>
        <v>9C42FS844309-95</v>
      </c>
      <c r="BK515" s="127">
        <v>43508</v>
      </c>
      <c r="BL515" s="127">
        <v>44239</v>
      </c>
      <c r="BM515" s="128">
        <f>P515*1.1</f>
        <v>3013494.0000000005</v>
      </c>
      <c r="BN515" s="129">
        <f>P515*0.9</f>
        <v>2465586</v>
      </c>
      <c r="BO515" s="130">
        <f>P515*0.8</f>
        <v>2191632</v>
      </c>
      <c r="BP515" s="90">
        <f>IF(Z515="Y",BM515*0.4,BM515*1.05)</f>
        <v>3164168.7000000007</v>
      </c>
      <c r="BQ515" s="90">
        <f>BP515*0.8</f>
        <v>2531334.9600000009</v>
      </c>
      <c r="BR515" s="90" t="str">
        <f>IF(ISNUMBER(SEARCH("subrecipient",AI511)),P515*0.6,"")</f>
        <v/>
      </c>
      <c r="BS515" s="90">
        <v>228286</v>
      </c>
      <c r="BT515" s="90" t="str">
        <f>BJ515</f>
        <v>9C42FS844309-95</v>
      </c>
      <c r="BU515" s="127">
        <f>BK515</f>
        <v>43508</v>
      </c>
      <c r="BV515" s="127">
        <f>BL515</f>
        <v>44239</v>
      </c>
      <c r="BW515" s="90" t="str">
        <f>H515</f>
        <v>CDC</v>
      </c>
      <c r="BX515" s="90" t="str">
        <f>IF(H515="NATIONAL HEMOPHILIA FOUNDATION","Non Federal","Federal")</f>
        <v>Federal</v>
      </c>
      <c r="BY515" s="128">
        <f>BM515</f>
        <v>3013494.0000000005</v>
      </c>
      <c r="BZ515" s="90" t="str">
        <f>IF(LEN(BR515)&gt;0,1,"")</f>
        <v/>
      </c>
      <c r="CA515" s="90" t="str">
        <f>IF(LEN(BR515)&gt;0,"VIRAL HEPATITIS PROJECT","")</f>
        <v/>
      </c>
      <c r="CB515" s="129" t="str">
        <f>IF(LEN(BR515)&gt;0,BM515*0.7,"")</f>
        <v/>
      </c>
      <c r="CC515" s="90">
        <f>BP515</f>
        <v>3164168.7000000007</v>
      </c>
      <c r="CD515" s="90" t="str">
        <f>IF(LEN(BR515)&gt;0,"70%","")</f>
        <v/>
      </c>
      <c r="CE515" s="90">
        <f>BS515</f>
        <v>228286</v>
      </c>
      <c r="CF515" s="90" t="str">
        <f>CA515</f>
        <v/>
      </c>
      <c r="CG515" s="90"/>
      <c r="CH515" s="90"/>
      <c r="CI515" s="90"/>
      <c r="CJ515" s="90"/>
      <c r="CK515" s="90"/>
      <c r="CL515" s="90"/>
      <c r="CM515" s="90"/>
      <c r="CN515" s="90"/>
      <c r="CO515" s="90"/>
      <c r="CP515" s="90"/>
      <c r="CQ515" s="90"/>
      <c r="CR515" s="90"/>
      <c r="CS515" s="90"/>
      <c r="CT515" s="137"/>
    </row>
    <row r="516" spans="1:98" ht="105">
      <c r="A516" s="89">
        <v>228286</v>
      </c>
      <c r="B516" s="90">
        <v>2020</v>
      </c>
      <c r="C516" s="90" t="s">
        <v>81</v>
      </c>
      <c r="D516" s="90" t="s">
        <v>1419</v>
      </c>
      <c r="E516" s="125" t="s">
        <v>781</v>
      </c>
      <c r="F516" s="24" t="s">
        <v>1420</v>
      </c>
      <c r="G516" s="90" t="s">
        <v>85</v>
      </c>
      <c r="H516" s="90" t="s">
        <v>86</v>
      </c>
      <c r="I516" s="90">
        <v>93</v>
      </c>
      <c r="J516" s="90">
        <v>157</v>
      </c>
      <c r="K516" s="90" t="s">
        <v>85</v>
      </c>
      <c r="L516" s="90" t="s">
        <v>1421</v>
      </c>
      <c r="M516" s="90" t="s">
        <v>119</v>
      </c>
      <c r="N516" s="24" t="s">
        <v>1422</v>
      </c>
      <c r="O516" s="24" t="str">
        <f>IF(ISNUMBER(SEARCH("Cancer",N516)),"Cancer",IF(ISNUMBER(SEARCH("health",N516)),"Public health",IF(ISNUMBER(SEARCH("disabilities",N516)),"Disabilities","Other")))</f>
        <v>Other</v>
      </c>
      <c r="P516" s="126">
        <v>2739540</v>
      </c>
      <c r="Q516" s="90" t="s">
        <v>85</v>
      </c>
      <c r="R516" s="90" t="str">
        <f>IF(P516&gt;20000000,"B","A")</f>
        <v>A</v>
      </c>
      <c r="S516" s="90" t="s">
        <v>90</v>
      </c>
      <c r="T516" s="90" t="s">
        <v>119</v>
      </c>
      <c r="U516" s="90" t="s">
        <v>119</v>
      </c>
      <c r="V516" s="90" t="s">
        <v>119</v>
      </c>
      <c r="W516" s="90" t="s">
        <v>119</v>
      </c>
      <c r="X516" s="90" t="s">
        <v>119</v>
      </c>
      <c r="Y516" s="90" t="s">
        <v>119</v>
      </c>
      <c r="Z516" s="90" t="s">
        <v>119</v>
      </c>
      <c r="AA516" s="90" t="s">
        <v>119</v>
      </c>
      <c r="AB516" s="90" t="s">
        <v>119</v>
      </c>
      <c r="AC516" s="90" t="s">
        <v>119</v>
      </c>
      <c r="AD516" s="90" t="s">
        <v>119</v>
      </c>
      <c r="AE516" s="24">
        <v>0</v>
      </c>
      <c r="AF516" s="90">
        <v>0</v>
      </c>
      <c r="AG516" s="24">
        <v>0</v>
      </c>
      <c r="AH516" s="90">
        <v>88258</v>
      </c>
      <c r="AI516" s="24" t="s">
        <v>102</v>
      </c>
      <c r="AJ516" s="24" t="s">
        <v>103</v>
      </c>
      <c r="AK516" s="90" t="s">
        <v>85</v>
      </c>
      <c r="AL516" s="90">
        <v>228286</v>
      </c>
      <c r="AM516" s="90" t="s">
        <v>81</v>
      </c>
      <c r="AN516" s="90" t="s">
        <v>1419</v>
      </c>
      <c r="AO516" s="125" t="s">
        <v>781</v>
      </c>
      <c r="AP516" s="24" t="s">
        <v>1422</v>
      </c>
      <c r="AQ516" s="90" t="s">
        <v>1421</v>
      </c>
      <c r="AR516" s="24" t="s">
        <v>1422</v>
      </c>
      <c r="AS516" s="90" t="s">
        <v>119</v>
      </c>
      <c r="AT516" s="24" t="s">
        <v>102</v>
      </c>
      <c r="AU516" s="90" t="s">
        <v>119</v>
      </c>
      <c r="AV516" s="90" t="str">
        <f>IF(ISNUMBER(SEARCH("disagree",AE516)),"N","Y")</f>
        <v>Y</v>
      </c>
      <c r="AW516" s="90" t="s">
        <v>119</v>
      </c>
      <c r="AX516" s="24" t="s">
        <v>119</v>
      </c>
      <c r="AY516" s="90" t="str">
        <f>CONCATENATE(AZ516,BA516,BB516,BC516)</f>
        <v/>
      </c>
      <c r="AZ516" s="90" t="str">
        <f>IF(ISNUMBER(SEARCH("Y",AC516)),"R","")</f>
        <v/>
      </c>
      <c r="BA516" s="90" t="str">
        <f>IF(ISNUMBER(SEARCH("Y",Y516)),"M","")</f>
        <v/>
      </c>
      <c r="BB516" s="90" t="str">
        <f>IF(ISNUMBER(SEARCH("Y",AB516)),"QC","")</f>
        <v/>
      </c>
      <c r="BC516" s="90" t="str">
        <f>IF(ISNUMBER(SEARCH("Y",Z516)),"S","")</f>
        <v/>
      </c>
      <c r="BD516" s="90"/>
      <c r="BE516" s="24" t="s">
        <v>119</v>
      </c>
      <c r="BF516" s="125" t="str">
        <f>IF(AND(AW516&gt;=56543,AW516&lt;=76543,LEN(AW516)&gt;0),"3 Feb 2020",IF(AND(AW516&gt;=66544,AW516&lt;=99999,LEN(AW516)&gt;0),"12 Sep 2020",""))</f>
        <v/>
      </c>
      <c r="BG516" s="125" t="str">
        <f>IF((AND(BF516="3 Feb 2020",LEN(BF516)&gt;0)),"Completed",IF((AND(BF516="12 Sep 2020",LEN(BF516)&gt;0)),"Pending",""))</f>
        <v/>
      </c>
      <c r="BH516" s="90" t="str">
        <f>IF((AND(BF516="3 Feb 2020",LEN(BF516)&gt;0)),"3 Feb 2020","")</f>
        <v/>
      </c>
      <c r="BI516" s="90">
        <v>228286</v>
      </c>
      <c r="BJ516" s="90" t="str">
        <f>L516</f>
        <v>9C42FS844309-95</v>
      </c>
      <c r="BK516" s="127">
        <v>43508</v>
      </c>
      <c r="BL516" s="127">
        <v>44239</v>
      </c>
      <c r="BM516" s="128">
        <f>P516*1.1</f>
        <v>3013494.0000000005</v>
      </c>
      <c r="BN516" s="129">
        <f>P516*0.9</f>
        <v>2465586</v>
      </c>
      <c r="BO516" s="130">
        <f>P516*0.8</f>
        <v>2191632</v>
      </c>
      <c r="BP516" s="90">
        <f>IF(Z516="Y",BM516*0.4,BM516*1.05)</f>
        <v>3164168.7000000007</v>
      </c>
      <c r="BQ516" s="90">
        <f>BP516*0.8</f>
        <v>2531334.9600000009</v>
      </c>
      <c r="BR516" s="90" t="str">
        <f>IF(ISNUMBER(SEARCH("subrecipient",AI512)),P516*0.6,"")</f>
        <v/>
      </c>
      <c r="BS516" s="90">
        <v>228286</v>
      </c>
      <c r="BT516" s="90" t="str">
        <f>BJ516</f>
        <v>9C42FS844309-95</v>
      </c>
      <c r="BU516" s="127">
        <f>BK516</f>
        <v>43508</v>
      </c>
      <c r="BV516" s="127">
        <f>BL516</f>
        <v>44239</v>
      </c>
      <c r="BW516" s="90" t="str">
        <f>H516</f>
        <v>CDC</v>
      </c>
      <c r="BX516" s="90" t="str">
        <f>IF(H516="NATIONAL HEMOPHILIA FOUNDATION","Non Federal","Federal")</f>
        <v>Federal</v>
      </c>
      <c r="BY516" s="128">
        <f>BM516</f>
        <v>3013494.0000000005</v>
      </c>
      <c r="BZ516" s="90" t="str">
        <f>IF(LEN(BR516)&gt;0,1,"")</f>
        <v/>
      </c>
      <c r="CA516" s="90" t="str">
        <f>IF(LEN(BR516)&gt;0,"VIRAL HEPATITIS PROJECT","")</f>
        <v/>
      </c>
      <c r="CB516" s="129" t="str">
        <f>IF(LEN(BR516)&gt;0,BM516*0.7,"")</f>
        <v/>
      </c>
      <c r="CC516" s="90">
        <f>BP516</f>
        <v>3164168.7000000007</v>
      </c>
      <c r="CD516" s="90" t="str">
        <f>IF(LEN(BR516)&gt;0,"70%","")</f>
        <v/>
      </c>
      <c r="CE516" s="90">
        <f>BS516</f>
        <v>228286</v>
      </c>
      <c r="CF516" s="90" t="str">
        <f>CA516</f>
        <v/>
      </c>
      <c r="CG516" s="90"/>
      <c r="CH516" s="90"/>
      <c r="CI516" s="90"/>
      <c r="CJ516" s="90"/>
      <c r="CK516" s="90"/>
      <c r="CL516" s="90"/>
      <c r="CM516" s="90"/>
      <c r="CN516" s="90"/>
      <c r="CO516" s="90"/>
      <c r="CP516" s="90"/>
      <c r="CQ516" s="90"/>
      <c r="CR516" s="90"/>
      <c r="CS516" s="90"/>
      <c r="CT516" s="137"/>
    </row>
    <row r="517" spans="1:98" ht="105">
      <c r="A517" s="89">
        <v>228286</v>
      </c>
      <c r="B517" s="90">
        <v>2020</v>
      </c>
      <c r="C517" s="90" t="s">
        <v>81</v>
      </c>
      <c r="D517" s="90" t="s">
        <v>1419</v>
      </c>
      <c r="E517" s="125" t="s">
        <v>784</v>
      </c>
      <c r="F517" s="24" t="s">
        <v>1420</v>
      </c>
      <c r="G517" s="90" t="s">
        <v>85</v>
      </c>
      <c r="H517" s="90" t="s">
        <v>86</v>
      </c>
      <c r="I517" s="90">
        <v>93</v>
      </c>
      <c r="J517" s="90">
        <v>157</v>
      </c>
      <c r="K517" s="90" t="s">
        <v>85</v>
      </c>
      <c r="L517" s="90" t="s">
        <v>1421</v>
      </c>
      <c r="M517" s="90" t="s">
        <v>119</v>
      </c>
      <c r="N517" s="24" t="s">
        <v>1422</v>
      </c>
      <c r="O517" s="24" t="str">
        <f>IF(ISNUMBER(SEARCH("Cancer",N517)),"Cancer",IF(ISNUMBER(SEARCH("health",N517)),"Public health",IF(ISNUMBER(SEARCH("disabilities",N517)),"Disabilities","Other")))</f>
        <v>Other</v>
      </c>
      <c r="P517" s="126">
        <v>2739540</v>
      </c>
      <c r="Q517" s="90" t="s">
        <v>85</v>
      </c>
      <c r="R517" s="90" t="str">
        <f>IF(P517&gt;20000000,"B","A")</f>
        <v>A</v>
      </c>
      <c r="S517" s="90" t="s">
        <v>90</v>
      </c>
      <c r="T517" s="90" t="s">
        <v>119</v>
      </c>
      <c r="U517" s="90" t="s">
        <v>119</v>
      </c>
      <c r="V517" s="90" t="s">
        <v>119</v>
      </c>
      <c r="W517" s="90" t="s">
        <v>119</v>
      </c>
      <c r="X517" s="90" t="s">
        <v>119</v>
      </c>
      <c r="Y517" s="90" t="s">
        <v>119</v>
      </c>
      <c r="Z517" s="90" t="s">
        <v>119</v>
      </c>
      <c r="AA517" s="90" t="s">
        <v>119</v>
      </c>
      <c r="AB517" s="90" t="s">
        <v>119</v>
      </c>
      <c r="AC517" s="90" t="s">
        <v>119</v>
      </c>
      <c r="AD517" s="90" t="s">
        <v>119</v>
      </c>
      <c r="AE517" s="24">
        <v>0</v>
      </c>
      <c r="AF517" s="90">
        <v>0</v>
      </c>
      <c r="AG517" s="24">
        <v>0</v>
      </c>
      <c r="AH517" s="90">
        <v>88257</v>
      </c>
      <c r="AI517" s="24" t="s">
        <v>110</v>
      </c>
      <c r="AJ517" s="24" t="s">
        <v>1423</v>
      </c>
      <c r="AK517" s="90" t="s">
        <v>85</v>
      </c>
      <c r="AL517" s="90">
        <v>228286</v>
      </c>
      <c r="AM517" s="90" t="s">
        <v>81</v>
      </c>
      <c r="AN517" s="90" t="s">
        <v>1419</v>
      </c>
      <c r="AO517" s="125" t="s">
        <v>784</v>
      </c>
      <c r="AP517" s="24" t="s">
        <v>1422</v>
      </c>
      <c r="AQ517" s="90" t="s">
        <v>1421</v>
      </c>
      <c r="AR517" s="24" t="s">
        <v>1422</v>
      </c>
      <c r="AS517" s="90" t="s">
        <v>119</v>
      </c>
      <c r="AT517" s="24" t="s">
        <v>110</v>
      </c>
      <c r="AU517" s="90" t="s">
        <v>119</v>
      </c>
      <c r="AV517" s="90" t="str">
        <f>IF(ISNUMBER(SEARCH("disagree",AE517)),"N","Y")</f>
        <v>Y</v>
      </c>
      <c r="AW517" s="90" t="s">
        <v>119</v>
      </c>
      <c r="AX517" s="24" t="s">
        <v>119</v>
      </c>
      <c r="AY517" s="90" t="str">
        <f>CONCATENATE(AZ517,BA517,BB517,BC517)</f>
        <v/>
      </c>
      <c r="AZ517" s="90" t="str">
        <f>IF(ISNUMBER(SEARCH("Y",AC517)),"R","")</f>
        <v/>
      </c>
      <c r="BA517" s="90" t="str">
        <f>IF(ISNUMBER(SEARCH("Y",Y517)),"M","")</f>
        <v/>
      </c>
      <c r="BB517" s="90" t="str">
        <f>IF(ISNUMBER(SEARCH("Y",AB517)),"QC","")</f>
        <v/>
      </c>
      <c r="BC517" s="90" t="str">
        <f>IF(ISNUMBER(SEARCH("Y",Z517)),"S","")</f>
        <v/>
      </c>
      <c r="BD517" s="90"/>
      <c r="BE517" s="24" t="s">
        <v>119</v>
      </c>
      <c r="BF517" s="125" t="str">
        <f>IF(AND(AW517&gt;=56543,AW517&lt;=76543,LEN(AW517)&gt;0),"3 Feb 2020",IF(AND(AW517&gt;=66544,AW517&lt;=99999,LEN(AW517)&gt;0),"12 Sep 2020",""))</f>
        <v/>
      </c>
      <c r="BG517" s="125" t="str">
        <f>IF((AND(BF517="3 Feb 2020",LEN(BF517)&gt;0)),"Completed",IF((AND(BF517="12 Sep 2020",LEN(BF517)&gt;0)),"Pending",""))</f>
        <v/>
      </c>
      <c r="BH517" s="90" t="str">
        <f>IF((AND(BF517="3 Feb 2020",LEN(BF517)&gt;0)),"3 Feb 2020","")</f>
        <v/>
      </c>
      <c r="BI517" s="90">
        <v>228286</v>
      </c>
      <c r="BJ517" s="90" t="str">
        <f>L517</f>
        <v>9C42FS844309-95</v>
      </c>
      <c r="BK517" s="127">
        <v>43508</v>
      </c>
      <c r="BL517" s="127">
        <v>44239</v>
      </c>
      <c r="BM517" s="128">
        <f>P517*1.1</f>
        <v>3013494.0000000005</v>
      </c>
      <c r="BN517" s="129">
        <f>P517*0.9</f>
        <v>2465586</v>
      </c>
      <c r="BO517" s="130">
        <f>P517*0.8</f>
        <v>2191632</v>
      </c>
      <c r="BP517" s="90">
        <f>IF(Z517="Y",BM517*0.4,BM517*1.05)</f>
        <v>3164168.7000000007</v>
      </c>
      <c r="BQ517" s="90">
        <f>BP517*0.8</f>
        <v>2531334.9600000009</v>
      </c>
      <c r="BR517" s="90" t="str">
        <f>IF(ISNUMBER(SEARCH("subrecipient",AI513)),P517*0.6,"")</f>
        <v/>
      </c>
      <c r="BS517" s="90">
        <v>228286</v>
      </c>
      <c r="BT517" s="90" t="str">
        <f>BJ517</f>
        <v>9C42FS844309-95</v>
      </c>
      <c r="BU517" s="127">
        <f>BK517</f>
        <v>43508</v>
      </c>
      <c r="BV517" s="127">
        <f>BL517</f>
        <v>44239</v>
      </c>
      <c r="BW517" s="90" t="str">
        <f>H517</f>
        <v>CDC</v>
      </c>
      <c r="BX517" s="90" t="str">
        <f>IF(H517="NATIONAL HEMOPHILIA FOUNDATION","Non Federal","Federal")</f>
        <v>Federal</v>
      </c>
      <c r="BY517" s="128">
        <f>BM517</f>
        <v>3013494.0000000005</v>
      </c>
      <c r="BZ517" s="90" t="str">
        <f>IF(LEN(BR517)&gt;0,1,"")</f>
        <v/>
      </c>
      <c r="CA517" s="90" t="str">
        <f>IF(LEN(BR517)&gt;0,"VIRAL HEPATITIS PROJECT","")</f>
        <v/>
      </c>
      <c r="CB517" s="129" t="str">
        <f>IF(LEN(BR517)&gt;0,BM517*0.7,"")</f>
        <v/>
      </c>
      <c r="CC517" s="90">
        <f>BP517</f>
        <v>3164168.7000000007</v>
      </c>
      <c r="CD517" s="90" t="str">
        <f>IF(LEN(BR517)&gt;0,"70%","")</f>
        <v/>
      </c>
      <c r="CE517" s="90">
        <f>BS517</f>
        <v>228286</v>
      </c>
      <c r="CF517" s="90" t="str">
        <f>CA517</f>
        <v/>
      </c>
      <c r="CG517" s="90"/>
      <c r="CH517" s="90"/>
      <c r="CI517" s="90"/>
      <c r="CJ517" s="90"/>
      <c r="CK517" s="90"/>
      <c r="CL517" s="90"/>
      <c r="CM517" s="90"/>
      <c r="CN517" s="90"/>
      <c r="CO517" s="90"/>
      <c r="CP517" s="90"/>
      <c r="CQ517" s="90"/>
      <c r="CR517" s="90"/>
      <c r="CS517" s="90"/>
      <c r="CT517" s="137"/>
    </row>
    <row r="518" spans="1:98" ht="135">
      <c r="A518" s="89">
        <v>228390</v>
      </c>
      <c r="B518" s="90">
        <v>2020</v>
      </c>
      <c r="C518" s="90" t="s">
        <v>81</v>
      </c>
      <c r="D518" s="90" t="s">
        <v>1424</v>
      </c>
      <c r="E518" s="125" t="s">
        <v>790</v>
      </c>
      <c r="F518" s="24" t="s">
        <v>1425</v>
      </c>
      <c r="G518" s="90" t="s">
        <v>85</v>
      </c>
      <c r="H518" s="90" t="s">
        <v>117</v>
      </c>
      <c r="I518" s="90">
        <v>93</v>
      </c>
      <c r="J518" s="90">
        <v>157</v>
      </c>
      <c r="K518" s="90" t="s">
        <v>85</v>
      </c>
      <c r="L518" s="90" t="s">
        <v>1426</v>
      </c>
      <c r="M518" s="90" t="s">
        <v>119</v>
      </c>
      <c r="N518" s="24" t="s">
        <v>1427</v>
      </c>
      <c r="O518" s="24" t="str">
        <f>IF(ISNUMBER(SEARCH("Cancer",N518)),"Cancer",IF(ISNUMBER(SEARCH("health",N518)),"Public health",IF(ISNUMBER(SEARCH("disabilities",N518)),"Disabilities","Other")))</f>
        <v>Public health</v>
      </c>
      <c r="P518" s="126">
        <v>2517360</v>
      </c>
      <c r="Q518" s="90" t="s">
        <v>85</v>
      </c>
      <c r="R518" s="90" t="str">
        <f>IF(P518&gt;20000000,"B","A")</f>
        <v>A</v>
      </c>
      <c r="S518" s="90" t="s">
        <v>90</v>
      </c>
      <c r="T518" s="90" t="s">
        <v>119</v>
      </c>
      <c r="U518" s="90" t="s">
        <v>119</v>
      </c>
      <c r="V518" s="90" t="s">
        <v>119</v>
      </c>
      <c r="W518" s="90" t="s">
        <v>119</v>
      </c>
      <c r="X518" s="90" t="s">
        <v>119</v>
      </c>
      <c r="Y518" s="90" t="s">
        <v>119</v>
      </c>
      <c r="Z518" s="90" t="s">
        <v>119</v>
      </c>
      <c r="AA518" s="90" t="s">
        <v>119</v>
      </c>
      <c r="AB518" s="90" t="s">
        <v>119</v>
      </c>
      <c r="AC518" s="90" t="s">
        <v>119</v>
      </c>
      <c r="AD518" s="90" t="s">
        <v>119</v>
      </c>
      <c r="AE518" s="24">
        <v>0</v>
      </c>
      <c r="AF518" s="90">
        <v>0</v>
      </c>
      <c r="AG518" s="24">
        <v>0</v>
      </c>
      <c r="AH518" s="90">
        <v>90732</v>
      </c>
      <c r="AI518" s="24" t="s">
        <v>94</v>
      </c>
      <c r="AJ518" s="24" t="s">
        <v>1428</v>
      </c>
      <c r="AK518" s="90" t="s">
        <v>85</v>
      </c>
      <c r="AL518" s="90">
        <v>228390</v>
      </c>
      <c r="AM518" s="90" t="s">
        <v>81</v>
      </c>
      <c r="AN518" s="90" t="s">
        <v>1424</v>
      </c>
      <c r="AO518" s="125" t="s">
        <v>790</v>
      </c>
      <c r="AP518" s="24" t="s">
        <v>1427</v>
      </c>
      <c r="AQ518" s="90" t="s">
        <v>1426</v>
      </c>
      <c r="AR518" s="24" t="s">
        <v>1427</v>
      </c>
      <c r="AS518" s="90" t="s">
        <v>119</v>
      </c>
      <c r="AT518" s="24" t="s">
        <v>94</v>
      </c>
      <c r="AU518" s="90" t="s">
        <v>119</v>
      </c>
      <c r="AV518" s="90" t="str">
        <f>IF(ISNUMBER(SEARCH("disagree",AE518)),"N","Y")</f>
        <v>Y</v>
      </c>
      <c r="AW518" s="90" t="s">
        <v>119</v>
      </c>
      <c r="AX518" s="24" t="s">
        <v>119</v>
      </c>
      <c r="AY518" s="90" t="str">
        <f>CONCATENATE(AZ518,BA518,BB518,BC518)</f>
        <v/>
      </c>
      <c r="AZ518" s="90" t="str">
        <f>IF(ISNUMBER(SEARCH("Y",AC518)),"R","")</f>
        <v/>
      </c>
      <c r="BA518" s="90" t="str">
        <f>IF(ISNUMBER(SEARCH("Y",Y518)),"M","")</f>
        <v/>
      </c>
      <c r="BB518" s="90" t="str">
        <f>IF(ISNUMBER(SEARCH("Y",AB518)),"QC","")</f>
        <v/>
      </c>
      <c r="BC518" s="90" t="str">
        <f>IF(ISNUMBER(SEARCH("Y",Z518)),"S","")</f>
        <v/>
      </c>
      <c r="BD518" s="90"/>
      <c r="BE518" s="24" t="s">
        <v>119</v>
      </c>
      <c r="BF518" s="125" t="str">
        <f>IF(AND(AW518&gt;=56543,AW518&lt;=76543,LEN(AW518)&gt;0),"3 Feb 2020",IF(AND(AW518&gt;=66544,AW518&lt;=99999,LEN(AW518)&gt;0),"12 Sep 2020",""))</f>
        <v/>
      </c>
      <c r="BG518" s="125" t="str">
        <f>IF((AND(BF518="3 Feb 2020",LEN(BF518)&gt;0)),"Completed",IF((AND(BF518="12 Sep 2020",LEN(BF518)&gt;0)),"Pending",""))</f>
        <v/>
      </c>
      <c r="BH518" s="90" t="str">
        <f>IF((AND(BF518="3 Feb 2020",LEN(BF518)&gt;0)),"3 Feb 2020","")</f>
        <v/>
      </c>
      <c r="BI518" s="90">
        <v>228390</v>
      </c>
      <c r="BJ518" s="90" t="str">
        <f>L518</f>
        <v>2C58FS844309-12</v>
      </c>
      <c r="BK518" s="127">
        <v>43508</v>
      </c>
      <c r="BL518" s="127">
        <v>44239</v>
      </c>
      <c r="BM518" s="128">
        <f>P518*1.1</f>
        <v>2769096</v>
      </c>
      <c r="BN518" s="129">
        <f>P518*0.9</f>
        <v>2265624</v>
      </c>
      <c r="BO518" s="130">
        <f>P518*0.8</f>
        <v>2013888</v>
      </c>
      <c r="BP518" s="90">
        <f>IF(Z518="Y",BM518*0.4,BM518*1.05)</f>
        <v>2907550.8000000003</v>
      </c>
      <c r="BQ518" s="90">
        <f>BP518*0.8</f>
        <v>2326040.64</v>
      </c>
      <c r="BR518" s="90" t="str">
        <f>IF(ISNUMBER(SEARCH("subrecipient",AI514)),P518*0.6,"")</f>
        <v/>
      </c>
      <c r="BS518" s="90">
        <v>228390</v>
      </c>
      <c r="BT518" s="90" t="str">
        <f>BJ518</f>
        <v>2C58FS844309-12</v>
      </c>
      <c r="BU518" s="127">
        <f>BK518</f>
        <v>43508</v>
      </c>
      <c r="BV518" s="127">
        <f>BL518</f>
        <v>44239</v>
      </c>
      <c r="BW518" s="90" t="str">
        <f>H518</f>
        <v>NIH</v>
      </c>
      <c r="BX518" s="90" t="str">
        <f>IF(H518="NATIONAL HEMOPHILIA FOUNDATION","Non Federal","Federal")</f>
        <v>Federal</v>
      </c>
      <c r="BY518" s="128">
        <f>BM518</f>
        <v>2769096</v>
      </c>
      <c r="BZ518" s="90" t="str">
        <f>IF(LEN(BR518)&gt;0,1,"")</f>
        <v/>
      </c>
      <c r="CA518" s="90" t="str">
        <f>IF(LEN(BR518)&gt;0,"VIRAL HEPATITIS PROJECT","")</f>
        <v/>
      </c>
      <c r="CB518" s="129" t="str">
        <f>IF(LEN(BR518)&gt;0,BM518*0.7,"")</f>
        <v/>
      </c>
      <c r="CC518" s="90">
        <f>BP518</f>
        <v>2907550.8000000003</v>
      </c>
      <c r="CD518" s="90" t="str">
        <f>IF(LEN(BR518)&gt;0,"70%","")</f>
        <v/>
      </c>
      <c r="CE518" s="90">
        <f>BS518</f>
        <v>228390</v>
      </c>
      <c r="CF518" s="90" t="str">
        <f>CA518</f>
        <v/>
      </c>
      <c r="CG518" s="90"/>
      <c r="CH518" s="90"/>
      <c r="CI518" s="90"/>
      <c r="CJ518" s="90"/>
      <c r="CK518" s="90"/>
      <c r="CL518" s="90"/>
      <c r="CM518" s="90"/>
      <c r="CN518" s="90"/>
      <c r="CO518" s="90"/>
      <c r="CP518" s="90"/>
      <c r="CQ518" s="90"/>
      <c r="CR518" s="90"/>
      <c r="CS518" s="90"/>
      <c r="CT518" s="137"/>
    </row>
    <row r="519" spans="1:98" ht="90">
      <c r="A519" s="89">
        <v>228390</v>
      </c>
      <c r="B519" s="90">
        <v>2020</v>
      </c>
      <c r="C519" s="90" t="s">
        <v>81</v>
      </c>
      <c r="D519" s="90" t="s">
        <v>1424</v>
      </c>
      <c r="E519" s="125" t="s">
        <v>791</v>
      </c>
      <c r="F519" s="24" t="s">
        <v>1425</v>
      </c>
      <c r="G519" s="90" t="s">
        <v>85</v>
      </c>
      <c r="H519" s="90" t="s">
        <v>117</v>
      </c>
      <c r="I519" s="90">
        <v>93</v>
      </c>
      <c r="J519" s="90">
        <v>157</v>
      </c>
      <c r="K519" s="90" t="s">
        <v>85</v>
      </c>
      <c r="L519" s="90" t="s">
        <v>1426</v>
      </c>
      <c r="M519" s="90" t="s">
        <v>119</v>
      </c>
      <c r="N519" s="24" t="s">
        <v>1427</v>
      </c>
      <c r="O519" s="24" t="str">
        <f>IF(ISNUMBER(SEARCH("Cancer",N519)),"Cancer",IF(ISNUMBER(SEARCH("health",N519)),"Public health",IF(ISNUMBER(SEARCH("disabilities",N519)),"Disabilities","Other")))</f>
        <v>Public health</v>
      </c>
      <c r="P519" s="126">
        <v>2517360</v>
      </c>
      <c r="Q519" s="90" t="s">
        <v>85</v>
      </c>
      <c r="R519" s="90" t="str">
        <f>IF(P519&gt;20000000,"B","A")</f>
        <v>A</v>
      </c>
      <c r="S519" s="90" t="s">
        <v>90</v>
      </c>
      <c r="T519" s="90" t="s">
        <v>119</v>
      </c>
      <c r="U519" s="90" t="s">
        <v>119</v>
      </c>
      <c r="V519" s="90" t="s">
        <v>119</v>
      </c>
      <c r="W519" s="90" t="s">
        <v>119</v>
      </c>
      <c r="X519" s="90" t="s">
        <v>119</v>
      </c>
      <c r="Y519" s="90" t="s">
        <v>119</v>
      </c>
      <c r="Z519" s="90" t="s">
        <v>119</v>
      </c>
      <c r="AA519" s="90" t="s">
        <v>119</v>
      </c>
      <c r="AB519" s="90" t="s">
        <v>119</v>
      </c>
      <c r="AC519" s="90" t="s">
        <v>119</v>
      </c>
      <c r="AD519" s="90" t="s">
        <v>119</v>
      </c>
      <c r="AE519" s="24">
        <v>0</v>
      </c>
      <c r="AF519" s="90">
        <v>0</v>
      </c>
      <c r="AG519" s="24">
        <v>0</v>
      </c>
      <c r="AH519" s="90">
        <v>90731</v>
      </c>
      <c r="AI519" s="24" t="s">
        <v>102</v>
      </c>
      <c r="AJ519" s="24" t="s">
        <v>1429</v>
      </c>
      <c r="AK519" s="90" t="s">
        <v>85</v>
      </c>
      <c r="AL519" s="90">
        <v>228390</v>
      </c>
      <c r="AM519" s="90" t="s">
        <v>81</v>
      </c>
      <c r="AN519" s="90" t="s">
        <v>1424</v>
      </c>
      <c r="AO519" s="125" t="s">
        <v>791</v>
      </c>
      <c r="AP519" s="24" t="s">
        <v>1427</v>
      </c>
      <c r="AQ519" s="90" t="s">
        <v>1426</v>
      </c>
      <c r="AR519" s="24" t="s">
        <v>1427</v>
      </c>
      <c r="AS519" s="90" t="s">
        <v>119</v>
      </c>
      <c r="AT519" s="24" t="s">
        <v>102</v>
      </c>
      <c r="AU519" s="90" t="s">
        <v>119</v>
      </c>
      <c r="AV519" s="90" t="str">
        <f>IF(ISNUMBER(SEARCH("disagree",AE519)),"N","Y")</f>
        <v>Y</v>
      </c>
      <c r="AW519" s="90" t="s">
        <v>119</v>
      </c>
      <c r="AX519" s="24" t="s">
        <v>119</v>
      </c>
      <c r="AY519" s="90" t="str">
        <f>CONCATENATE(AZ519,BA519,BB519,BC519)</f>
        <v/>
      </c>
      <c r="AZ519" s="90" t="str">
        <f>IF(ISNUMBER(SEARCH("Y",AC519)),"R","")</f>
        <v/>
      </c>
      <c r="BA519" s="90" t="str">
        <f>IF(ISNUMBER(SEARCH("Y",Y519)),"M","")</f>
        <v/>
      </c>
      <c r="BB519" s="90" t="str">
        <f>IF(ISNUMBER(SEARCH("Y",AB519)),"QC","")</f>
        <v/>
      </c>
      <c r="BC519" s="90" t="str">
        <f>IF(ISNUMBER(SEARCH("Y",Z519)),"S","")</f>
        <v/>
      </c>
      <c r="BD519" s="90"/>
      <c r="BE519" s="24" t="s">
        <v>119</v>
      </c>
      <c r="BF519" s="125" t="str">
        <f>IF(AND(AW519&gt;=56543,AW519&lt;=76543,LEN(AW519)&gt;0),"3 Feb 2020",IF(AND(AW519&gt;=66544,AW519&lt;=99999,LEN(AW519)&gt;0),"12 Sep 2020",""))</f>
        <v/>
      </c>
      <c r="BG519" s="125" t="str">
        <f>IF((AND(BF519="3 Feb 2020",LEN(BF519)&gt;0)),"Completed",IF((AND(BF519="12 Sep 2020",LEN(BF519)&gt;0)),"Pending",""))</f>
        <v/>
      </c>
      <c r="BH519" s="90" t="str">
        <f>IF((AND(BF519="3 Feb 2020",LEN(BF519)&gt;0)),"3 Feb 2020","")</f>
        <v/>
      </c>
      <c r="BI519" s="90">
        <v>228390</v>
      </c>
      <c r="BJ519" s="90" t="str">
        <f>L519</f>
        <v>2C58FS844309-12</v>
      </c>
      <c r="BK519" s="127">
        <v>43508</v>
      </c>
      <c r="BL519" s="127">
        <v>44239</v>
      </c>
      <c r="BM519" s="128">
        <f>P519*1.1</f>
        <v>2769096</v>
      </c>
      <c r="BN519" s="129">
        <f>P519*0.9</f>
        <v>2265624</v>
      </c>
      <c r="BO519" s="130">
        <f>P519*0.8</f>
        <v>2013888</v>
      </c>
      <c r="BP519" s="90">
        <f>IF(Z519="Y",BM519*0.4,BM519*1.05)</f>
        <v>2907550.8000000003</v>
      </c>
      <c r="BQ519" s="90">
        <f>BP519*0.8</f>
        <v>2326040.64</v>
      </c>
      <c r="BR519" s="90" t="str">
        <f>IF(ISNUMBER(SEARCH("subrecipient",AI515)),P519*0.6,"")</f>
        <v/>
      </c>
      <c r="BS519" s="90">
        <v>228390</v>
      </c>
      <c r="BT519" s="90" t="str">
        <f>BJ519</f>
        <v>2C58FS844309-12</v>
      </c>
      <c r="BU519" s="127">
        <f>BK519</f>
        <v>43508</v>
      </c>
      <c r="BV519" s="127">
        <f>BL519</f>
        <v>44239</v>
      </c>
      <c r="BW519" s="90" t="str">
        <f>H519</f>
        <v>NIH</v>
      </c>
      <c r="BX519" s="90" t="str">
        <f>IF(H519="NATIONAL HEMOPHILIA FOUNDATION","Non Federal","Federal")</f>
        <v>Federal</v>
      </c>
      <c r="BY519" s="128">
        <f>BM519</f>
        <v>2769096</v>
      </c>
      <c r="BZ519" s="90" t="str">
        <f>IF(LEN(BR519)&gt;0,1,"")</f>
        <v/>
      </c>
      <c r="CA519" s="90" t="str">
        <f>IF(LEN(BR519)&gt;0,"VIRAL HEPATITIS PROJECT","")</f>
        <v/>
      </c>
      <c r="CB519" s="129" t="str">
        <f>IF(LEN(BR519)&gt;0,BM519*0.7,"")</f>
        <v/>
      </c>
      <c r="CC519" s="90">
        <f>BP519</f>
        <v>2907550.8000000003</v>
      </c>
      <c r="CD519" s="90" t="str">
        <f>IF(LEN(BR519)&gt;0,"70%","")</f>
        <v/>
      </c>
      <c r="CE519" s="90">
        <f>BS519</f>
        <v>228390</v>
      </c>
      <c r="CF519" s="90" t="str">
        <f>CA519</f>
        <v/>
      </c>
      <c r="CG519" s="90"/>
      <c r="CH519" s="90"/>
      <c r="CI519" s="90"/>
      <c r="CJ519" s="90"/>
      <c r="CK519" s="90"/>
      <c r="CL519" s="90"/>
      <c r="CM519" s="90"/>
      <c r="CN519" s="90"/>
      <c r="CO519" s="90"/>
      <c r="CP519" s="90"/>
      <c r="CQ519" s="90"/>
      <c r="CR519" s="90"/>
      <c r="CS519" s="90"/>
      <c r="CT519" s="137"/>
    </row>
    <row r="520" spans="1:98" ht="90">
      <c r="A520" s="89">
        <v>228390</v>
      </c>
      <c r="B520" s="90">
        <v>2020</v>
      </c>
      <c r="C520" s="90" t="s">
        <v>81</v>
      </c>
      <c r="D520" s="90" t="s">
        <v>1424</v>
      </c>
      <c r="E520" s="125" t="s">
        <v>793</v>
      </c>
      <c r="F520" s="24" t="s">
        <v>1425</v>
      </c>
      <c r="G520" s="90" t="s">
        <v>85</v>
      </c>
      <c r="H520" s="90" t="s">
        <v>117</v>
      </c>
      <c r="I520" s="90">
        <v>93</v>
      </c>
      <c r="J520" s="90">
        <v>157</v>
      </c>
      <c r="K520" s="90" t="s">
        <v>85</v>
      </c>
      <c r="L520" s="90" t="s">
        <v>1426</v>
      </c>
      <c r="M520" s="90" t="s">
        <v>119</v>
      </c>
      <c r="N520" s="24" t="s">
        <v>1427</v>
      </c>
      <c r="O520" s="24" t="str">
        <f>IF(ISNUMBER(SEARCH("Cancer",N520)),"Cancer",IF(ISNUMBER(SEARCH("health",N520)),"Public health",IF(ISNUMBER(SEARCH("disabilities",N520)),"Disabilities","Other")))</f>
        <v>Public health</v>
      </c>
      <c r="P520" s="126">
        <v>2517360</v>
      </c>
      <c r="Q520" s="90" t="s">
        <v>85</v>
      </c>
      <c r="R520" s="90" t="str">
        <f>IF(P520&gt;20000000,"B","A")</f>
        <v>A</v>
      </c>
      <c r="S520" s="90" t="s">
        <v>90</v>
      </c>
      <c r="T520" s="90" t="s">
        <v>119</v>
      </c>
      <c r="U520" s="90" t="s">
        <v>119</v>
      </c>
      <c r="V520" s="90" t="s">
        <v>119</v>
      </c>
      <c r="W520" s="90" t="s">
        <v>119</v>
      </c>
      <c r="X520" s="90" t="s">
        <v>119</v>
      </c>
      <c r="Y520" s="90" t="s">
        <v>119</v>
      </c>
      <c r="Z520" s="90" t="s">
        <v>119</v>
      </c>
      <c r="AA520" s="90" t="s">
        <v>119</v>
      </c>
      <c r="AB520" s="90" t="s">
        <v>119</v>
      </c>
      <c r="AC520" s="90" t="s">
        <v>119</v>
      </c>
      <c r="AD520" s="90" t="s">
        <v>119</v>
      </c>
      <c r="AE520" s="24">
        <v>0</v>
      </c>
      <c r="AF520" s="90">
        <v>0</v>
      </c>
      <c r="AG520" s="24">
        <v>0</v>
      </c>
      <c r="AH520" s="90">
        <v>90733</v>
      </c>
      <c r="AI520" s="24" t="s">
        <v>363</v>
      </c>
      <c r="AJ520" s="24" t="s">
        <v>1430</v>
      </c>
      <c r="AK520" s="90" t="s">
        <v>85</v>
      </c>
      <c r="AL520" s="90">
        <v>228390</v>
      </c>
      <c r="AM520" s="90" t="s">
        <v>81</v>
      </c>
      <c r="AN520" s="90" t="s">
        <v>1424</v>
      </c>
      <c r="AO520" s="125" t="s">
        <v>793</v>
      </c>
      <c r="AP520" s="24" t="s">
        <v>1427</v>
      </c>
      <c r="AQ520" s="90" t="s">
        <v>1426</v>
      </c>
      <c r="AR520" s="24" t="s">
        <v>1427</v>
      </c>
      <c r="AS520" s="90" t="s">
        <v>119</v>
      </c>
      <c r="AT520" s="24" t="s">
        <v>363</v>
      </c>
      <c r="AU520" s="90" t="s">
        <v>119</v>
      </c>
      <c r="AV520" s="90" t="str">
        <f>IF(ISNUMBER(SEARCH("disagree",AE520)),"N","Y")</f>
        <v>Y</v>
      </c>
      <c r="AW520" s="90" t="s">
        <v>119</v>
      </c>
      <c r="AX520" s="24" t="s">
        <v>119</v>
      </c>
      <c r="AY520" s="90" t="str">
        <f>CONCATENATE(AZ520,BA520,BB520,BC520)</f>
        <v/>
      </c>
      <c r="AZ520" s="90" t="str">
        <f>IF(ISNUMBER(SEARCH("Y",AC520)),"R","")</f>
        <v/>
      </c>
      <c r="BA520" s="90" t="str">
        <f>IF(ISNUMBER(SEARCH("Y",Y520)),"M","")</f>
        <v/>
      </c>
      <c r="BB520" s="90" t="str">
        <f>IF(ISNUMBER(SEARCH("Y",AB520)),"QC","")</f>
        <v/>
      </c>
      <c r="BC520" s="90" t="str">
        <f>IF(ISNUMBER(SEARCH("Y",Z520)),"S","")</f>
        <v/>
      </c>
      <c r="BD520" s="90"/>
      <c r="BE520" s="24" t="s">
        <v>119</v>
      </c>
      <c r="BF520" s="125" t="str">
        <f>IF(AND(AW520&gt;=56543,AW520&lt;=76543,LEN(AW520)&gt;0),"3 Feb 2020",IF(AND(AW520&gt;=66544,AW520&lt;=99999,LEN(AW520)&gt;0),"12 Sep 2020",""))</f>
        <v/>
      </c>
      <c r="BG520" s="125" t="str">
        <f>IF((AND(BF520="3 Feb 2020",LEN(BF520)&gt;0)),"Completed",IF((AND(BF520="12 Sep 2020",LEN(BF520)&gt;0)),"Pending",""))</f>
        <v/>
      </c>
      <c r="BH520" s="90" t="str">
        <f>IF((AND(BF520="3 Feb 2020",LEN(BF520)&gt;0)),"3 Feb 2020","")</f>
        <v/>
      </c>
      <c r="BI520" s="90">
        <v>228390</v>
      </c>
      <c r="BJ520" s="90" t="str">
        <f>L520</f>
        <v>2C58FS844309-12</v>
      </c>
      <c r="BK520" s="127">
        <v>43508</v>
      </c>
      <c r="BL520" s="127">
        <v>44239</v>
      </c>
      <c r="BM520" s="128">
        <f>P520*1.1</f>
        <v>2769096</v>
      </c>
      <c r="BN520" s="129">
        <f>P520*0.9</f>
        <v>2265624</v>
      </c>
      <c r="BO520" s="130">
        <f>P520*0.8</f>
        <v>2013888</v>
      </c>
      <c r="BP520" s="90">
        <f>IF(Z520="Y",BM520*0.4,BM520*1.05)</f>
        <v>2907550.8000000003</v>
      </c>
      <c r="BQ520" s="90">
        <f>BP520*0.8</f>
        <v>2326040.64</v>
      </c>
      <c r="BR520" s="90" t="str">
        <f>IF(ISNUMBER(SEARCH("subrecipient",AI516)),P520*0.6,"")</f>
        <v/>
      </c>
      <c r="BS520" s="90">
        <v>228390</v>
      </c>
      <c r="BT520" s="90" t="str">
        <f>BJ520</f>
        <v>2C58FS844309-12</v>
      </c>
      <c r="BU520" s="127">
        <f>BK520</f>
        <v>43508</v>
      </c>
      <c r="BV520" s="127">
        <f>BL520</f>
        <v>44239</v>
      </c>
      <c r="BW520" s="90" t="str">
        <f>H520</f>
        <v>NIH</v>
      </c>
      <c r="BX520" s="90" t="str">
        <f>IF(H520="NATIONAL HEMOPHILIA FOUNDATION","Non Federal","Federal")</f>
        <v>Federal</v>
      </c>
      <c r="BY520" s="128">
        <f>BM520</f>
        <v>2769096</v>
      </c>
      <c r="BZ520" s="90" t="str">
        <f>IF(LEN(BR520)&gt;0,1,"")</f>
        <v/>
      </c>
      <c r="CA520" s="90" t="str">
        <f>IF(LEN(BR520)&gt;0,"VIRAL HEPATITIS PROJECT","")</f>
        <v/>
      </c>
      <c r="CB520" s="129" t="str">
        <f>IF(LEN(BR520)&gt;0,BM520*0.7,"")</f>
        <v/>
      </c>
      <c r="CC520" s="90">
        <f>BP520</f>
        <v>2907550.8000000003</v>
      </c>
      <c r="CD520" s="90" t="str">
        <f>IF(LEN(BR520)&gt;0,"70%","")</f>
        <v/>
      </c>
      <c r="CE520" s="90">
        <f>BS520</f>
        <v>228390</v>
      </c>
      <c r="CF520" s="90" t="str">
        <f>CA520</f>
        <v/>
      </c>
      <c r="CG520" s="90"/>
      <c r="CH520" s="90"/>
      <c r="CI520" s="90"/>
      <c r="CJ520" s="90"/>
      <c r="CK520" s="90"/>
      <c r="CL520" s="90"/>
      <c r="CM520" s="90"/>
      <c r="CN520" s="90"/>
      <c r="CO520" s="90"/>
      <c r="CP520" s="90"/>
      <c r="CQ520" s="90"/>
      <c r="CR520" s="90"/>
      <c r="CS520" s="90"/>
      <c r="CT520" s="137"/>
    </row>
    <row r="521" spans="1:98" ht="90">
      <c r="A521" s="89">
        <v>228390</v>
      </c>
      <c r="B521" s="90">
        <v>2020</v>
      </c>
      <c r="C521" s="90" t="s">
        <v>81</v>
      </c>
      <c r="D521" s="90" t="s">
        <v>1424</v>
      </c>
      <c r="E521" s="125" t="s">
        <v>780</v>
      </c>
      <c r="F521" s="24" t="s">
        <v>1425</v>
      </c>
      <c r="G521" s="90" t="s">
        <v>85</v>
      </c>
      <c r="H521" s="90" t="s">
        <v>117</v>
      </c>
      <c r="I521" s="90">
        <v>93</v>
      </c>
      <c r="J521" s="90">
        <v>157</v>
      </c>
      <c r="K521" s="90" t="s">
        <v>85</v>
      </c>
      <c r="L521" s="90" t="s">
        <v>1426</v>
      </c>
      <c r="M521" s="90" t="s">
        <v>119</v>
      </c>
      <c r="N521" s="24" t="s">
        <v>1427</v>
      </c>
      <c r="O521" s="24" t="str">
        <f>IF(ISNUMBER(SEARCH("Cancer",N521)),"Cancer",IF(ISNUMBER(SEARCH("health",N521)),"Public health",IF(ISNUMBER(SEARCH("disabilities",N521)),"Disabilities","Other")))</f>
        <v>Public health</v>
      </c>
      <c r="P521" s="126">
        <v>2517360</v>
      </c>
      <c r="Q521" s="90" t="s">
        <v>85</v>
      </c>
      <c r="R521" s="90" t="str">
        <f>IF(P521&gt;20000000,"B","A")</f>
        <v>A</v>
      </c>
      <c r="S521" s="90" t="s">
        <v>90</v>
      </c>
      <c r="T521" s="90" t="s">
        <v>119</v>
      </c>
      <c r="U521" s="90" t="s">
        <v>119</v>
      </c>
      <c r="V521" s="90" t="s">
        <v>119</v>
      </c>
      <c r="W521" s="90" t="s">
        <v>119</v>
      </c>
      <c r="X521" s="90" t="s">
        <v>119</v>
      </c>
      <c r="Y521" s="90" t="s">
        <v>119</v>
      </c>
      <c r="Z521" s="90" t="s">
        <v>119</v>
      </c>
      <c r="AA521" s="90" t="s">
        <v>119</v>
      </c>
      <c r="AB521" s="90" t="s">
        <v>119</v>
      </c>
      <c r="AC521" s="90" t="s">
        <v>119</v>
      </c>
      <c r="AD521" s="90" t="s">
        <v>119</v>
      </c>
      <c r="AE521" s="24">
        <v>0</v>
      </c>
      <c r="AF521" s="90">
        <v>0</v>
      </c>
      <c r="AG521" s="24">
        <v>0</v>
      </c>
      <c r="AH521" s="90">
        <v>90735</v>
      </c>
      <c r="AI521" s="24" t="s">
        <v>1431</v>
      </c>
      <c r="AJ521" s="24" t="s">
        <v>1432</v>
      </c>
      <c r="AK521" s="90" t="s">
        <v>85</v>
      </c>
      <c r="AL521" s="90">
        <v>228390</v>
      </c>
      <c r="AM521" s="90" t="s">
        <v>81</v>
      </c>
      <c r="AN521" s="90" t="s">
        <v>1424</v>
      </c>
      <c r="AO521" s="125" t="s">
        <v>780</v>
      </c>
      <c r="AP521" s="24" t="s">
        <v>1427</v>
      </c>
      <c r="AQ521" s="90" t="s">
        <v>1426</v>
      </c>
      <c r="AR521" s="24" t="s">
        <v>1427</v>
      </c>
      <c r="AS521" s="90" t="s">
        <v>119</v>
      </c>
      <c r="AT521" s="24" t="s">
        <v>1431</v>
      </c>
      <c r="AU521" s="90" t="s">
        <v>119</v>
      </c>
      <c r="AV521" s="90" t="str">
        <f>IF(ISNUMBER(SEARCH("disagree",AE521)),"N","Y")</f>
        <v>Y</v>
      </c>
      <c r="AW521" s="90" t="s">
        <v>119</v>
      </c>
      <c r="AX521" s="24" t="s">
        <v>119</v>
      </c>
      <c r="AY521" s="90" t="str">
        <f>CONCATENATE(AZ521,BA521,BB521,BC521)</f>
        <v/>
      </c>
      <c r="AZ521" s="90" t="str">
        <f>IF(ISNUMBER(SEARCH("Y",AC521)),"R","")</f>
        <v/>
      </c>
      <c r="BA521" s="90" t="str">
        <f>IF(ISNUMBER(SEARCH("Y",Y521)),"M","")</f>
        <v/>
      </c>
      <c r="BB521" s="90" t="str">
        <f>IF(ISNUMBER(SEARCH("Y",AB521)),"QC","")</f>
        <v/>
      </c>
      <c r="BC521" s="90" t="str">
        <f>IF(ISNUMBER(SEARCH("Y",Z521)),"S","")</f>
        <v/>
      </c>
      <c r="BD521" s="90"/>
      <c r="BE521" s="24" t="s">
        <v>119</v>
      </c>
      <c r="BF521" s="125" t="str">
        <f>IF(AND(AW521&gt;=56543,AW521&lt;=76543,LEN(AW521)&gt;0),"3 Feb 2020",IF(AND(AW521&gt;=66544,AW521&lt;=99999,LEN(AW521)&gt;0),"12 Sep 2020",""))</f>
        <v/>
      </c>
      <c r="BG521" s="125" t="str">
        <f>IF((AND(BF521="3 Feb 2020",LEN(BF521)&gt;0)),"Completed",IF((AND(BF521="12 Sep 2020",LEN(BF521)&gt;0)),"Pending",""))</f>
        <v/>
      </c>
      <c r="BH521" s="90" t="str">
        <f>IF((AND(BF521="3 Feb 2020",LEN(BF521)&gt;0)),"3 Feb 2020","")</f>
        <v/>
      </c>
      <c r="BI521" s="90">
        <v>228390</v>
      </c>
      <c r="BJ521" s="90" t="str">
        <f>L521</f>
        <v>2C58FS844309-12</v>
      </c>
      <c r="BK521" s="127">
        <v>43508</v>
      </c>
      <c r="BL521" s="127">
        <v>44239</v>
      </c>
      <c r="BM521" s="128">
        <f>P521*1.1</f>
        <v>2769096</v>
      </c>
      <c r="BN521" s="129">
        <f>P521*0.9</f>
        <v>2265624</v>
      </c>
      <c r="BO521" s="130">
        <f>P521*0.8</f>
        <v>2013888</v>
      </c>
      <c r="BP521" s="90">
        <f>IF(Z521="Y",BM521*0.4,BM521*1.05)</f>
        <v>2907550.8000000003</v>
      </c>
      <c r="BQ521" s="90">
        <f>BP521*0.8</f>
        <v>2326040.64</v>
      </c>
      <c r="BR521" s="90" t="str">
        <f>IF(ISNUMBER(SEARCH("subrecipient",AI517)),P521*0.6,"")</f>
        <v/>
      </c>
      <c r="BS521" s="90">
        <v>228390</v>
      </c>
      <c r="BT521" s="90" t="str">
        <f>BJ521</f>
        <v>2C58FS844309-12</v>
      </c>
      <c r="BU521" s="127">
        <f>BK521</f>
        <v>43508</v>
      </c>
      <c r="BV521" s="127">
        <f>BL521</f>
        <v>44239</v>
      </c>
      <c r="BW521" s="90" t="str">
        <f>H521</f>
        <v>NIH</v>
      </c>
      <c r="BX521" s="90" t="str">
        <f>IF(H521="NATIONAL HEMOPHILIA FOUNDATION","Non Federal","Federal")</f>
        <v>Federal</v>
      </c>
      <c r="BY521" s="128">
        <f>BM521</f>
        <v>2769096</v>
      </c>
      <c r="BZ521" s="90" t="str">
        <f>IF(LEN(BR521)&gt;0,1,"")</f>
        <v/>
      </c>
      <c r="CA521" s="90" t="str">
        <f>IF(LEN(BR521)&gt;0,"VIRAL HEPATITIS PROJECT","")</f>
        <v/>
      </c>
      <c r="CB521" s="129" t="str">
        <f>IF(LEN(BR521)&gt;0,BM521*0.7,"")</f>
        <v/>
      </c>
      <c r="CC521" s="90">
        <f>BP521</f>
        <v>2907550.8000000003</v>
      </c>
      <c r="CD521" s="90" t="str">
        <f>IF(LEN(BR521)&gt;0,"70%","")</f>
        <v/>
      </c>
      <c r="CE521" s="90">
        <f>BS521</f>
        <v>228390</v>
      </c>
      <c r="CF521" s="90" t="str">
        <f>CA521</f>
        <v/>
      </c>
      <c r="CG521" s="90"/>
      <c r="CH521" s="90"/>
      <c r="CI521" s="90"/>
      <c r="CJ521" s="90"/>
      <c r="CK521" s="90"/>
      <c r="CL521" s="90"/>
      <c r="CM521" s="90"/>
      <c r="CN521" s="90"/>
      <c r="CO521" s="90"/>
      <c r="CP521" s="90"/>
      <c r="CQ521" s="90"/>
      <c r="CR521" s="90"/>
      <c r="CS521" s="90"/>
      <c r="CT521" s="137"/>
    </row>
    <row r="522" spans="1:98" ht="90">
      <c r="A522" s="89">
        <v>228390</v>
      </c>
      <c r="B522" s="90">
        <v>2020</v>
      </c>
      <c r="C522" s="90" t="s">
        <v>81</v>
      </c>
      <c r="D522" s="90" t="s">
        <v>1424</v>
      </c>
      <c r="E522" s="125" t="s">
        <v>781</v>
      </c>
      <c r="F522" s="24" t="s">
        <v>1425</v>
      </c>
      <c r="G522" s="90" t="s">
        <v>85</v>
      </c>
      <c r="H522" s="90" t="s">
        <v>117</v>
      </c>
      <c r="I522" s="90">
        <v>93</v>
      </c>
      <c r="J522" s="90">
        <v>157</v>
      </c>
      <c r="K522" s="90" t="s">
        <v>85</v>
      </c>
      <c r="L522" s="90" t="s">
        <v>1426</v>
      </c>
      <c r="M522" s="90" t="s">
        <v>119</v>
      </c>
      <c r="N522" s="24" t="s">
        <v>1427</v>
      </c>
      <c r="O522" s="24" t="str">
        <f>IF(ISNUMBER(SEARCH("Cancer",N522)),"Cancer",IF(ISNUMBER(SEARCH("health",N522)),"Public health",IF(ISNUMBER(SEARCH("disabilities",N522)),"Disabilities","Other")))</f>
        <v>Public health</v>
      </c>
      <c r="P522" s="126">
        <v>2517360</v>
      </c>
      <c r="Q522" s="90" t="s">
        <v>85</v>
      </c>
      <c r="R522" s="90" t="str">
        <f>IF(P522&gt;20000000,"B","A")</f>
        <v>A</v>
      </c>
      <c r="S522" s="90" t="s">
        <v>90</v>
      </c>
      <c r="T522" s="90" t="s">
        <v>119</v>
      </c>
      <c r="U522" s="90" t="s">
        <v>119</v>
      </c>
      <c r="V522" s="90" t="s">
        <v>119</v>
      </c>
      <c r="W522" s="90" t="s">
        <v>119</v>
      </c>
      <c r="X522" s="90" t="s">
        <v>119</v>
      </c>
      <c r="Y522" s="90" t="s">
        <v>119</v>
      </c>
      <c r="Z522" s="90" t="s">
        <v>119</v>
      </c>
      <c r="AA522" s="90" t="s">
        <v>119</v>
      </c>
      <c r="AB522" s="90" t="s">
        <v>119</v>
      </c>
      <c r="AC522" s="90" t="s">
        <v>119</v>
      </c>
      <c r="AD522" s="90" t="s">
        <v>119</v>
      </c>
      <c r="AE522" s="24">
        <v>0</v>
      </c>
      <c r="AF522" s="90">
        <v>0</v>
      </c>
      <c r="AG522" s="24">
        <v>0</v>
      </c>
      <c r="AH522" s="90">
        <v>90734</v>
      </c>
      <c r="AI522" s="24" t="s">
        <v>1433</v>
      </c>
      <c r="AJ522" s="24" t="s">
        <v>1434</v>
      </c>
      <c r="AK522" s="90" t="s">
        <v>85</v>
      </c>
      <c r="AL522" s="90">
        <v>228390</v>
      </c>
      <c r="AM522" s="90" t="s">
        <v>81</v>
      </c>
      <c r="AN522" s="90" t="s">
        <v>1424</v>
      </c>
      <c r="AO522" s="125" t="s">
        <v>781</v>
      </c>
      <c r="AP522" s="24" t="s">
        <v>1427</v>
      </c>
      <c r="AQ522" s="90" t="s">
        <v>1426</v>
      </c>
      <c r="AR522" s="24" t="s">
        <v>1427</v>
      </c>
      <c r="AS522" s="90" t="s">
        <v>119</v>
      </c>
      <c r="AT522" s="24" t="s">
        <v>1433</v>
      </c>
      <c r="AU522" s="90" t="s">
        <v>119</v>
      </c>
      <c r="AV522" s="90" t="str">
        <f>IF(ISNUMBER(SEARCH("disagree",AE522)),"N","Y")</f>
        <v>Y</v>
      </c>
      <c r="AW522" s="90" t="s">
        <v>119</v>
      </c>
      <c r="AX522" s="24" t="s">
        <v>119</v>
      </c>
      <c r="AY522" s="90" t="str">
        <f>CONCATENATE(AZ522,BA522,BB522,BC522)</f>
        <v/>
      </c>
      <c r="AZ522" s="90" t="str">
        <f>IF(ISNUMBER(SEARCH("Y",AC522)),"R","")</f>
        <v/>
      </c>
      <c r="BA522" s="90" t="str">
        <f>IF(ISNUMBER(SEARCH("Y",Y522)),"M","")</f>
        <v/>
      </c>
      <c r="BB522" s="90" t="str">
        <f>IF(ISNUMBER(SEARCH("Y",AB522)),"QC","")</f>
        <v/>
      </c>
      <c r="BC522" s="90" t="str">
        <f>IF(ISNUMBER(SEARCH("Y",Z522)),"S","")</f>
        <v/>
      </c>
      <c r="BD522" s="90"/>
      <c r="BE522" s="24" t="s">
        <v>119</v>
      </c>
      <c r="BF522" s="125" t="str">
        <f>IF(AND(AW522&gt;=56543,AW522&lt;=76543,LEN(AW522)&gt;0),"3 Feb 2020",IF(AND(AW522&gt;=66544,AW522&lt;=99999,LEN(AW522)&gt;0),"12 Sep 2020",""))</f>
        <v/>
      </c>
      <c r="BG522" s="125" t="str">
        <f>IF((AND(BF522="3 Feb 2020",LEN(BF522)&gt;0)),"Completed",IF((AND(BF522="12 Sep 2020",LEN(BF522)&gt;0)),"Pending",""))</f>
        <v/>
      </c>
      <c r="BH522" s="90" t="str">
        <f>IF((AND(BF522="3 Feb 2020",LEN(BF522)&gt;0)),"3 Feb 2020","")</f>
        <v/>
      </c>
      <c r="BI522" s="90">
        <v>228390</v>
      </c>
      <c r="BJ522" s="90" t="str">
        <f>L522</f>
        <v>2C58FS844309-12</v>
      </c>
      <c r="BK522" s="127">
        <v>43508</v>
      </c>
      <c r="BL522" s="127">
        <v>44239</v>
      </c>
      <c r="BM522" s="128">
        <f>P522*1.1</f>
        <v>2769096</v>
      </c>
      <c r="BN522" s="129">
        <f>P522*0.9</f>
        <v>2265624</v>
      </c>
      <c r="BO522" s="130">
        <f>P522*0.8</f>
        <v>2013888</v>
      </c>
      <c r="BP522" s="90">
        <f>IF(Z522="Y",BM522*0.4,BM522*1.05)</f>
        <v>2907550.8000000003</v>
      </c>
      <c r="BQ522" s="90">
        <f>BP522*0.8</f>
        <v>2326040.64</v>
      </c>
      <c r="BR522" s="90" t="str">
        <f>IF(ISNUMBER(SEARCH("subrecipient",AI518)),P522*0.6,"")</f>
        <v/>
      </c>
      <c r="BS522" s="90">
        <v>228390</v>
      </c>
      <c r="BT522" s="90" t="str">
        <f>BJ522</f>
        <v>2C58FS844309-12</v>
      </c>
      <c r="BU522" s="127">
        <f>BK522</f>
        <v>43508</v>
      </c>
      <c r="BV522" s="127">
        <f>BL522</f>
        <v>44239</v>
      </c>
      <c r="BW522" s="90" t="str">
        <f>H522</f>
        <v>NIH</v>
      </c>
      <c r="BX522" s="90" t="str">
        <f>IF(H522="NATIONAL HEMOPHILIA FOUNDATION","Non Federal","Federal")</f>
        <v>Federal</v>
      </c>
      <c r="BY522" s="128">
        <f>BM522</f>
        <v>2769096</v>
      </c>
      <c r="BZ522" s="90" t="str">
        <f>IF(LEN(BR522)&gt;0,1,"")</f>
        <v/>
      </c>
      <c r="CA522" s="90" t="str">
        <f>IF(LEN(BR522)&gt;0,"VIRAL HEPATITIS PROJECT","")</f>
        <v/>
      </c>
      <c r="CB522" s="129" t="str">
        <f>IF(LEN(BR522)&gt;0,BM522*0.7,"")</f>
        <v/>
      </c>
      <c r="CC522" s="90">
        <f>BP522</f>
        <v>2907550.8000000003</v>
      </c>
      <c r="CD522" s="90" t="str">
        <f>IF(LEN(BR522)&gt;0,"70%","")</f>
        <v/>
      </c>
      <c r="CE522" s="90">
        <f>BS522</f>
        <v>228390</v>
      </c>
      <c r="CF522" s="90" t="str">
        <f>CA522</f>
        <v/>
      </c>
      <c r="CG522" s="90"/>
      <c r="CH522" s="90"/>
      <c r="CI522" s="90"/>
      <c r="CJ522" s="90"/>
      <c r="CK522" s="90"/>
      <c r="CL522" s="90"/>
      <c r="CM522" s="90"/>
      <c r="CN522" s="90"/>
      <c r="CO522" s="90"/>
      <c r="CP522" s="90"/>
      <c r="CQ522" s="90"/>
      <c r="CR522" s="90"/>
      <c r="CS522" s="90"/>
      <c r="CT522" s="137"/>
    </row>
    <row r="523" spans="1:98" ht="150">
      <c r="A523" s="89">
        <v>228483</v>
      </c>
      <c r="B523" s="90">
        <v>2020</v>
      </c>
      <c r="C523" s="90" t="s">
        <v>81</v>
      </c>
      <c r="D523" s="90" t="s">
        <v>1435</v>
      </c>
      <c r="E523" s="125" t="s">
        <v>784</v>
      </c>
      <c r="F523" s="24" t="s">
        <v>1436</v>
      </c>
      <c r="G523" s="90" t="s">
        <v>85</v>
      </c>
      <c r="H523" s="90" t="s">
        <v>132</v>
      </c>
      <c r="I523" s="90">
        <v>93</v>
      </c>
      <c r="J523" s="90">
        <v>157</v>
      </c>
      <c r="K523" s="90" t="s">
        <v>85</v>
      </c>
      <c r="L523" s="90" t="s">
        <v>1437</v>
      </c>
      <c r="M523" s="90" t="s">
        <v>119</v>
      </c>
      <c r="N523" s="24" t="s">
        <v>1438</v>
      </c>
      <c r="O523" s="24" t="str">
        <f>IF(ISNUMBER(SEARCH("Cancer",N523)),"Cancer",IF(ISNUMBER(SEARCH("health",N523)),"Public health",IF(ISNUMBER(SEARCH("disabilities",N523)),"Disabilities","Other")))</f>
        <v>Other</v>
      </c>
      <c r="P523" s="126">
        <v>2257698</v>
      </c>
      <c r="Q523" s="90" t="s">
        <v>85</v>
      </c>
      <c r="R523" s="90" t="str">
        <f>IF(P523&gt;20000000,"B","A")</f>
        <v>A</v>
      </c>
      <c r="S523" s="90" t="s">
        <v>90</v>
      </c>
      <c r="T523" s="90" t="s">
        <v>119</v>
      </c>
      <c r="U523" s="90" t="s">
        <v>119</v>
      </c>
      <c r="V523" s="90" t="s">
        <v>119</v>
      </c>
      <c r="W523" s="90" t="s">
        <v>119</v>
      </c>
      <c r="X523" s="90" t="s">
        <v>119</v>
      </c>
      <c r="Y523" s="90" t="s">
        <v>119</v>
      </c>
      <c r="Z523" s="90" t="s">
        <v>119</v>
      </c>
      <c r="AA523" s="90" t="s">
        <v>119</v>
      </c>
      <c r="AB523" s="90" t="s">
        <v>119</v>
      </c>
      <c r="AC523" s="90" t="s">
        <v>119</v>
      </c>
      <c r="AD523" s="90" t="s">
        <v>119</v>
      </c>
      <c r="AE523" s="24">
        <v>0</v>
      </c>
      <c r="AF523" s="90">
        <v>0</v>
      </c>
      <c r="AG523" s="24">
        <v>0</v>
      </c>
      <c r="AH523" s="90">
        <v>90685</v>
      </c>
      <c r="AI523" s="24" t="s">
        <v>94</v>
      </c>
      <c r="AJ523" s="24" t="s">
        <v>1439</v>
      </c>
      <c r="AK523" s="90" t="s">
        <v>85</v>
      </c>
      <c r="AL523" s="90">
        <v>228483</v>
      </c>
      <c r="AM523" s="90" t="s">
        <v>81</v>
      </c>
      <c r="AN523" s="90" t="s">
        <v>1435</v>
      </c>
      <c r="AO523" s="125" t="s">
        <v>784</v>
      </c>
      <c r="AP523" s="24" t="s">
        <v>1438</v>
      </c>
      <c r="AQ523" s="90" t="s">
        <v>1437</v>
      </c>
      <c r="AR523" s="24" t="s">
        <v>1438</v>
      </c>
      <c r="AS523" s="90" t="s">
        <v>119</v>
      </c>
      <c r="AT523" s="24" t="s">
        <v>94</v>
      </c>
      <c r="AU523" s="90" t="s">
        <v>119</v>
      </c>
      <c r="AV523" s="90" t="str">
        <f>IF(ISNUMBER(SEARCH("disagree",AE523)),"N","Y")</f>
        <v>Y</v>
      </c>
      <c r="AW523" s="90" t="s">
        <v>119</v>
      </c>
      <c r="AX523" s="24" t="s">
        <v>119</v>
      </c>
      <c r="AY523" s="90" t="str">
        <f>CONCATENATE(AZ523,BA523,BB523,BC523)</f>
        <v/>
      </c>
      <c r="AZ523" s="90" t="str">
        <f>IF(ISNUMBER(SEARCH("Y",AC523)),"R","")</f>
        <v/>
      </c>
      <c r="BA523" s="90" t="str">
        <f>IF(ISNUMBER(SEARCH("Y",Y523)),"M","")</f>
        <v/>
      </c>
      <c r="BB523" s="90" t="str">
        <f>IF(ISNUMBER(SEARCH("Y",AB523)),"QC","")</f>
        <v/>
      </c>
      <c r="BC523" s="90" t="str">
        <f>IF(ISNUMBER(SEARCH("Y",Z523)),"S","")</f>
        <v/>
      </c>
      <c r="BD523" s="90"/>
      <c r="BE523" s="24" t="s">
        <v>119</v>
      </c>
      <c r="BF523" s="125" t="str">
        <f>IF(AND(AW523&gt;=56543,AW523&lt;=76543,LEN(AW523)&gt;0),"3 Feb 2020",IF(AND(AW523&gt;=66544,AW523&lt;=99999,LEN(AW523)&gt;0),"12 Sep 2020",""))</f>
        <v/>
      </c>
      <c r="BG523" s="125" t="str">
        <f>IF((AND(BF523="3 Feb 2020",LEN(BF523)&gt;0)),"Completed",IF((AND(BF523="12 Sep 2020",LEN(BF523)&gt;0)),"Pending",""))</f>
        <v/>
      </c>
      <c r="BH523" s="90" t="str">
        <f>IF((AND(BF523="3 Feb 2020",LEN(BF523)&gt;0)),"3 Feb 2020","")</f>
        <v/>
      </c>
      <c r="BI523" s="90">
        <v>228483</v>
      </c>
      <c r="BJ523" s="90" t="str">
        <f>L523</f>
        <v>2D90HT844992-92</v>
      </c>
      <c r="BK523" s="127">
        <v>43508</v>
      </c>
      <c r="BL523" s="127">
        <v>44239</v>
      </c>
      <c r="BM523" s="128">
        <f>P523*1.1</f>
        <v>2483467.8000000003</v>
      </c>
      <c r="BN523" s="129">
        <f>P523*0.9</f>
        <v>2031928.2</v>
      </c>
      <c r="BO523" s="130">
        <f>P523*0.8</f>
        <v>1806158.4000000001</v>
      </c>
      <c r="BP523" s="90">
        <f>IF(Z523="Y",BM523*0.4,BM523*1.05)</f>
        <v>2607641.1900000004</v>
      </c>
      <c r="BQ523" s="90">
        <f>BP523*0.8</f>
        <v>2086112.9520000005</v>
      </c>
      <c r="BR523" s="90" t="str">
        <f>IF(ISNUMBER(SEARCH("subrecipient",AI519)),P523*0.6,"")</f>
        <v/>
      </c>
      <c r="BS523" s="90">
        <v>228483</v>
      </c>
      <c r="BT523" s="90" t="str">
        <f>BJ523</f>
        <v>2D90HT844992-92</v>
      </c>
      <c r="BU523" s="127">
        <f>BK523</f>
        <v>43508</v>
      </c>
      <c r="BV523" s="127">
        <f>BL523</f>
        <v>44239</v>
      </c>
      <c r="BW523" s="90" t="str">
        <f>H523</f>
        <v>FDA</v>
      </c>
      <c r="BX523" s="90" t="str">
        <f>IF(H523="NATIONAL HEMOPHILIA FOUNDATION","Non Federal","Federal")</f>
        <v>Federal</v>
      </c>
      <c r="BY523" s="128">
        <f>BM523</f>
        <v>2483467.8000000003</v>
      </c>
      <c r="BZ523" s="90" t="str">
        <f>IF(LEN(BR523)&gt;0,1,"")</f>
        <v/>
      </c>
      <c r="CA523" s="90" t="str">
        <f>IF(LEN(BR523)&gt;0,"VIRAL HEPATITIS PROJECT","")</f>
        <v/>
      </c>
      <c r="CB523" s="129" t="str">
        <f>IF(LEN(BR523)&gt;0,BM523*0.7,"")</f>
        <v/>
      </c>
      <c r="CC523" s="90">
        <f>BP523</f>
        <v>2607641.1900000004</v>
      </c>
      <c r="CD523" s="90" t="str">
        <f>IF(LEN(BR523)&gt;0,"70%","")</f>
        <v/>
      </c>
      <c r="CE523" s="90">
        <f>BS523</f>
        <v>228483</v>
      </c>
      <c r="CF523" s="90" t="str">
        <f>CA523</f>
        <v/>
      </c>
      <c r="CG523" s="90"/>
      <c r="CH523" s="90"/>
      <c r="CI523" s="90"/>
      <c r="CJ523" s="90"/>
      <c r="CK523" s="90"/>
      <c r="CL523" s="90"/>
      <c r="CM523" s="90"/>
      <c r="CN523" s="90"/>
      <c r="CO523" s="90"/>
      <c r="CP523" s="90"/>
      <c r="CQ523" s="90"/>
      <c r="CR523" s="90"/>
      <c r="CS523" s="90"/>
      <c r="CT523" s="137"/>
    </row>
    <row r="524" spans="1:98" ht="45">
      <c r="A524" s="89">
        <v>228483</v>
      </c>
      <c r="B524" s="90">
        <v>2020</v>
      </c>
      <c r="C524" s="90" t="s">
        <v>81</v>
      </c>
      <c r="D524" s="90" t="s">
        <v>1435</v>
      </c>
      <c r="E524" s="125" t="s">
        <v>790</v>
      </c>
      <c r="F524" s="24" t="s">
        <v>1436</v>
      </c>
      <c r="G524" s="90" t="s">
        <v>85</v>
      </c>
      <c r="H524" s="90" t="s">
        <v>132</v>
      </c>
      <c r="I524" s="90">
        <v>93</v>
      </c>
      <c r="J524" s="90">
        <v>157</v>
      </c>
      <c r="K524" s="90" t="s">
        <v>85</v>
      </c>
      <c r="L524" s="90" t="s">
        <v>1437</v>
      </c>
      <c r="M524" s="90" t="s">
        <v>119</v>
      </c>
      <c r="N524" s="24" t="s">
        <v>1438</v>
      </c>
      <c r="O524" s="24" t="str">
        <f>IF(ISNUMBER(SEARCH("Cancer",N524)),"Cancer",IF(ISNUMBER(SEARCH("health",N524)),"Public health",IF(ISNUMBER(SEARCH("disabilities",N524)),"Disabilities","Other")))</f>
        <v>Other</v>
      </c>
      <c r="P524" s="126">
        <v>2257698</v>
      </c>
      <c r="Q524" s="90" t="s">
        <v>85</v>
      </c>
      <c r="R524" s="90" t="str">
        <f>IF(P524&gt;20000000,"B","A")</f>
        <v>A</v>
      </c>
      <c r="S524" s="90" t="s">
        <v>90</v>
      </c>
      <c r="T524" s="90" t="s">
        <v>119</v>
      </c>
      <c r="U524" s="90" t="s">
        <v>119</v>
      </c>
      <c r="V524" s="90" t="s">
        <v>119</v>
      </c>
      <c r="W524" s="90" t="s">
        <v>119</v>
      </c>
      <c r="X524" s="90" t="s">
        <v>119</v>
      </c>
      <c r="Y524" s="90" t="s">
        <v>119</v>
      </c>
      <c r="Z524" s="90" t="s">
        <v>119</v>
      </c>
      <c r="AA524" s="90" t="s">
        <v>119</v>
      </c>
      <c r="AB524" s="90" t="s">
        <v>119</v>
      </c>
      <c r="AC524" s="90" t="s">
        <v>119</v>
      </c>
      <c r="AD524" s="90" t="s">
        <v>119</v>
      </c>
      <c r="AE524" s="24">
        <v>0</v>
      </c>
      <c r="AF524" s="90">
        <v>0</v>
      </c>
      <c r="AG524" s="24">
        <v>0</v>
      </c>
      <c r="AH524" s="90">
        <v>90686</v>
      </c>
      <c r="AI524" s="24" t="s">
        <v>102</v>
      </c>
      <c r="AJ524" s="24" t="s">
        <v>103</v>
      </c>
      <c r="AK524" s="90" t="s">
        <v>85</v>
      </c>
      <c r="AL524" s="90">
        <v>228483</v>
      </c>
      <c r="AM524" s="90" t="s">
        <v>81</v>
      </c>
      <c r="AN524" s="90" t="s">
        <v>1435</v>
      </c>
      <c r="AO524" s="125" t="s">
        <v>790</v>
      </c>
      <c r="AP524" s="24" t="s">
        <v>1438</v>
      </c>
      <c r="AQ524" s="90" t="s">
        <v>1437</v>
      </c>
      <c r="AR524" s="24" t="s">
        <v>1438</v>
      </c>
      <c r="AS524" s="90" t="s">
        <v>119</v>
      </c>
      <c r="AT524" s="24" t="s">
        <v>102</v>
      </c>
      <c r="AU524" s="90" t="s">
        <v>119</v>
      </c>
      <c r="AV524" s="90" t="str">
        <f>IF(ISNUMBER(SEARCH("disagree",AE524)),"N","Y")</f>
        <v>Y</v>
      </c>
      <c r="AW524" s="90" t="s">
        <v>119</v>
      </c>
      <c r="AX524" s="24" t="s">
        <v>119</v>
      </c>
      <c r="AY524" s="90" t="str">
        <f>CONCATENATE(AZ524,BA524,BB524,BC524)</f>
        <v/>
      </c>
      <c r="AZ524" s="90" t="str">
        <f>IF(ISNUMBER(SEARCH("Y",AC524)),"R","")</f>
        <v/>
      </c>
      <c r="BA524" s="90" t="str">
        <f>IF(ISNUMBER(SEARCH("Y",Y524)),"M","")</f>
        <v/>
      </c>
      <c r="BB524" s="90" t="str">
        <f>IF(ISNUMBER(SEARCH("Y",AB524)),"QC","")</f>
        <v/>
      </c>
      <c r="BC524" s="90" t="str">
        <f>IF(ISNUMBER(SEARCH("Y",Z524)),"S","")</f>
        <v/>
      </c>
      <c r="BD524" s="90"/>
      <c r="BE524" s="24" t="s">
        <v>119</v>
      </c>
      <c r="BF524" s="125" t="str">
        <f>IF(AND(AW524&gt;=56543,AW524&lt;=76543,LEN(AW524)&gt;0),"3 Feb 2020",IF(AND(AW524&gt;=66544,AW524&lt;=99999,LEN(AW524)&gt;0),"12 Sep 2020",""))</f>
        <v/>
      </c>
      <c r="BG524" s="125" t="str">
        <f>IF((AND(BF524="3 Feb 2020",LEN(BF524)&gt;0)),"Completed",IF((AND(BF524="12 Sep 2020",LEN(BF524)&gt;0)),"Pending",""))</f>
        <v/>
      </c>
      <c r="BH524" s="90" t="str">
        <f>IF((AND(BF524="3 Feb 2020",LEN(BF524)&gt;0)),"3 Feb 2020","")</f>
        <v/>
      </c>
      <c r="BI524" s="90">
        <v>228483</v>
      </c>
      <c r="BJ524" s="90" t="str">
        <f>L524</f>
        <v>2D90HT844992-92</v>
      </c>
      <c r="BK524" s="127">
        <v>43508</v>
      </c>
      <c r="BL524" s="127">
        <v>44239</v>
      </c>
      <c r="BM524" s="128">
        <f>P524*1.1</f>
        <v>2483467.8000000003</v>
      </c>
      <c r="BN524" s="129">
        <f>P524*0.9</f>
        <v>2031928.2</v>
      </c>
      <c r="BO524" s="130">
        <f>P524*0.8</f>
        <v>1806158.4000000001</v>
      </c>
      <c r="BP524" s="90">
        <f>IF(Z524="Y",BM524*0.4,BM524*1.05)</f>
        <v>2607641.1900000004</v>
      </c>
      <c r="BQ524" s="90">
        <f>BP524*0.8</f>
        <v>2086112.9520000005</v>
      </c>
      <c r="BR524" s="90" t="str">
        <f>IF(ISNUMBER(SEARCH("subrecipient",AI520)),P524*0.6,"")</f>
        <v/>
      </c>
      <c r="BS524" s="90">
        <v>228483</v>
      </c>
      <c r="BT524" s="90" t="str">
        <f>BJ524</f>
        <v>2D90HT844992-92</v>
      </c>
      <c r="BU524" s="127">
        <f>BK524</f>
        <v>43508</v>
      </c>
      <c r="BV524" s="127">
        <f>BL524</f>
        <v>44239</v>
      </c>
      <c r="BW524" s="90" t="str">
        <f>H524</f>
        <v>FDA</v>
      </c>
      <c r="BX524" s="90" t="str">
        <f>IF(H524="NATIONAL HEMOPHILIA FOUNDATION","Non Federal","Federal")</f>
        <v>Federal</v>
      </c>
      <c r="BY524" s="128">
        <f>BM524</f>
        <v>2483467.8000000003</v>
      </c>
      <c r="BZ524" s="90" t="str">
        <f>IF(LEN(BR524)&gt;0,1,"")</f>
        <v/>
      </c>
      <c r="CA524" s="90" t="str">
        <f>IF(LEN(BR524)&gt;0,"VIRAL HEPATITIS PROJECT","")</f>
        <v/>
      </c>
      <c r="CB524" s="129" t="str">
        <f>IF(LEN(BR524)&gt;0,BM524*0.7,"")</f>
        <v/>
      </c>
      <c r="CC524" s="90">
        <f>BP524</f>
        <v>2607641.1900000004</v>
      </c>
      <c r="CD524" s="90" t="str">
        <f>IF(LEN(BR524)&gt;0,"70%","")</f>
        <v/>
      </c>
      <c r="CE524" s="90">
        <f>BS524</f>
        <v>228483</v>
      </c>
      <c r="CF524" s="90" t="str">
        <f>CA524</f>
        <v/>
      </c>
      <c r="CG524" s="90"/>
      <c r="CH524" s="90"/>
      <c r="CI524" s="90"/>
      <c r="CJ524" s="90"/>
      <c r="CK524" s="90"/>
      <c r="CL524" s="90"/>
      <c r="CM524" s="90"/>
      <c r="CN524" s="90"/>
      <c r="CO524" s="90"/>
      <c r="CP524" s="90"/>
      <c r="CQ524" s="90"/>
      <c r="CR524" s="90"/>
      <c r="CS524" s="90"/>
      <c r="CT524" s="137"/>
    </row>
    <row r="525" spans="1:98" ht="45">
      <c r="A525" s="89">
        <v>230493</v>
      </c>
      <c r="B525" s="90">
        <v>2020</v>
      </c>
      <c r="C525" s="90" t="s">
        <v>81</v>
      </c>
      <c r="D525" s="90" t="s">
        <v>1440</v>
      </c>
      <c r="E525" s="125" t="s">
        <v>791</v>
      </c>
      <c r="F525" s="24" t="s">
        <v>1441</v>
      </c>
      <c r="G525" s="90" t="s">
        <v>85</v>
      </c>
      <c r="H525" s="90" t="s">
        <v>150</v>
      </c>
      <c r="I525" s="90">
        <v>93</v>
      </c>
      <c r="J525" s="90">
        <v>157</v>
      </c>
      <c r="K525" s="90" t="s">
        <v>85</v>
      </c>
      <c r="L525" s="90" t="s">
        <v>1442</v>
      </c>
      <c r="M525" s="90" t="s">
        <v>119</v>
      </c>
      <c r="N525" s="24" t="s">
        <v>1199</v>
      </c>
      <c r="O525" s="24" t="str">
        <f>IF(ISNUMBER(SEARCH("Cancer",N525)),"Cancer",IF(ISNUMBER(SEARCH("health",N525)),"Public health",IF(ISNUMBER(SEARCH("disabilities",N525)),"Disabilities","Other")))</f>
        <v>Other</v>
      </c>
      <c r="P525" s="126">
        <v>2597539</v>
      </c>
      <c r="Q525" s="90" t="s">
        <v>85</v>
      </c>
      <c r="R525" s="90" t="str">
        <f>IF(P525&gt;20000000,"B","A")</f>
        <v>A</v>
      </c>
      <c r="S525" s="90" t="s">
        <v>90</v>
      </c>
      <c r="T525" s="90" t="s">
        <v>119</v>
      </c>
      <c r="U525" s="90" t="s">
        <v>119</v>
      </c>
      <c r="V525" s="90" t="s">
        <v>119</v>
      </c>
      <c r="W525" s="90" t="s">
        <v>119</v>
      </c>
      <c r="X525" s="90" t="s">
        <v>119</v>
      </c>
      <c r="Y525" s="90" t="s">
        <v>119</v>
      </c>
      <c r="Z525" s="90" t="s">
        <v>119</v>
      </c>
      <c r="AA525" s="90" t="s">
        <v>119</v>
      </c>
      <c r="AB525" s="90" t="s">
        <v>119</v>
      </c>
      <c r="AC525" s="90" t="s">
        <v>119</v>
      </c>
      <c r="AD525" s="90" t="s">
        <v>119</v>
      </c>
      <c r="AE525" s="24">
        <v>0</v>
      </c>
      <c r="AF525" s="90">
        <v>0</v>
      </c>
      <c r="AG525" s="24">
        <v>0</v>
      </c>
      <c r="AH525" s="90">
        <v>85688</v>
      </c>
      <c r="AI525" s="24" t="s">
        <v>94</v>
      </c>
      <c r="AJ525" s="24" t="s">
        <v>1443</v>
      </c>
      <c r="AK525" s="90" t="s">
        <v>85</v>
      </c>
      <c r="AL525" s="90">
        <v>230493</v>
      </c>
      <c r="AM525" s="90" t="s">
        <v>81</v>
      </c>
      <c r="AN525" s="90" t="s">
        <v>1440</v>
      </c>
      <c r="AO525" s="125" t="s">
        <v>791</v>
      </c>
      <c r="AP525" s="24" t="s">
        <v>1199</v>
      </c>
      <c r="AQ525" s="90" t="s">
        <v>1442</v>
      </c>
      <c r="AR525" s="24" t="s">
        <v>1199</v>
      </c>
      <c r="AS525" s="90" t="s">
        <v>119</v>
      </c>
      <c r="AT525" s="24" t="s">
        <v>94</v>
      </c>
      <c r="AU525" s="90" t="s">
        <v>119</v>
      </c>
      <c r="AV525" s="90" t="str">
        <f>IF(ISNUMBER(SEARCH("disagree",AE525)),"N","Y")</f>
        <v>Y</v>
      </c>
      <c r="AW525" s="90" t="s">
        <v>119</v>
      </c>
      <c r="AX525" s="24" t="s">
        <v>119</v>
      </c>
      <c r="AY525" s="90" t="str">
        <f>CONCATENATE(AZ525,BA525,BB525,BC525)</f>
        <v/>
      </c>
      <c r="AZ525" s="90" t="str">
        <f>IF(ISNUMBER(SEARCH("Y",AC525)),"R","")</f>
        <v/>
      </c>
      <c r="BA525" s="90" t="str">
        <f>IF(ISNUMBER(SEARCH("Y",Y525)),"M","")</f>
        <v/>
      </c>
      <c r="BB525" s="90" t="str">
        <f>IF(ISNUMBER(SEARCH("Y",AB525)),"QC","")</f>
        <v/>
      </c>
      <c r="BC525" s="90" t="str">
        <f>IF(ISNUMBER(SEARCH("Y",Z525)),"S","")</f>
        <v/>
      </c>
      <c r="BD525" s="90"/>
      <c r="BE525" s="24" t="s">
        <v>119</v>
      </c>
      <c r="BF525" s="125" t="str">
        <f>IF(AND(AW525&gt;=56543,AW525&lt;=76543,LEN(AW525)&gt;0),"3 Feb 2020",IF(AND(AW525&gt;=66544,AW525&lt;=99999,LEN(AW525)&gt;0),"12 Sep 2020",""))</f>
        <v/>
      </c>
      <c r="BG525" s="125" t="str">
        <f>IF((AND(BF525="3 Feb 2020",LEN(BF525)&gt;0)),"Completed",IF((AND(BF525="12 Sep 2020",LEN(BF525)&gt;0)),"Pending",""))</f>
        <v/>
      </c>
      <c r="BH525" s="90" t="str">
        <f>IF((AND(BF525="3 Feb 2020",LEN(BF525)&gt;0)),"3 Feb 2020","")</f>
        <v/>
      </c>
      <c r="BI525" s="90">
        <v>230493</v>
      </c>
      <c r="BJ525" s="90" t="str">
        <f>L525</f>
        <v>8D11FT843361-40</v>
      </c>
      <c r="BK525" s="127">
        <v>43508</v>
      </c>
      <c r="BL525" s="127">
        <v>44239</v>
      </c>
      <c r="BM525" s="128">
        <f>P525*1.1</f>
        <v>2857292.9000000004</v>
      </c>
      <c r="BN525" s="129">
        <f>P525*0.9</f>
        <v>2337785.1</v>
      </c>
      <c r="BO525" s="130">
        <f>P525*0.8</f>
        <v>2078031.2000000002</v>
      </c>
      <c r="BP525" s="90">
        <f>IF(Z525="Y",BM525*0.4,BM525*1.05)</f>
        <v>3000157.5450000004</v>
      </c>
      <c r="BQ525" s="90">
        <f>BP525*0.8</f>
        <v>2400126.0360000003</v>
      </c>
      <c r="BR525" s="90" t="str">
        <f>IF(ISNUMBER(SEARCH("subrecipient",AI521)),P525*0.6,"")</f>
        <v/>
      </c>
      <c r="BS525" s="90">
        <v>230493</v>
      </c>
      <c r="BT525" s="90" t="str">
        <f>BJ525</f>
        <v>8D11FT843361-40</v>
      </c>
      <c r="BU525" s="127">
        <f>BK525</f>
        <v>43508</v>
      </c>
      <c r="BV525" s="127">
        <f>BL525</f>
        <v>44239</v>
      </c>
      <c r="BW525" s="90" t="str">
        <f>H525</f>
        <v>ACF</v>
      </c>
      <c r="BX525" s="90" t="str">
        <f>IF(H525="NATIONAL HEMOPHILIA FOUNDATION","Non Federal","Federal")</f>
        <v>Federal</v>
      </c>
      <c r="BY525" s="128">
        <f>BM525</f>
        <v>2857292.9000000004</v>
      </c>
      <c r="BZ525" s="90" t="str">
        <f>IF(LEN(BR525)&gt;0,1,"")</f>
        <v/>
      </c>
      <c r="CA525" s="90" t="str">
        <f>IF(LEN(BR525)&gt;0,"VIRAL HEPATITIS PROJECT","")</f>
        <v/>
      </c>
      <c r="CB525" s="129" t="str">
        <f>IF(LEN(BR525)&gt;0,BM525*0.7,"")</f>
        <v/>
      </c>
      <c r="CC525" s="90">
        <f>BP525</f>
        <v>3000157.5450000004</v>
      </c>
      <c r="CD525" s="90" t="str">
        <f>IF(LEN(BR525)&gt;0,"70%","")</f>
        <v/>
      </c>
      <c r="CE525" s="90">
        <f>BS525</f>
        <v>230493</v>
      </c>
      <c r="CF525" s="90" t="str">
        <f>CA525</f>
        <v/>
      </c>
      <c r="CG525" s="90"/>
      <c r="CH525" s="90"/>
      <c r="CI525" s="90"/>
      <c r="CJ525" s="90"/>
      <c r="CK525" s="90"/>
      <c r="CL525" s="90"/>
      <c r="CM525" s="90"/>
      <c r="CN525" s="90"/>
      <c r="CO525" s="90"/>
      <c r="CP525" s="90"/>
      <c r="CQ525" s="90"/>
      <c r="CR525" s="90"/>
      <c r="CS525" s="90"/>
      <c r="CT525" s="137"/>
    </row>
    <row r="526" spans="1:98" ht="45">
      <c r="A526" s="89">
        <v>230493</v>
      </c>
      <c r="B526" s="90">
        <v>2020</v>
      </c>
      <c r="C526" s="90" t="s">
        <v>81</v>
      </c>
      <c r="D526" s="90" t="s">
        <v>1440</v>
      </c>
      <c r="E526" s="125" t="s">
        <v>793</v>
      </c>
      <c r="F526" s="24" t="s">
        <v>1441</v>
      </c>
      <c r="G526" s="90" t="s">
        <v>85</v>
      </c>
      <c r="H526" s="90" t="s">
        <v>150</v>
      </c>
      <c r="I526" s="90">
        <v>93</v>
      </c>
      <c r="J526" s="90">
        <v>157</v>
      </c>
      <c r="K526" s="90" t="s">
        <v>85</v>
      </c>
      <c r="L526" s="90" t="s">
        <v>1442</v>
      </c>
      <c r="M526" s="90" t="s">
        <v>119</v>
      </c>
      <c r="N526" s="24" t="s">
        <v>1199</v>
      </c>
      <c r="O526" s="24" t="str">
        <f>IF(ISNUMBER(SEARCH("Cancer",N526)),"Cancer",IF(ISNUMBER(SEARCH("health",N526)),"Public health",IF(ISNUMBER(SEARCH("disabilities",N526)),"Disabilities","Other")))</f>
        <v>Other</v>
      </c>
      <c r="P526" s="126">
        <v>2597539</v>
      </c>
      <c r="Q526" s="90" t="s">
        <v>85</v>
      </c>
      <c r="R526" s="90" t="str">
        <f>IF(P526&gt;20000000,"B","A")</f>
        <v>A</v>
      </c>
      <c r="S526" s="90" t="s">
        <v>90</v>
      </c>
      <c r="T526" s="90" t="s">
        <v>119</v>
      </c>
      <c r="U526" s="90" t="s">
        <v>119</v>
      </c>
      <c r="V526" s="90" t="s">
        <v>119</v>
      </c>
      <c r="W526" s="90" t="s">
        <v>119</v>
      </c>
      <c r="X526" s="90" t="s">
        <v>119</v>
      </c>
      <c r="Y526" s="90" t="s">
        <v>119</v>
      </c>
      <c r="Z526" s="90" t="s">
        <v>119</v>
      </c>
      <c r="AA526" s="90" t="s">
        <v>119</v>
      </c>
      <c r="AB526" s="90" t="s">
        <v>119</v>
      </c>
      <c r="AC526" s="90" t="s">
        <v>119</v>
      </c>
      <c r="AD526" s="90" t="s">
        <v>119</v>
      </c>
      <c r="AE526" s="24">
        <v>0</v>
      </c>
      <c r="AF526" s="90">
        <v>0</v>
      </c>
      <c r="AG526" s="24">
        <v>0</v>
      </c>
      <c r="AH526" s="90">
        <v>85689</v>
      </c>
      <c r="AI526" s="24" t="s">
        <v>102</v>
      </c>
      <c r="AJ526" s="24" t="s">
        <v>1444</v>
      </c>
      <c r="AK526" s="90" t="s">
        <v>85</v>
      </c>
      <c r="AL526" s="90">
        <v>230493</v>
      </c>
      <c r="AM526" s="90" t="s">
        <v>81</v>
      </c>
      <c r="AN526" s="90" t="s">
        <v>1440</v>
      </c>
      <c r="AO526" s="125" t="s">
        <v>793</v>
      </c>
      <c r="AP526" s="24" t="s">
        <v>1199</v>
      </c>
      <c r="AQ526" s="90" t="s">
        <v>1442</v>
      </c>
      <c r="AR526" s="24" t="s">
        <v>1199</v>
      </c>
      <c r="AS526" s="90" t="s">
        <v>119</v>
      </c>
      <c r="AT526" s="24" t="s">
        <v>102</v>
      </c>
      <c r="AU526" s="90" t="s">
        <v>119</v>
      </c>
      <c r="AV526" s="90" t="str">
        <f>IF(ISNUMBER(SEARCH("disagree",AE526)),"N","Y")</f>
        <v>Y</v>
      </c>
      <c r="AW526" s="90" t="s">
        <v>119</v>
      </c>
      <c r="AX526" s="24" t="s">
        <v>119</v>
      </c>
      <c r="AY526" s="90" t="str">
        <f>CONCATENATE(AZ526,BA526,BB526,BC526)</f>
        <v/>
      </c>
      <c r="AZ526" s="90" t="str">
        <f>IF(ISNUMBER(SEARCH("Y",AC526)),"R","")</f>
        <v/>
      </c>
      <c r="BA526" s="90" t="str">
        <f>IF(ISNUMBER(SEARCH("Y",Y526)),"M","")</f>
        <v/>
      </c>
      <c r="BB526" s="90" t="str">
        <f>IF(ISNUMBER(SEARCH("Y",AB526)),"QC","")</f>
        <v/>
      </c>
      <c r="BC526" s="90" t="str">
        <f>IF(ISNUMBER(SEARCH("Y",Z526)),"S","")</f>
        <v/>
      </c>
      <c r="BD526" s="90"/>
      <c r="BE526" s="24" t="s">
        <v>119</v>
      </c>
      <c r="BF526" s="125" t="str">
        <f>IF(AND(AW526&gt;=56543,AW526&lt;=76543,LEN(AW526)&gt;0),"3 Feb 2020",IF(AND(AW526&gt;=66544,AW526&lt;=99999,LEN(AW526)&gt;0),"12 Sep 2020",""))</f>
        <v/>
      </c>
      <c r="BG526" s="125" t="str">
        <f>IF((AND(BF526="3 Feb 2020",LEN(BF526)&gt;0)),"Completed",IF((AND(BF526="12 Sep 2020",LEN(BF526)&gt;0)),"Pending",""))</f>
        <v/>
      </c>
      <c r="BH526" s="90" t="str">
        <f>IF((AND(BF526="3 Feb 2020",LEN(BF526)&gt;0)),"3 Feb 2020","")</f>
        <v/>
      </c>
      <c r="BI526" s="90">
        <v>230493</v>
      </c>
      <c r="BJ526" s="90" t="str">
        <f>L526</f>
        <v>8D11FT843361-40</v>
      </c>
      <c r="BK526" s="127">
        <v>43508</v>
      </c>
      <c r="BL526" s="127">
        <v>44239</v>
      </c>
      <c r="BM526" s="128">
        <f>P526*1.1</f>
        <v>2857292.9000000004</v>
      </c>
      <c r="BN526" s="129">
        <f>P526*0.9</f>
        <v>2337785.1</v>
      </c>
      <c r="BO526" s="130">
        <f>P526*0.8</f>
        <v>2078031.2000000002</v>
      </c>
      <c r="BP526" s="90">
        <f>IF(Z526="Y",BM526*0.4,BM526*1.05)</f>
        <v>3000157.5450000004</v>
      </c>
      <c r="BQ526" s="90">
        <f>BP526*0.8</f>
        <v>2400126.0360000003</v>
      </c>
      <c r="BR526" s="90" t="str">
        <f>IF(ISNUMBER(SEARCH("subrecipient",AI522)),P526*0.6,"")</f>
        <v/>
      </c>
      <c r="BS526" s="90">
        <v>230493</v>
      </c>
      <c r="BT526" s="90" t="str">
        <f>BJ526</f>
        <v>8D11FT843361-40</v>
      </c>
      <c r="BU526" s="127">
        <f>BK526</f>
        <v>43508</v>
      </c>
      <c r="BV526" s="127">
        <f>BL526</f>
        <v>44239</v>
      </c>
      <c r="BW526" s="90" t="str">
        <f>H526</f>
        <v>ACF</v>
      </c>
      <c r="BX526" s="90" t="str">
        <f>IF(H526="NATIONAL HEMOPHILIA FOUNDATION","Non Federal","Federal")</f>
        <v>Federal</v>
      </c>
      <c r="BY526" s="128">
        <f>BM526</f>
        <v>2857292.9000000004</v>
      </c>
      <c r="BZ526" s="90" t="str">
        <f>IF(LEN(BR526)&gt;0,1,"")</f>
        <v/>
      </c>
      <c r="CA526" s="90" t="str">
        <f>IF(LEN(BR526)&gt;0,"VIRAL HEPATITIS PROJECT","")</f>
        <v/>
      </c>
      <c r="CB526" s="129" t="str">
        <f>IF(LEN(BR526)&gt;0,BM526*0.7,"")</f>
        <v/>
      </c>
      <c r="CC526" s="90">
        <f>BP526</f>
        <v>3000157.5450000004</v>
      </c>
      <c r="CD526" s="90" t="str">
        <f>IF(LEN(BR526)&gt;0,"70%","")</f>
        <v/>
      </c>
      <c r="CE526" s="90">
        <f>BS526</f>
        <v>230493</v>
      </c>
      <c r="CF526" s="90" t="str">
        <f>CA526</f>
        <v/>
      </c>
      <c r="CG526" s="90"/>
      <c r="CH526" s="90"/>
      <c r="CI526" s="90"/>
      <c r="CJ526" s="90"/>
      <c r="CK526" s="90"/>
      <c r="CL526" s="90"/>
      <c r="CM526" s="90"/>
      <c r="CN526" s="90"/>
      <c r="CO526" s="90"/>
      <c r="CP526" s="90"/>
      <c r="CQ526" s="90"/>
      <c r="CR526" s="90"/>
      <c r="CS526" s="90"/>
      <c r="CT526" s="137"/>
    </row>
    <row r="527" spans="1:98" ht="30">
      <c r="A527" s="89">
        <v>230493</v>
      </c>
      <c r="B527" s="90">
        <v>2020</v>
      </c>
      <c r="C527" s="90" t="s">
        <v>81</v>
      </c>
      <c r="D527" s="90" t="s">
        <v>1440</v>
      </c>
      <c r="E527" s="125" t="s">
        <v>780</v>
      </c>
      <c r="F527" s="24" t="s">
        <v>1441</v>
      </c>
      <c r="G527" s="90" t="s">
        <v>85</v>
      </c>
      <c r="H527" s="90" t="s">
        <v>150</v>
      </c>
      <c r="I527" s="90">
        <v>93</v>
      </c>
      <c r="J527" s="90">
        <v>157</v>
      </c>
      <c r="K527" s="90" t="s">
        <v>85</v>
      </c>
      <c r="L527" s="90" t="s">
        <v>1442</v>
      </c>
      <c r="M527" s="90" t="s">
        <v>119</v>
      </c>
      <c r="N527" s="24" t="s">
        <v>1199</v>
      </c>
      <c r="O527" s="24" t="str">
        <f>IF(ISNUMBER(SEARCH("Cancer",N527)),"Cancer",IF(ISNUMBER(SEARCH("health",N527)),"Public health",IF(ISNUMBER(SEARCH("disabilities",N527)),"Disabilities","Other")))</f>
        <v>Other</v>
      </c>
      <c r="P527" s="126">
        <v>2597539</v>
      </c>
      <c r="Q527" s="90" t="s">
        <v>85</v>
      </c>
      <c r="R527" s="90" t="str">
        <f>IF(P527&gt;20000000,"B","A")</f>
        <v>A</v>
      </c>
      <c r="S527" s="90" t="s">
        <v>90</v>
      </c>
      <c r="T527" s="90" t="s">
        <v>119</v>
      </c>
      <c r="U527" s="90" t="s">
        <v>119</v>
      </c>
      <c r="V527" s="90" t="s">
        <v>119</v>
      </c>
      <c r="W527" s="90" t="s">
        <v>119</v>
      </c>
      <c r="X527" s="90" t="s">
        <v>119</v>
      </c>
      <c r="Y527" s="90" t="s">
        <v>119</v>
      </c>
      <c r="Z527" s="90" t="s">
        <v>119</v>
      </c>
      <c r="AA527" s="90" t="s">
        <v>119</v>
      </c>
      <c r="AB527" s="90" t="s">
        <v>119</v>
      </c>
      <c r="AC527" s="90" t="s">
        <v>119</v>
      </c>
      <c r="AD527" s="90" t="s">
        <v>119</v>
      </c>
      <c r="AE527" s="24">
        <v>0</v>
      </c>
      <c r="AF527" s="90">
        <v>0</v>
      </c>
      <c r="AG527" s="24">
        <v>0</v>
      </c>
      <c r="AH527" s="90">
        <v>85690</v>
      </c>
      <c r="AI527" s="24" t="s">
        <v>110</v>
      </c>
      <c r="AJ527" s="24" t="s">
        <v>1445</v>
      </c>
      <c r="AK527" s="90" t="s">
        <v>85</v>
      </c>
      <c r="AL527" s="90">
        <v>230493</v>
      </c>
      <c r="AM527" s="90" t="s">
        <v>81</v>
      </c>
      <c r="AN527" s="90" t="s">
        <v>1440</v>
      </c>
      <c r="AO527" s="125" t="s">
        <v>780</v>
      </c>
      <c r="AP527" s="24" t="s">
        <v>1199</v>
      </c>
      <c r="AQ527" s="90" t="s">
        <v>1442</v>
      </c>
      <c r="AR527" s="24" t="s">
        <v>1199</v>
      </c>
      <c r="AS527" s="90" t="s">
        <v>119</v>
      </c>
      <c r="AT527" s="24" t="s">
        <v>110</v>
      </c>
      <c r="AU527" s="90" t="s">
        <v>119</v>
      </c>
      <c r="AV527" s="90" t="str">
        <f>IF(ISNUMBER(SEARCH("disagree",AE527)),"N","Y")</f>
        <v>Y</v>
      </c>
      <c r="AW527" s="90" t="s">
        <v>119</v>
      </c>
      <c r="AX527" s="24" t="s">
        <v>119</v>
      </c>
      <c r="AY527" s="90" t="str">
        <f>CONCATENATE(AZ527,BA527,BB527,BC527)</f>
        <v/>
      </c>
      <c r="AZ527" s="90" t="str">
        <f>IF(ISNUMBER(SEARCH("Y",AC527)),"R","")</f>
        <v/>
      </c>
      <c r="BA527" s="90" t="str">
        <f>IF(ISNUMBER(SEARCH("Y",Y527)),"M","")</f>
        <v/>
      </c>
      <c r="BB527" s="90" t="str">
        <f>IF(ISNUMBER(SEARCH("Y",AB527)),"QC","")</f>
        <v/>
      </c>
      <c r="BC527" s="90" t="str">
        <f>IF(ISNUMBER(SEARCH("Y",Z527)),"S","")</f>
        <v/>
      </c>
      <c r="BD527" s="90"/>
      <c r="BE527" s="24" t="s">
        <v>119</v>
      </c>
      <c r="BF527" s="125" t="str">
        <f>IF(AND(AW527&gt;=56543,AW527&lt;=76543,LEN(AW527)&gt;0),"3 Feb 2020",IF(AND(AW527&gt;=66544,AW527&lt;=99999,LEN(AW527)&gt;0),"12 Sep 2020",""))</f>
        <v/>
      </c>
      <c r="BG527" s="125" t="str">
        <f>IF((AND(BF527="3 Feb 2020",LEN(BF527)&gt;0)),"Completed",IF((AND(BF527="12 Sep 2020",LEN(BF527)&gt;0)),"Pending",""))</f>
        <v/>
      </c>
      <c r="BH527" s="90" t="str">
        <f>IF((AND(BF527="3 Feb 2020",LEN(BF527)&gt;0)),"3 Feb 2020","")</f>
        <v/>
      </c>
      <c r="BI527" s="90">
        <v>230493</v>
      </c>
      <c r="BJ527" s="90" t="str">
        <f>L527</f>
        <v>8D11FT843361-40</v>
      </c>
      <c r="BK527" s="127">
        <v>43508</v>
      </c>
      <c r="BL527" s="127">
        <v>44239</v>
      </c>
      <c r="BM527" s="128">
        <f>P527*1.1</f>
        <v>2857292.9000000004</v>
      </c>
      <c r="BN527" s="129">
        <f>P527*0.9</f>
        <v>2337785.1</v>
      </c>
      <c r="BO527" s="130">
        <f>P527*0.8</f>
        <v>2078031.2000000002</v>
      </c>
      <c r="BP527" s="90">
        <f>IF(Z527="Y",BM527*0.4,BM527*1.05)</f>
        <v>3000157.5450000004</v>
      </c>
      <c r="BQ527" s="90">
        <f>BP527*0.8</f>
        <v>2400126.0360000003</v>
      </c>
      <c r="BR527" s="90" t="str">
        <f>IF(ISNUMBER(SEARCH("subrecipient",AI523)),P527*0.6,"")</f>
        <v/>
      </c>
      <c r="BS527" s="90">
        <v>230493</v>
      </c>
      <c r="BT527" s="90" t="str">
        <f>BJ527</f>
        <v>8D11FT843361-40</v>
      </c>
      <c r="BU527" s="127">
        <f>BK527</f>
        <v>43508</v>
      </c>
      <c r="BV527" s="127">
        <f>BL527</f>
        <v>44239</v>
      </c>
      <c r="BW527" s="90" t="str">
        <f>H527</f>
        <v>ACF</v>
      </c>
      <c r="BX527" s="90" t="str">
        <f>IF(H527="NATIONAL HEMOPHILIA FOUNDATION","Non Federal","Federal")</f>
        <v>Federal</v>
      </c>
      <c r="BY527" s="128">
        <f>BM527</f>
        <v>2857292.9000000004</v>
      </c>
      <c r="BZ527" s="90" t="str">
        <f>IF(LEN(BR527)&gt;0,1,"")</f>
        <v/>
      </c>
      <c r="CA527" s="90" t="str">
        <f>IF(LEN(BR527)&gt;0,"VIRAL HEPATITIS PROJECT","")</f>
        <v/>
      </c>
      <c r="CB527" s="129" t="str">
        <f>IF(LEN(BR527)&gt;0,BM527*0.7,"")</f>
        <v/>
      </c>
      <c r="CC527" s="90">
        <f>BP527</f>
        <v>3000157.5450000004</v>
      </c>
      <c r="CD527" s="90" t="str">
        <f>IF(LEN(BR527)&gt;0,"70%","")</f>
        <v/>
      </c>
      <c r="CE527" s="90">
        <f>BS527</f>
        <v>230493</v>
      </c>
      <c r="CF527" s="90" t="str">
        <f>CA527</f>
        <v/>
      </c>
      <c r="CG527" s="90"/>
      <c r="CH527" s="90"/>
      <c r="CI527" s="90"/>
      <c r="CJ527" s="90"/>
      <c r="CK527" s="90"/>
      <c r="CL527" s="90"/>
      <c r="CM527" s="90"/>
      <c r="CN527" s="90"/>
      <c r="CO527" s="90"/>
      <c r="CP527" s="90"/>
      <c r="CQ527" s="90"/>
      <c r="CR527" s="90"/>
      <c r="CS527" s="90"/>
      <c r="CT527" s="137"/>
    </row>
    <row r="528" spans="1:98" ht="90">
      <c r="A528" s="89">
        <v>230495</v>
      </c>
      <c r="B528" s="90">
        <v>2020</v>
      </c>
      <c r="C528" s="90" t="s">
        <v>81</v>
      </c>
      <c r="D528" s="90" t="s">
        <v>1446</v>
      </c>
      <c r="E528" s="125" t="s">
        <v>781</v>
      </c>
      <c r="F528" s="24" t="s">
        <v>1447</v>
      </c>
      <c r="G528" s="90" t="s">
        <v>85</v>
      </c>
      <c r="H528" s="90" t="s">
        <v>86</v>
      </c>
      <c r="I528" s="90">
        <v>93</v>
      </c>
      <c r="J528" s="90">
        <v>157</v>
      </c>
      <c r="K528" s="90" t="s">
        <v>85</v>
      </c>
      <c r="L528" s="90" t="s">
        <v>1448</v>
      </c>
      <c r="M528" s="90" t="s">
        <v>119</v>
      </c>
      <c r="N528" s="24" t="s">
        <v>1449</v>
      </c>
      <c r="O528" s="24" t="str">
        <f>IF(ISNUMBER(SEARCH("Cancer",N528)),"Cancer",IF(ISNUMBER(SEARCH("health",N528)),"Public health",IF(ISNUMBER(SEARCH("disabilities",N528)),"Disabilities","Other")))</f>
        <v>Public health</v>
      </c>
      <c r="P528" s="126">
        <v>2024467</v>
      </c>
      <c r="Q528" s="90" t="s">
        <v>85</v>
      </c>
      <c r="R528" s="90" t="str">
        <f>IF(P528&gt;20000000,"B","A")</f>
        <v>A</v>
      </c>
      <c r="S528" s="90" t="s">
        <v>90</v>
      </c>
      <c r="T528" s="90" t="s">
        <v>119</v>
      </c>
      <c r="U528" s="90" t="s">
        <v>119</v>
      </c>
      <c r="V528" s="90" t="s">
        <v>119</v>
      </c>
      <c r="W528" s="90" t="s">
        <v>119</v>
      </c>
      <c r="X528" s="90" t="s">
        <v>119</v>
      </c>
      <c r="Y528" s="90" t="s">
        <v>119</v>
      </c>
      <c r="Z528" s="90" t="s">
        <v>119</v>
      </c>
      <c r="AA528" s="90" t="s">
        <v>119</v>
      </c>
      <c r="AB528" s="90" t="s">
        <v>119</v>
      </c>
      <c r="AC528" s="90" t="s">
        <v>119</v>
      </c>
      <c r="AD528" s="90" t="s">
        <v>119</v>
      </c>
      <c r="AE528" s="24">
        <v>0</v>
      </c>
      <c r="AF528" s="90">
        <v>0</v>
      </c>
      <c r="AG528" s="24">
        <v>0</v>
      </c>
      <c r="AH528" s="90">
        <v>89612</v>
      </c>
      <c r="AI528" s="24" t="s">
        <v>94</v>
      </c>
      <c r="AJ528" s="24" t="s">
        <v>700</v>
      </c>
      <c r="AK528" s="90" t="s">
        <v>85</v>
      </c>
      <c r="AL528" s="90">
        <v>230495</v>
      </c>
      <c r="AM528" s="90" t="s">
        <v>81</v>
      </c>
      <c r="AN528" s="90" t="s">
        <v>1446</v>
      </c>
      <c r="AO528" s="125" t="s">
        <v>781</v>
      </c>
      <c r="AP528" s="24" t="s">
        <v>1449</v>
      </c>
      <c r="AQ528" s="90" t="s">
        <v>1448</v>
      </c>
      <c r="AR528" s="24" t="s">
        <v>1449</v>
      </c>
      <c r="AS528" s="90" t="s">
        <v>119</v>
      </c>
      <c r="AT528" s="24" t="s">
        <v>94</v>
      </c>
      <c r="AU528" s="90" t="s">
        <v>119</v>
      </c>
      <c r="AV528" s="90" t="str">
        <f>IF(ISNUMBER(SEARCH("disagree",AE528)),"N","Y")</f>
        <v>Y</v>
      </c>
      <c r="AW528" s="90" t="s">
        <v>119</v>
      </c>
      <c r="AX528" s="24" t="s">
        <v>119</v>
      </c>
      <c r="AY528" s="90" t="str">
        <f>CONCATENATE(AZ528,BA528,BB528,BC528)</f>
        <v/>
      </c>
      <c r="AZ528" s="90" t="str">
        <f>IF(ISNUMBER(SEARCH("Y",AC528)),"R","")</f>
        <v/>
      </c>
      <c r="BA528" s="90" t="str">
        <f>IF(ISNUMBER(SEARCH("Y",Y528)),"M","")</f>
        <v/>
      </c>
      <c r="BB528" s="90" t="str">
        <f>IF(ISNUMBER(SEARCH("Y",AB528)),"QC","")</f>
        <v/>
      </c>
      <c r="BC528" s="90" t="str">
        <f>IF(ISNUMBER(SEARCH("Y",Z528)),"S","")</f>
        <v/>
      </c>
      <c r="BD528" s="90"/>
      <c r="BE528" s="24" t="s">
        <v>119</v>
      </c>
      <c r="BF528" s="125" t="str">
        <f>IF(AND(AW528&gt;=56543,AW528&lt;=76543,LEN(AW528)&gt;0),"3 Feb 2020",IF(AND(AW528&gt;=66544,AW528&lt;=99999,LEN(AW528)&gt;0),"12 Sep 2020",""))</f>
        <v/>
      </c>
      <c r="BG528" s="125" t="str">
        <f>IF((AND(BF528="3 Feb 2020",LEN(BF528)&gt;0)),"Completed",IF((AND(BF528="12 Sep 2020",LEN(BF528)&gt;0)),"Pending",""))</f>
        <v/>
      </c>
      <c r="BH528" s="90" t="str">
        <f>IF((AND(BF528="3 Feb 2020",LEN(BF528)&gt;0)),"3 Feb 2020","")</f>
        <v/>
      </c>
      <c r="BI528" s="90">
        <v>230495</v>
      </c>
      <c r="BJ528" s="90" t="str">
        <f>L528</f>
        <v>6C39CS843361-60</v>
      </c>
      <c r="BK528" s="127">
        <v>43508</v>
      </c>
      <c r="BL528" s="127">
        <v>44239</v>
      </c>
      <c r="BM528" s="128">
        <f>P528*1.1</f>
        <v>2226913.7000000002</v>
      </c>
      <c r="BN528" s="129">
        <f>P528*0.9</f>
        <v>1822020.3</v>
      </c>
      <c r="BO528" s="130">
        <f>P528*0.8</f>
        <v>1619573.6</v>
      </c>
      <c r="BP528" s="90">
        <f>IF(Z528="Y",BM528*0.4,BM528*1.05)</f>
        <v>2338259.3850000002</v>
      </c>
      <c r="BQ528" s="90">
        <f>BP528*0.8</f>
        <v>1870607.5080000004</v>
      </c>
      <c r="BR528" s="90" t="str">
        <f>IF(ISNUMBER(SEARCH("subrecipient",AI524)),P528*0.6,"")</f>
        <v/>
      </c>
      <c r="BS528" s="90">
        <v>230495</v>
      </c>
      <c r="BT528" s="90" t="str">
        <f>BJ528</f>
        <v>6C39CS843361-60</v>
      </c>
      <c r="BU528" s="127">
        <f>BK528</f>
        <v>43508</v>
      </c>
      <c r="BV528" s="127">
        <f>BL528</f>
        <v>44239</v>
      </c>
      <c r="BW528" s="90" t="str">
        <f>H528</f>
        <v>CDC</v>
      </c>
      <c r="BX528" s="90" t="str">
        <f>IF(H528="NATIONAL HEMOPHILIA FOUNDATION","Non Federal","Federal")</f>
        <v>Federal</v>
      </c>
      <c r="BY528" s="128">
        <f>BM528</f>
        <v>2226913.7000000002</v>
      </c>
      <c r="BZ528" s="90" t="str">
        <f>IF(LEN(BR528)&gt;0,1,"")</f>
        <v/>
      </c>
      <c r="CA528" s="90" t="str">
        <f>IF(LEN(BR528)&gt;0,"VIRAL HEPATITIS PROJECT","")</f>
        <v/>
      </c>
      <c r="CB528" s="129" t="str">
        <f>IF(LEN(BR528)&gt;0,BM528*0.7,"")</f>
        <v/>
      </c>
      <c r="CC528" s="90">
        <f>BP528</f>
        <v>2338259.3850000002</v>
      </c>
      <c r="CD528" s="90" t="str">
        <f>IF(LEN(BR528)&gt;0,"70%","")</f>
        <v/>
      </c>
      <c r="CE528" s="90">
        <f>BS528</f>
        <v>230495</v>
      </c>
      <c r="CF528" s="90" t="str">
        <f>CA528</f>
        <v/>
      </c>
      <c r="CG528" s="90"/>
      <c r="CH528" s="90"/>
      <c r="CI528" s="90"/>
      <c r="CJ528" s="90"/>
      <c r="CK528" s="90"/>
      <c r="CL528" s="90"/>
      <c r="CM528" s="90"/>
      <c r="CN528" s="90"/>
      <c r="CO528" s="90"/>
      <c r="CP528" s="90"/>
      <c r="CQ528" s="90"/>
      <c r="CR528" s="90"/>
      <c r="CS528" s="90"/>
      <c r="CT528" s="137"/>
    </row>
    <row r="529" spans="1:98" ht="90">
      <c r="A529" s="89">
        <v>230495</v>
      </c>
      <c r="B529" s="90">
        <v>2020</v>
      </c>
      <c r="C529" s="90" t="s">
        <v>81</v>
      </c>
      <c r="D529" s="90" t="s">
        <v>1446</v>
      </c>
      <c r="E529" s="125" t="s">
        <v>784</v>
      </c>
      <c r="F529" s="24" t="s">
        <v>1447</v>
      </c>
      <c r="G529" s="90" t="s">
        <v>85</v>
      </c>
      <c r="H529" s="90" t="s">
        <v>86</v>
      </c>
      <c r="I529" s="90">
        <v>93</v>
      </c>
      <c r="J529" s="90">
        <v>157</v>
      </c>
      <c r="K529" s="90" t="s">
        <v>85</v>
      </c>
      <c r="L529" s="90" t="s">
        <v>1448</v>
      </c>
      <c r="M529" s="90" t="s">
        <v>119</v>
      </c>
      <c r="N529" s="24" t="s">
        <v>1449</v>
      </c>
      <c r="O529" s="24" t="str">
        <f>IF(ISNUMBER(SEARCH("Cancer",N529)),"Cancer",IF(ISNUMBER(SEARCH("health",N529)),"Public health",IF(ISNUMBER(SEARCH("disabilities",N529)),"Disabilities","Other")))</f>
        <v>Public health</v>
      </c>
      <c r="P529" s="126">
        <v>2024467</v>
      </c>
      <c r="Q529" s="90" t="s">
        <v>85</v>
      </c>
      <c r="R529" s="90" t="str">
        <f>IF(P529&gt;20000000,"B","A")</f>
        <v>A</v>
      </c>
      <c r="S529" s="90" t="s">
        <v>90</v>
      </c>
      <c r="T529" s="90" t="s">
        <v>119</v>
      </c>
      <c r="U529" s="90" t="s">
        <v>119</v>
      </c>
      <c r="V529" s="90" t="s">
        <v>119</v>
      </c>
      <c r="W529" s="90" t="s">
        <v>119</v>
      </c>
      <c r="X529" s="90" t="s">
        <v>119</v>
      </c>
      <c r="Y529" s="90" t="s">
        <v>119</v>
      </c>
      <c r="Z529" s="90" t="s">
        <v>119</v>
      </c>
      <c r="AA529" s="90" t="s">
        <v>119</v>
      </c>
      <c r="AB529" s="90" t="s">
        <v>119</v>
      </c>
      <c r="AC529" s="90" t="s">
        <v>119</v>
      </c>
      <c r="AD529" s="90" t="s">
        <v>119</v>
      </c>
      <c r="AE529" s="24">
        <v>0</v>
      </c>
      <c r="AF529" s="90">
        <v>0</v>
      </c>
      <c r="AG529" s="24">
        <v>0</v>
      </c>
      <c r="AH529" s="90">
        <v>89613</v>
      </c>
      <c r="AI529" s="24" t="s">
        <v>102</v>
      </c>
      <c r="AJ529" s="24" t="s">
        <v>103</v>
      </c>
      <c r="AK529" s="90" t="s">
        <v>85</v>
      </c>
      <c r="AL529" s="90">
        <v>230495</v>
      </c>
      <c r="AM529" s="90" t="s">
        <v>81</v>
      </c>
      <c r="AN529" s="90" t="s">
        <v>1446</v>
      </c>
      <c r="AO529" s="125" t="s">
        <v>784</v>
      </c>
      <c r="AP529" s="24" t="s">
        <v>1449</v>
      </c>
      <c r="AQ529" s="90" t="s">
        <v>1448</v>
      </c>
      <c r="AR529" s="24" t="s">
        <v>1449</v>
      </c>
      <c r="AS529" s="90" t="s">
        <v>119</v>
      </c>
      <c r="AT529" s="24" t="s">
        <v>102</v>
      </c>
      <c r="AU529" s="90" t="s">
        <v>119</v>
      </c>
      <c r="AV529" s="90" t="str">
        <f>IF(ISNUMBER(SEARCH("disagree",AE529)),"N","Y")</f>
        <v>Y</v>
      </c>
      <c r="AW529" s="90" t="s">
        <v>119</v>
      </c>
      <c r="AX529" s="24" t="s">
        <v>119</v>
      </c>
      <c r="AY529" s="90" t="str">
        <f>CONCATENATE(AZ529,BA529,BB529,BC529)</f>
        <v/>
      </c>
      <c r="AZ529" s="90" t="str">
        <f>IF(ISNUMBER(SEARCH("Y",AC529)),"R","")</f>
        <v/>
      </c>
      <c r="BA529" s="90" t="str">
        <f>IF(ISNUMBER(SEARCH("Y",Y529)),"M","")</f>
        <v/>
      </c>
      <c r="BB529" s="90" t="str">
        <f>IF(ISNUMBER(SEARCH("Y",AB529)),"QC","")</f>
        <v/>
      </c>
      <c r="BC529" s="90" t="str">
        <f>IF(ISNUMBER(SEARCH("Y",Z529)),"S","")</f>
        <v/>
      </c>
      <c r="BD529" s="90"/>
      <c r="BE529" s="24" t="s">
        <v>119</v>
      </c>
      <c r="BF529" s="125" t="str">
        <f>IF(AND(AW529&gt;=56543,AW529&lt;=76543,LEN(AW529)&gt;0),"3 Feb 2020",IF(AND(AW529&gt;=66544,AW529&lt;=99999,LEN(AW529)&gt;0),"12 Sep 2020",""))</f>
        <v/>
      </c>
      <c r="BG529" s="125" t="str">
        <f>IF((AND(BF529="3 Feb 2020",LEN(BF529)&gt;0)),"Completed",IF((AND(BF529="12 Sep 2020",LEN(BF529)&gt;0)),"Pending",""))</f>
        <v/>
      </c>
      <c r="BH529" s="90" t="str">
        <f>IF((AND(BF529="3 Feb 2020",LEN(BF529)&gt;0)),"3 Feb 2020","")</f>
        <v/>
      </c>
      <c r="BI529" s="90">
        <v>230495</v>
      </c>
      <c r="BJ529" s="90" t="str">
        <f>L529</f>
        <v>6C39CS843361-60</v>
      </c>
      <c r="BK529" s="127">
        <v>43508</v>
      </c>
      <c r="BL529" s="127">
        <v>44239</v>
      </c>
      <c r="BM529" s="128">
        <f>P529*1.1</f>
        <v>2226913.7000000002</v>
      </c>
      <c r="BN529" s="129">
        <f>P529*0.9</f>
        <v>1822020.3</v>
      </c>
      <c r="BO529" s="130">
        <f>P529*0.8</f>
        <v>1619573.6</v>
      </c>
      <c r="BP529" s="90">
        <f>IF(Z529="Y",BM529*0.4,BM529*1.05)</f>
        <v>2338259.3850000002</v>
      </c>
      <c r="BQ529" s="90">
        <f>BP529*0.8</f>
        <v>1870607.5080000004</v>
      </c>
      <c r="BR529" s="90" t="str">
        <f>IF(ISNUMBER(SEARCH("subrecipient",AI525)),P529*0.6,"")</f>
        <v/>
      </c>
      <c r="BS529" s="90">
        <v>230495</v>
      </c>
      <c r="BT529" s="90" t="str">
        <f>BJ529</f>
        <v>6C39CS843361-60</v>
      </c>
      <c r="BU529" s="127">
        <f>BK529</f>
        <v>43508</v>
      </c>
      <c r="BV529" s="127">
        <f>BL529</f>
        <v>44239</v>
      </c>
      <c r="BW529" s="90" t="str">
        <f>H529</f>
        <v>CDC</v>
      </c>
      <c r="BX529" s="90" t="str">
        <f>IF(H529="NATIONAL HEMOPHILIA FOUNDATION","Non Federal","Federal")</f>
        <v>Federal</v>
      </c>
      <c r="BY529" s="128">
        <f>BM529</f>
        <v>2226913.7000000002</v>
      </c>
      <c r="BZ529" s="90" t="str">
        <f>IF(LEN(BR529)&gt;0,1,"")</f>
        <v/>
      </c>
      <c r="CA529" s="90" t="str">
        <f>IF(LEN(BR529)&gt;0,"VIRAL HEPATITIS PROJECT","")</f>
        <v/>
      </c>
      <c r="CB529" s="129" t="str">
        <f>IF(LEN(BR529)&gt;0,BM529*0.7,"")</f>
        <v/>
      </c>
      <c r="CC529" s="90">
        <f>BP529</f>
        <v>2338259.3850000002</v>
      </c>
      <c r="CD529" s="90" t="str">
        <f>IF(LEN(BR529)&gt;0,"70%","")</f>
        <v/>
      </c>
      <c r="CE529" s="90">
        <f>BS529</f>
        <v>230495</v>
      </c>
      <c r="CF529" s="90" t="str">
        <f>CA529</f>
        <v/>
      </c>
      <c r="CG529" s="90"/>
      <c r="CH529" s="90"/>
      <c r="CI529" s="90"/>
      <c r="CJ529" s="90"/>
      <c r="CK529" s="90"/>
      <c r="CL529" s="90"/>
      <c r="CM529" s="90"/>
      <c r="CN529" s="90"/>
      <c r="CO529" s="90"/>
      <c r="CP529" s="90"/>
      <c r="CQ529" s="90"/>
      <c r="CR529" s="90"/>
      <c r="CS529" s="90"/>
      <c r="CT529" s="137"/>
    </row>
    <row r="530" spans="1:98" ht="90">
      <c r="A530" s="89">
        <v>230495</v>
      </c>
      <c r="B530" s="90">
        <v>2020</v>
      </c>
      <c r="C530" s="90" t="s">
        <v>81</v>
      </c>
      <c r="D530" s="90" t="s">
        <v>1446</v>
      </c>
      <c r="E530" s="125" t="s">
        <v>790</v>
      </c>
      <c r="F530" s="24" t="s">
        <v>1447</v>
      </c>
      <c r="G530" s="90" t="s">
        <v>85</v>
      </c>
      <c r="H530" s="90" t="s">
        <v>86</v>
      </c>
      <c r="I530" s="90">
        <v>93</v>
      </c>
      <c r="J530" s="90">
        <v>157</v>
      </c>
      <c r="K530" s="90" t="s">
        <v>85</v>
      </c>
      <c r="L530" s="90" t="s">
        <v>1448</v>
      </c>
      <c r="M530" s="90" t="s">
        <v>119</v>
      </c>
      <c r="N530" s="24" t="s">
        <v>1449</v>
      </c>
      <c r="O530" s="24" t="str">
        <f>IF(ISNUMBER(SEARCH("Cancer",N530)),"Cancer",IF(ISNUMBER(SEARCH("health",N530)),"Public health",IF(ISNUMBER(SEARCH("disabilities",N530)),"Disabilities","Other")))</f>
        <v>Public health</v>
      </c>
      <c r="P530" s="126">
        <v>2024467</v>
      </c>
      <c r="Q530" s="90" t="s">
        <v>85</v>
      </c>
      <c r="R530" s="90" t="str">
        <f>IF(P530&gt;20000000,"B","A")</f>
        <v>A</v>
      </c>
      <c r="S530" s="90" t="s">
        <v>90</v>
      </c>
      <c r="T530" s="90" t="s">
        <v>119</v>
      </c>
      <c r="U530" s="90" t="s">
        <v>119</v>
      </c>
      <c r="V530" s="90" t="s">
        <v>119</v>
      </c>
      <c r="W530" s="90" t="s">
        <v>119</v>
      </c>
      <c r="X530" s="90" t="s">
        <v>119</v>
      </c>
      <c r="Y530" s="90" t="s">
        <v>119</v>
      </c>
      <c r="Z530" s="90" t="s">
        <v>119</v>
      </c>
      <c r="AA530" s="90" t="s">
        <v>119</v>
      </c>
      <c r="AB530" s="90" t="s">
        <v>119</v>
      </c>
      <c r="AC530" s="90" t="s">
        <v>119</v>
      </c>
      <c r="AD530" s="90" t="s">
        <v>119</v>
      </c>
      <c r="AE530" s="24">
        <v>0</v>
      </c>
      <c r="AF530" s="90">
        <v>0</v>
      </c>
      <c r="AG530" s="24">
        <v>0</v>
      </c>
      <c r="AH530" s="90">
        <v>89614</v>
      </c>
      <c r="AI530" s="24" t="s">
        <v>110</v>
      </c>
      <c r="AJ530" s="24" t="s">
        <v>1450</v>
      </c>
      <c r="AK530" s="90" t="s">
        <v>85</v>
      </c>
      <c r="AL530" s="90">
        <v>230495</v>
      </c>
      <c r="AM530" s="90" t="s">
        <v>81</v>
      </c>
      <c r="AN530" s="90" t="s">
        <v>1446</v>
      </c>
      <c r="AO530" s="125" t="s">
        <v>790</v>
      </c>
      <c r="AP530" s="24" t="s">
        <v>1449</v>
      </c>
      <c r="AQ530" s="90" t="s">
        <v>1448</v>
      </c>
      <c r="AR530" s="24" t="s">
        <v>1449</v>
      </c>
      <c r="AS530" s="90" t="s">
        <v>119</v>
      </c>
      <c r="AT530" s="24" t="s">
        <v>110</v>
      </c>
      <c r="AU530" s="90" t="s">
        <v>119</v>
      </c>
      <c r="AV530" s="90" t="str">
        <f>IF(ISNUMBER(SEARCH("disagree",AE530)),"N","Y")</f>
        <v>Y</v>
      </c>
      <c r="AW530" s="90" t="s">
        <v>119</v>
      </c>
      <c r="AX530" s="24" t="s">
        <v>119</v>
      </c>
      <c r="AY530" s="90" t="str">
        <f>CONCATENATE(AZ530,BA530,BB530,BC530)</f>
        <v/>
      </c>
      <c r="AZ530" s="90" t="str">
        <f>IF(ISNUMBER(SEARCH("Y",AC530)),"R","")</f>
        <v/>
      </c>
      <c r="BA530" s="90" t="str">
        <f>IF(ISNUMBER(SEARCH("Y",Y530)),"M","")</f>
        <v/>
      </c>
      <c r="BB530" s="90" t="str">
        <f>IF(ISNUMBER(SEARCH("Y",AB530)),"QC","")</f>
        <v/>
      </c>
      <c r="BC530" s="90" t="str">
        <f>IF(ISNUMBER(SEARCH("Y",Z530)),"S","")</f>
        <v/>
      </c>
      <c r="BD530" s="90"/>
      <c r="BE530" s="24" t="s">
        <v>119</v>
      </c>
      <c r="BF530" s="125" t="str">
        <f>IF(AND(AW530&gt;=56543,AW530&lt;=76543,LEN(AW530)&gt;0),"3 Feb 2020",IF(AND(AW530&gt;=66544,AW530&lt;=99999,LEN(AW530)&gt;0),"12 Sep 2020",""))</f>
        <v/>
      </c>
      <c r="BG530" s="125" t="str">
        <f>IF((AND(BF530="3 Feb 2020",LEN(BF530)&gt;0)),"Completed",IF((AND(BF530="12 Sep 2020",LEN(BF530)&gt;0)),"Pending",""))</f>
        <v/>
      </c>
      <c r="BH530" s="90" t="str">
        <f>IF((AND(BF530="3 Feb 2020",LEN(BF530)&gt;0)),"3 Feb 2020","")</f>
        <v/>
      </c>
      <c r="BI530" s="90">
        <v>230495</v>
      </c>
      <c r="BJ530" s="90" t="str">
        <f>L530</f>
        <v>6C39CS843361-60</v>
      </c>
      <c r="BK530" s="127">
        <v>43508</v>
      </c>
      <c r="BL530" s="127">
        <v>44239</v>
      </c>
      <c r="BM530" s="128">
        <f>P530*1.1</f>
        <v>2226913.7000000002</v>
      </c>
      <c r="BN530" s="129">
        <f>P530*0.9</f>
        <v>1822020.3</v>
      </c>
      <c r="BO530" s="130">
        <f>P530*0.8</f>
        <v>1619573.6</v>
      </c>
      <c r="BP530" s="90">
        <f>IF(Z530="Y",BM530*0.4,BM530*1.05)</f>
        <v>2338259.3850000002</v>
      </c>
      <c r="BQ530" s="90">
        <f>BP530*0.8</f>
        <v>1870607.5080000004</v>
      </c>
      <c r="BR530" s="90" t="str">
        <f>IF(ISNUMBER(SEARCH("subrecipient",AI526)),P530*0.6,"")</f>
        <v/>
      </c>
      <c r="BS530" s="90">
        <v>230495</v>
      </c>
      <c r="BT530" s="90" t="str">
        <f>BJ530</f>
        <v>6C39CS843361-60</v>
      </c>
      <c r="BU530" s="127">
        <f>BK530</f>
        <v>43508</v>
      </c>
      <c r="BV530" s="127">
        <f>BL530</f>
        <v>44239</v>
      </c>
      <c r="BW530" s="90" t="str">
        <f>H530</f>
        <v>CDC</v>
      </c>
      <c r="BX530" s="90" t="str">
        <f>IF(H530="NATIONAL HEMOPHILIA FOUNDATION","Non Federal","Federal")</f>
        <v>Federal</v>
      </c>
      <c r="BY530" s="128">
        <f>BM530</f>
        <v>2226913.7000000002</v>
      </c>
      <c r="BZ530" s="90" t="str">
        <f>IF(LEN(BR530)&gt;0,1,"")</f>
        <v/>
      </c>
      <c r="CA530" s="90" t="str">
        <f>IF(LEN(BR530)&gt;0,"VIRAL HEPATITIS PROJECT","")</f>
        <v/>
      </c>
      <c r="CB530" s="129" t="str">
        <f>IF(LEN(BR530)&gt;0,BM530*0.7,"")</f>
        <v/>
      </c>
      <c r="CC530" s="90">
        <f>BP530</f>
        <v>2338259.3850000002</v>
      </c>
      <c r="CD530" s="90" t="str">
        <f>IF(LEN(BR530)&gt;0,"70%","")</f>
        <v/>
      </c>
      <c r="CE530" s="90">
        <f>BS530</f>
        <v>230495</v>
      </c>
      <c r="CF530" s="90" t="str">
        <f>CA530</f>
        <v/>
      </c>
      <c r="CG530" s="90"/>
      <c r="CH530" s="90"/>
      <c r="CI530" s="90"/>
      <c r="CJ530" s="90"/>
      <c r="CK530" s="90"/>
      <c r="CL530" s="90"/>
      <c r="CM530" s="90"/>
      <c r="CN530" s="90"/>
      <c r="CO530" s="90"/>
      <c r="CP530" s="90"/>
      <c r="CQ530" s="90"/>
      <c r="CR530" s="90"/>
      <c r="CS530" s="90"/>
      <c r="CT530" s="137"/>
    </row>
    <row r="531" spans="1:98" ht="195">
      <c r="A531" s="89">
        <v>230503</v>
      </c>
      <c r="B531" s="90">
        <v>2020</v>
      </c>
      <c r="C531" s="90" t="s">
        <v>81</v>
      </c>
      <c r="D531" s="90" t="s">
        <v>1451</v>
      </c>
      <c r="E531" s="125" t="s">
        <v>791</v>
      </c>
      <c r="F531" s="24" t="s">
        <v>1452</v>
      </c>
      <c r="G531" s="90" t="s">
        <v>85</v>
      </c>
      <c r="H531" s="90" t="s">
        <v>117</v>
      </c>
      <c r="I531" s="90">
        <v>93</v>
      </c>
      <c r="J531" s="90">
        <v>157</v>
      </c>
      <c r="K531" s="90" t="s">
        <v>85</v>
      </c>
      <c r="L531" s="90" t="s">
        <v>1453</v>
      </c>
      <c r="M531" s="90" t="s">
        <v>119</v>
      </c>
      <c r="N531" s="24" t="s">
        <v>1454</v>
      </c>
      <c r="O531" s="24" t="str">
        <f>IF(ISNUMBER(SEARCH("Cancer",N531)),"Cancer",IF(ISNUMBER(SEARCH("health",N531)),"Public health",IF(ISNUMBER(SEARCH("disabilities",N531)),"Disabilities","Other")))</f>
        <v>Other</v>
      </c>
      <c r="P531" s="126">
        <v>2601431</v>
      </c>
      <c r="Q531" s="90" t="s">
        <v>85</v>
      </c>
      <c r="R531" s="90" t="str">
        <f>IF(P531&gt;20000000,"B","A")</f>
        <v>A</v>
      </c>
      <c r="S531" s="90" t="s">
        <v>90</v>
      </c>
      <c r="T531" s="90" t="s">
        <v>119</v>
      </c>
      <c r="U531" s="90" t="s">
        <v>119</v>
      </c>
      <c r="V531" s="90" t="s">
        <v>119</v>
      </c>
      <c r="W531" s="90" t="s">
        <v>119</v>
      </c>
      <c r="X531" s="90" t="s">
        <v>119</v>
      </c>
      <c r="Y531" s="90" t="s">
        <v>119</v>
      </c>
      <c r="Z531" s="90" t="s">
        <v>119</v>
      </c>
      <c r="AA531" s="90" t="s">
        <v>119</v>
      </c>
      <c r="AB531" s="90" t="s">
        <v>119</v>
      </c>
      <c r="AC531" s="90" t="s">
        <v>119</v>
      </c>
      <c r="AD531" s="90" t="s">
        <v>119</v>
      </c>
      <c r="AE531" s="24">
        <v>0</v>
      </c>
      <c r="AF531" s="90">
        <v>0</v>
      </c>
      <c r="AG531" s="24">
        <v>0</v>
      </c>
      <c r="AH531" s="90">
        <v>85713</v>
      </c>
      <c r="AI531" s="24" t="s">
        <v>94</v>
      </c>
      <c r="AJ531" s="24" t="s">
        <v>95</v>
      </c>
      <c r="AK531" s="90" t="s">
        <v>85</v>
      </c>
      <c r="AL531" s="90">
        <v>230503</v>
      </c>
      <c r="AM531" s="90" t="s">
        <v>81</v>
      </c>
      <c r="AN531" s="90" t="s">
        <v>1451</v>
      </c>
      <c r="AO531" s="125" t="s">
        <v>791</v>
      </c>
      <c r="AP531" s="24" t="s">
        <v>1454</v>
      </c>
      <c r="AQ531" s="90" t="s">
        <v>1453</v>
      </c>
      <c r="AR531" s="24" t="s">
        <v>1454</v>
      </c>
      <c r="AS531" s="90" t="s">
        <v>119</v>
      </c>
      <c r="AT531" s="24" t="s">
        <v>94</v>
      </c>
      <c r="AU531" s="90" t="s">
        <v>119</v>
      </c>
      <c r="AV531" s="90" t="str">
        <f>IF(ISNUMBER(SEARCH("disagree",AE531)),"N","Y")</f>
        <v>Y</v>
      </c>
      <c r="AW531" s="90" t="s">
        <v>119</v>
      </c>
      <c r="AX531" s="24" t="s">
        <v>119</v>
      </c>
      <c r="AY531" s="90" t="str">
        <f>CONCATENATE(AZ531,BA531,BB531,BC531)</f>
        <v/>
      </c>
      <c r="AZ531" s="90" t="str">
        <f>IF(ISNUMBER(SEARCH("Y",AC531)),"R","")</f>
        <v/>
      </c>
      <c r="BA531" s="90" t="str">
        <f>IF(ISNUMBER(SEARCH("Y",Y531)),"M","")</f>
        <v/>
      </c>
      <c r="BB531" s="90" t="str">
        <f>IF(ISNUMBER(SEARCH("Y",AB531)),"QC","")</f>
        <v/>
      </c>
      <c r="BC531" s="90" t="str">
        <f>IF(ISNUMBER(SEARCH("Y",Z531)),"S","")</f>
        <v/>
      </c>
      <c r="BD531" s="90"/>
      <c r="BE531" s="24" t="s">
        <v>119</v>
      </c>
      <c r="BF531" s="125" t="str">
        <f>IF(AND(AW531&gt;=56543,AW531&lt;=76543,LEN(AW531)&gt;0),"3 Feb 2020",IF(AND(AW531&gt;=66544,AW531&lt;=99999,LEN(AW531)&gt;0),"12 Sep 2020",""))</f>
        <v/>
      </c>
      <c r="BG531" s="125" t="str">
        <f>IF((AND(BF531="3 Feb 2020",LEN(BF531)&gt;0)),"Completed",IF((AND(BF531="12 Sep 2020",LEN(BF531)&gt;0)),"Pending",""))</f>
        <v/>
      </c>
      <c r="BH531" s="90" t="str">
        <f>IF((AND(BF531="3 Feb 2020",LEN(BF531)&gt;0)),"3 Feb 2020","")</f>
        <v/>
      </c>
      <c r="BI531" s="90">
        <v>230503</v>
      </c>
      <c r="BJ531" s="90" t="str">
        <f>L531</f>
        <v>9C32IS844106-67</v>
      </c>
      <c r="BK531" s="127">
        <v>43508</v>
      </c>
      <c r="BL531" s="127">
        <v>44239</v>
      </c>
      <c r="BM531" s="128">
        <f>P531*1.1</f>
        <v>2861574.1</v>
      </c>
      <c r="BN531" s="129">
        <f>P531*0.9</f>
        <v>2341287.9</v>
      </c>
      <c r="BO531" s="130">
        <f>P531*0.8</f>
        <v>2081144.8</v>
      </c>
      <c r="BP531" s="90">
        <f>IF(Z531="Y",BM531*0.4,BM531*1.05)</f>
        <v>3004652.8050000002</v>
      </c>
      <c r="BQ531" s="90">
        <f>BP531*0.8</f>
        <v>2403722.2440000004</v>
      </c>
      <c r="BR531" s="90" t="str">
        <f>IF(ISNUMBER(SEARCH("subrecipient",AI527)),P531*0.6,"")</f>
        <v/>
      </c>
      <c r="BS531" s="90">
        <v>230503</v>
      </c>
      <c r="BT531" s="90" t="str">
        <f>BJ531</f>
        <v>9C32IS844106-67</v>
      </c>
      <c r="BU531" s="127">
        <f>BK531</f>
        <v>43508</v>
      </c>
      <c r="BV531" s="127">
        <f>BL531</f>
        <v>44239</v>
      </c>
      <c r="BW531" s="90" t="str">
        <f>H531</f>
        <v>NIH</v>
      </c>
      <c r="BX531" s="90" t="str">
        <f>IF(H531="NATIONAL HEMOPHILIA FOUNDATION","Non Federal","Federal")</f>
        <v>Federal</v>
      </c>
      <c r="BY531" s="128">
        <f>BM531</f>
        <v>2861574.1</v>
      </c>
      <c r="BZ531" s="90" t="str">
        <f>IF(LEN(BR531)&gt;0,1,"")</f>
        <v/>
      </c>
      <c r="CA531" s="90" t="str">
        <f>IF(LEN(BR531)&gt;0,"VIRAL HEPATITIS PROJECT","")</f>
        <v/>
      </c>
      <c r="CB531" s="129" t="str">
        <f>IF(LEN(BR531)&gt;0,BM531*0.7,"")</f>
        <v/>
      </c>
      <c r="CC531" s="90">
        <f>BP531</f>
        <v>3004652.8050000002</v>
      </c>
      <c r="CD531" s="90" t="str">
        <f>IF(LEN(BR531)&gt;0,"70%","")</f>
        <v/>
      </c>
      <c r="CE531" s="90">
        <f>BS531</f>
        <v>230503</v>
      </c>
      <c r="CF531" s="90" t="str">
        <f>CA531</f>
        <v/>
      </c>
      <c r="CG531" s="90"/>
      <c r="CH531" s="90"/>
      <c r="CI531" s="90"/>
      <c r="CJ531" s="90"/>
      <c r="CK531" s="90"/>
      <c r="CL531" s="90"/>
      <c r="CM531" s="90"/>
      <c r="CN531" s="90"/>
      <c r="CO531" s="90"/>
      <c r="CP531" s="90"/>
      <c r="CQ531" s="90"/>
      <c r="CR531" s="90"/>
      <c r="CS531" s="90"/>
      <c r="CT531" s="137"/>
    </row>
    <row r="532" spans="1:98" ht="195">
      <c r="A532" s="89">
        <v>230503</v>
      </c>
      <c r="B532" s="90">
        <v>2020</v>
      </c>
      <c r="C532" s="90" t="s">
        <v>81</v>
      </c>
      <c r="D532" s="90" t="s">
        <v>1451</v>
      </c>
      <c r="E532" s="125" t="s">
        <v>793</v>
      </c>
      <c r="F532" s="24" t="s">
        <v>1452</v>
      </c>
      <c r="G532" s="90" t="s">
        <v>85</v>
      </c>
      <c r="H532" s="90" t="s">
        <v>117</v>
      </c>
      <c r="I532" s="90">
        <v>93</v>
      </c>
      <c r="J532" s="90">
        <v>157</v>
      </c>
      <c r="K532" s="90" t="s">
        <v>85</v>
      </c>
      <c r="L532" s="90" t="s">
        <v>1453</v>
      </c>
      <c r="M532" s="90" t="s">
        <v>119</v>
      </c>
      <c r="N532" s="24" t="s">
        <v>1454</v>
      </c>
      <c r="O532" s="24" t="str">
        <f>IF(ISNUMBER(SEARCH("Cancer",N532)),"Cancer",IF(ISNUMBER(SEARCH("health",N532)),"Public health",IF(ISNUMBER(SEARCH("disabilities",N532)),"Disabilities","Other")))</f>
        <v>Other</v>
      </c>
      <c r="P532" s="126">
        <v>2601431</v>
      </c>
      <c r="Q532" s="90" t="s">
        <v>85</v>
      </c>
      <c r="R532" s="90" t="str">
        <f>IF(P532&gt;20000000,"B","A")</f>
        <v>A</v>
      </c>
      <c r="S532" s="90" t="s">
        <v>90</v>
      </c>
      <c r="T532" s="90" t="s">
        <v>119</v>
      </c>
      <c r="U532" s="90" t="s">
        <v>119</v>
      </c>
      <c r="V532" s="90" t="s">
        <v>119</v>
      </c>
      <c r="W532" s="90" t="s">
        <v>119</v>
      </c>
      <c r="X532" s="90" t="s">
        <v>119</v>
      </c>
      <c r="Y532" s="90" t="s">
        <v>119</v>
      </c>
      <c r="Z532" s="90" t="s">
        <v>119</v>
      </c>
      <c r="AA532" s="90" t="s">
        <v>119</v>
      </c>
      <c r="AB532" s="90" t="s">
        <v>119</v>
      </c>
      <c r="AC532" s="90" t="s">
        <v>119</v>
      </c>
      <c r="AD532" s="90" t="s">
        <v>119</v>
      </c>
      <c r="AE532" s="24">
        <v>0</v>
      </c>
      <c r="AF532" s="90">
        <v>0</v>
      </c>
      <c r="AG532" s="24">
        <v>0</v>
      </c>
      <c r="AH532" s="90">
        <v>85715</v>
      </c>
      <c r="AI532" s="24" t="s">
        <v>102</v>
      </c>
      <c r="AJ532" s="24" t="s">
        <v>103</v>
      </c>
      <c r="AK532" s="90" t="s">
        <v>85</v>
      </c>
      <c r="AL532" s="90">
        <v>230503</v>
      </c>
      <c r="AM532" s="90" t="s">
        <v>81</v>
      </c>
      <c r="AN532" s="90" t="s">
        <v>1451</v>
      </c>
      <c r="AO532" s="125" t="s">
        <v>793</v>
      </c>
      <c r="AP532" s="24" t="s">
        <v>1454</v>
      </c>
      <c r="AQ532" s="90" t="s">
        <v>1453</v>
      </c>
      <c r="AR532" s="24" t="s">
        <v>1454</v>
      </c>
      <c r="AS532" s="90" t="s">
        <v>119</v>
      </c>
      <c r="AT532" s="24" t="s">
        <v>102</v>
      </c>
      <c r="AU532" s="90" t="s">
        <v>119</v>
      </c>
      <c r="AV532" s="90" t="str">
        <f>IF(ISNUMBER(SEARCH("disagree",AE532)),"N","Y")</f>
        <v>Y</v>
      </c>
      <c r="AW532" s="90" t="s">
        <v>119</v>
      </c>
      <c r="AX532" s="24" t="s">
        <v>119</v>
      </c>
      <c r="AY532" s="90" t="str">
        <f>CONCATENATE(AZ532,BA532,BB532,BC532)</f>
        <v/>
      </c>
      <c r="AZ532" s="90" t="str">
        <f>IF(ISNUMBER(SEARCH("Y",AC532)),"R","")</f>
        <v/>
      </c>
      <c r="BA532" s="90" t="str">
        <f>IF(ISNUMBER(SEARCH("Y",Y532)),"M","")</f>
        <v/>
      </c>
      <c r="BB532" s="90" t="str">
        <f>IF(ISNUMBER(SEARCH("Y",AB532)),"QC","")</f>
        <v/>
      </c>
      <c r="BC532" s="90" t="str">
        <f>IF(ISNUMBER(SEARCH("Y",Z532)),"S","")</f>
        <v/>
      </c>
      <c r="BD532" s="90"/>
      <c r="BE532" s="24" t="s">
        <v>119</v>
      </c>
      <c r="BF532" s="125" t="str">
        <f>IF(AND(AW532&gt;=56543,AW532&lt;=76543,LEN(AW532)&gt;0),"3 Feb 2020",IF(AND(AW532&gt;=66544,AW532&lt;=99999,LEN(AW532)&gt;0),"12 Sep 2020",""))</f>
        <v/>
      </c>
      <c r="BG532" s="125" t="str">
        <f>IF((AND(BF532="3 Feb 2020",LEN(BF532)&gt;0)),"Completed",IF((AND(BF532="12 Sep 2020",LEN(BF532)&gt;0)),"Pending",""))</f>
        <v/>
      </c>
      <c r="BH532" s="90" t="str">
        <f>IF((AND(BF532="3 Feb 2020",LEN(BF532)&gt;0)),"3 Feb 2020","")</f>
        <v/>
      </c>
      <c r="BI532" s="90">
        <v>230503</v>
      </c>
      <c r="BJ532" s="90" t="str">
        <f>L532</f>
        <v>9C32IS844106-67</v>
      </c>
      <c r="BK532" s="127">
        <v>43508</v>
      </c>
      <c r="BL532" s="127">
        <v>44239</v>
      </c>
      <c r="BM532" s="128">
        <f>P532*1.1</f>
        <v>2861574.1</v>
      </c>
      <c r="BN532" s="129">
        <f>P532*0.9</f>
        <v>2341287.9</v>
      </c>
      <c r="BO532" s="130">
        <f>P532*0.8</f>
        <v>2081144.8</v>
      </c>
      <c r="BP532" s="90">
        <f>IF(Z532="Y",BM532*0.4,BM532*1.05)</f>
        <v>3004652.8050000002</v>
      </c>
      <c r="BQ532" s="90">
        <f>BP532*0.8</f>
        <v>2403722.2440000004</v>
      </c>
      <c r="BR532" s="90" t="str">
        <f>IF(ISNUMBER(SEARCH("subrecipient",AI528)),P532*0.6,"")</f>
        <v/>
      </c>
      <c r="BS532" s="90">
        <v>230503</v>
      </c>
      <c r="BT532" s="90" t="str">
        <f>BJ532</f>
        <v>9C32IS844106-67</v>
      </c>
      <c r="BU532" s="127">
        <f>BK532</f>
        <v>43508</v>
      </c>
      <c r="BV532" s="127">
        <f>BL532</f>
        <v>44239</v>
      </c>
      <c r="BW532" s="90" t="str">
        <f>H532</f>
        <v>NIH</v>
      </c>
      <c r="BX532" s="90" t="str">
        <f>IF(H532="NATIONAL HEMOPHILIA FOUNDATION","Non Federal","Federal")</f>
        <v>Federal</v>
      </c>
      <c r="BY532" s="128">
        <f>BM532</f>
        <v>2861574.1</v>
      </c>
      <c r="BZ532" s="90" t="str">
        <f>IF(LEN(BR532)&gt;0,1,"")</f>
        <v/>
      </c>
      <c r="CA532" s="90" t="str">
        <f>IF(LEN(BR532)&gt;0,"VIRAL HEPATITIS PROJECT","")</f>
        <v/>
      </c>
      <c r="CB532" s="129" t="str">
        <f>IF(LEN(BR532)&gt;0,BM532*0.7,"")</f>
        <v/>
      </c>
      <c r="CC532" s="90">
        <f>BP532</f>
        <v>3004652.8050000002</v>
      </c>
      <c r="CD532" s="90" t="str">
        <f>IF(LEN(BR532)&gt;0,"70%","")</f>
        <v/>
      </c>
      <c r="CE532" s="90">
        <f>BS532</f>
        <v>230503</v>
      </c>
      <c r="CF532" s="90" t="str">
        <f>CA532</f>
        <v/>
      </c>
      <c r="CG532" s="90"/>
      <c r="CH532" s="90"/>
      <c r="CI532" s="90"/>
      <c r="CJ532" s="90"/>
      <c r="CK532" s="90"/>
      <c r="CL532" s="90"/>
      <c r="CM532" s="90"/>
      <c r="CN532" s="90"/>
      <c r="CO532" s="90"/>
      <c r="CP532" s="90"/>
      <c r="CQ532" s="90"/>
      <c r="CR532" s="90"/>
      <c r="CS532" s="90"/>
      <c r="CT532" s="137"/>
    </row>
    <row r="533" spans="1:98" ht="195">
      <c r="A533" s="89">
        <v>230503</v>
      </c>
      <c r="B533" s="90">
        <v>2020</v>
      </c>
      <c r="C533" s="90" t="s">
        <v>81</v>
      </c>
      <c r="D533" s="90" t="s">
        <v>1451</v>
      </c>
      <c r="E533" s="125" t="s">
        <v>780</v>
      </c>
      <c r="F533" s="24" t="s">
        <v>1452</v>
      </c>
      <c r="G533" s="90" t="s">
        <v>85</v>
      </c>
      <c r="H533" s="90" t="s">
        <v>117</v>
      </c>
      <c r="I533" s="90">
        <v>93</v>
      </c>
      <c r="J533" s="90">
        <v>157</v>
      </c>
      <c r="K533" s="90" t="s">
        <v>85</v>
      </c>
      <c r="L533" s="90" t="s">
        <v>1453</v>
      </c>
      <c r="M533" s="90" t="s">
        <v>119</v>
      </c>
      <c r="N533" s="24" t="s">
        <v>1454</v>
      </c>
      <c r="O533" s="24" t="str">
        <f>IF(ISNUMBER(SEARCH("Cancer",N533)),"Cancer",IF(ISNUMBER(SEARCH("health",N533)),"Public health",IF(ISNUMBER(SEARCH("disabilities",N533)),"Disabilities","Other")))</f>
        <v>Other</v>
      </c>
      <c r="P533" s="126">
        <v>2601431</v>
      </c>
      <c r="Q533" s="90" t="s">
        <v>85</v>
      </c>
      <c r="R533" s="90" t="str">
        <f>IF(P533&gt;20000000,"B","A")</f>
        <v>A</v>
      </c>
      <c r="S533" s="90" t="s">
        <v>90</v>
      </c>
      <c r="T533" s="90" t="s">
        <v>119</v>
      </c>
      <c r="U533" s="90" t="s">
        <v>119</v>
      </c>
      <c r="V533" s="90" t="s">
        <v>119</v>
      </c>
      <c r="W533" s="90" t="s">
        <v>119</v>
      </c>
      <c r="X533" s="90" t="s">
        <v>119</v>
      </c>
      <c r="Y533" s="90" t="s">
        <v>119</v>
      </c>
      <c r="Z533" s="90" t="s">
        <v>119</v>
      </c>
      <c r="AA533" s="90" t="s">
        <v>119</v>
      </c>
      <c r="AB533" s="90" t="s">
        <v>119</v>
      </c>
      <c r="AC533" s="90" t="s">
        <v>119</v>
      </c>
      <c r="AD533" s="90" t="s">
        <v>119</v>
      </c>
      <c r="AE533" s="24">
        <v>0</v>
      </c>
      <c r="AF533" s="90">
        <v>0</v>
      </c>
      <c r="AG533" s="24">
        <v>0</v>
      </c>
      <c r="AH533" s="90">
        <v>85714</v>
      </c>
      <c r="AI533" s="24" t="s">
        <v>110</v>
      </c>
      <c r="AJ533" s="24" t="s">
        <v>1455</v>
      </c>
      <c r="AK533" s="90" t="s">
        <v>85</v>
      </c>
      <c r="AL533" s="90">
        <v>230503</v>
      </c>
      <c r="AM533" s="90" t="s">
        <v>81</v>
      </c>
      <c r="AN533" s="90" t="s">
        <v>1451</v>
      </c>
      <c r="AO533" s="125" t="s">
        <v>780</v>
      </c>
      <c r="AP533" s="24" t="s">
        <v>1454</v>
      </c>
      <c r="AQ533" s="90" t="s">
        <v>1453</v>
      </c>
      <c r="AR533" s="24" t="s">
        <v>1454</v>
      </c>
      <c r="AS533" s="90" t="s">
        <v>119</v>
      </c>
      <c r="AT533" s="24" t="s">
        <v>110</v>
      </c>
      <c r="AU533" s="90" t="s">
        <v>119</v>
      </c>
      <c r="AV533" s="90" t="str">
        <f>IF(ISNUMBER(SEARCH("disagree",AE533)),"N","Y")</f>
        <v>Y</v>
      </c>
      <c r="AW533" s="90" t="s">
        <v>119</v>
      </c>
      <c r="AX533" s="24" t="s">
        <v>119</v>
      </c>
      <c r="AY533" s="90" t="str">
        <f>CONCATENATE(AZ533,BA533,BB533,BC533)</f>
        <v/>
      </c>
      <c r="AZ533" s="90" t="str">
        <f>IF(ISNUMBER(SEARCH("Y",AC533)),"R","")</f>
        <v/>
      </c>
      <c r="BA533" s="90" t="str">
        <f>IF(ISNUMBER(SEARCH("Y",Y533)),"M","")</f>
        <v/>
      </c>
      <c r="BB533" s="90" t="str">
        <f>IF(ISNUMBER(SEARCH("Y",AB533)),"QC","")</f>
        <v/>
      </c>
      <c r="BC533" s="90" t="str">
        <f>IF(ISNUMBER(SEARCH("Y",Z533)),"S","")</f>
        <v/>
      </c>
      <c r="BD533" s="90"/>
      <c r="BE533" s="24" t="s">
        <v>119</v>
      </c>
      <c r="BF533" s="125" t="str">
        <f>IF(AND(AW533&gt;=56543,AW533&lt;=76543,LEN(AW533)&gt;0),"3 Feb 2020",IF(AND(AW533&gt;=66544,AW533&lt;=99999,LEN(AW533)&gt;0),"12 Sep 2020",""))</f>
        <v/>
      </c>
      <c r="BG533" s="125" t="str">
        <f>IF((AND(BF533="3 Feb 2020",LEN(BF533)&gt;0)),"Completed",IF((AND(BF533="12 Sep 2020",LEN(BF533)&gt;0)),"Pending",""))</f>
        <v/>
      </c>
      <c r="BH533" s="90" t="str">
        <f>IF((AND(BF533="3 Feb 2020",LEN(BF533)&gt;0)),"3 Feb 2020","")</f>
        <v/>
      </c>
      <c r="BI533" s="90">
        <v>230503</v>
      </c>
      <c r="BJ533" s="90" t="str">
        <f>L533</f>
        <v>9C32IS844106-67</v>
      </c>
      <c r="BK533" s="127">
        <v>43508</v>
      </c>
      <c r="BL533" s="127">
        <v>44239</v>
      </c>
      <c r="BM533" s="128">
        <f>P533*1.1</f>
        <v>2861574.1</v>
      </c>
      <c r="BN533" s="129">
        <f>P533*0.9</f>
        <v>2341287.9</v>
      </c>
      <c r="BO533" s="130">
        <f>P533*0.8</f>
        <v>2081144.8</v>
      </c>
      <c r="BP533" s="90">
        <f>IF(Z533="Y",BM533*0.4,BM533*1.05)</f>
        <v>3004652.8050000002</v>
      </c>
      <c r="BQ533" s="90">
        <f>BP533*0.8</f>
        <v>2403722.2440000004</v>
      </c>
      <c r="BR533" s="90" t="str">
        <f>IF(ISNUMBER(SEARCH("subrecipient",AI529)),P533*0.6,"")</f>
        <v/>
      </c>
      <c r="BS533" s="90">
        <v>230503</v>
      </c>
      <c r="BT533" s="90" t="str">
        <f>BJ533</f>
        <v>9C32IS844106-67</v>
      </c>
      <c r="BU533" s="127">
        <f>BK533</f>
        <v>43508</v>
      </c>
      <c r="BV533" s="127">
        <f>BL533</f>
        <v>44239</v>
      </c>
      <c r="BW533" s="90" t="str">
        <f>H533</f>
        <v>NIH</v>
      </c>
      <c r="BX533" s="90" t="str">
        <f>IF(H533="NATIONAL HEMOPHILIA FOUNDATION","Non Federal","Federal")</f>
        <v>Federal</v>
      </c>
      <c r="BY533" s="128">
        <f>BM533</f>
        <v>2861574.1</v>
      </c>
      <c r="BZ533" s="90" t="str">
        <f>IF(LEN(BR533)&gt;0,1,"")</f>
        <v/>
      </c>
      <c r="CA533" s="90" t="str">
        <f>IF(LEN(BR533)&gt;0,"VIRAL HEPATITIS PROJECT","")</f>
        <v/>
      </c>
      <c r="CB533" s="129" t="str">
        <f>IF(LEN(BR533)&gt;0,BM533*0.7,"")</f>
        <v/>
      </c>
      <c r="CC533" s="90">
        <f>BP533</f>
        <v>3004652.8050000002</v>
      </c>
      <c r="CD533" s="90" t="str">
        <f>IF(LEN(BR533)&gt;0,"70%","")</f>
        <v/>
      </c>
      <c r="CE533" s="90">
        <f>BS533</f>
        <v>230503</v>
      </c>
      <c r="CF533" s="90" t="str">
        <f>CA533</f>
        <v/>
      </c>
      <c r="CG533" s="90"/>
      <c r="CH533" s="90"/>
      <c r="CI533" s="90"/>
      <c r="CJ533" s="90"/>
      <c r="CK533" s="90"/>
      <c r="CL533" s="90"/>
      <c r="CM533" s="90"/>
      <c r="CN533" s="90"/>
      <c r="CO533" s="90"/>
      <c r="CP533" s="90"/>
      <c r="CQ533" s="90"/>
      <c r="CR533" s="90"/>
      <c r="CS533" s="90"/>
      <c r="CT533" s="137"/>
    </row>
    <row r="534" spans="1:98" ht="195">
      <c r="A534" s="89">
        <v>230504</v>
      </c>
      <c r="B534" s="90">
        <v>2020</v>
      </c>
      <c r="C534" s="90" t="s">
        <v>81</v>
      </c>
      <c r="D534" s="90" t="s">
        <v>1456</v>
      </c>
      <c r="E534" s="125" t="s">
        <v>781</v>
      </c>
      <c r="F534" s="24" t="s">
        <v>1457</v>
      </c>
      <c r="G534" s="90" t="s">
        <v>85</v>
      </c>
      <c r="H534" s="90" t="s">
        <v>132</v>
      </c>
      <c r="I534" s="90">
        <v>93</v>
      </c>
      <c r="J534" s="90">
        <v>157</v>
      </c>
      <c r="K534" s="90" t="s">
        <v>85</v>
      </c>
      <c r="L534" s="90" t="s">
        <v>1458</v>
      </c>
      <c r="M534" s="90" t="s">
        <v>119</v>
      </c>
      <c r="N534" s="24" t="s">
        <v>1459</v>
      </c>
      <c r="O534" s="24" t="str">
        <f>IF(ISNUMBER(SEARCH("Cancer",N534)),"Cancer",IF(ISNUMBER(SEARCH("health",N534)),"Public health",IF(ISNUMBER(SEARCH("disabilities",N534)),"Disabilities","Other")))</f>
        <v>Other</v>
      </c>
      <c r="P534" s="126">
        <v>2911294</v>
      </c>
      <c r="Q534" s="90" t="s">
        <v>85</v>
      </c>
      <c r="R534" s="90" t="str">
        <f>IF(P534&gt;20000000,"B","A")</f>
        <v>A</v>
      </c>
      <c r="S534" s="90" t="s">
        <v>90</v>
      </c>
      <c r="T534" s="90" t="s">
        <v>119</v>
      </c>
      <c r="U534" s="90" t="s">
        <v>119</v>
      </c>
      <c r="V534" s="90" t="s">
        <v>119</v>
      </c>
      <c r="W534" s="90" t="s">
        <v>119</v>
      </c>
      <c r="X534" s="90" t="s">
        <v>119</v>
      </c>
      <c r="Y534" s="90" t="s">
        <v>119</v>
      </c>
      <c r="Z534" s="90" t="s">
        <v>119</v>
      </c>
      <c r="AA534" s="90" t="s">
        <v>119</v>
      </c>
      <c r="AB534" s="90" t="s">
        <v>119</v>
      </c>
      <c r="AC534" s="90" t="s">
        <v>119</v>
      </c>
      <c r="AD534" s="90" t="s">
        <v>119</v>
      </c>
      <c r="AE534" s="24">
        <v>0</v>
      </c>
      <c r="AF534" s="90">
        <v>0</v>
      </c>
      <c r="AG534" s="24">
        <v>0</v>
      </c>
      <c r="AH534" s="90">
        <v>90655</v>
      </c>
      <c r="AI534" s="24" t="s">
        <v>94</v>
      </c>
      <c r="AJ534" s="24" t="s">
        <v>95</v>
      </c>
      <c r="AK534" s="90" t="s">
        <v>85</v>
      </c>
      <c r="AL534" s="90">
        <v>230504</v>
      </c>
      <c r="AM534" s="90" t="s">
        <v>81</v>
      </c>
      <c r="AN534" s="90" t="s">
        <v>1456</v>
      </c>
      <c r="AO534" s="125" t="s">
        <v>781</v>
      </c>
      <c r="AP534" s="24" t="s">
        <v>1459</v>
      </c>
      <c r="AQ534" s="90" t="s">
        <v>1458</v>
      </c>
      <c r="AR534" s="24" t="s">
        <v>1459</v>
      </c>
      <c r="AS534" s="90" t="s">
        <v>119</v>
      </c>
      <c r="AT534" s="24" t="s">
        <v>94</v>
      </c>
      <c r="AU534" s="90" t="s">
        <v>119</v>
      </c>
      <c r="AV534" s="90" t="s">
        <v>85</v>
      </c>
      <c r="AW534" s="90" t="s">
        <v>119</v>
      </c>
      <c r="AX534" s="24" t="s">
        <v>119</v>
      </c>
      <c r="AY534" s="90" t="str">
        <f>CONCATENATE(AZ534,BA534,BB534,BC534)</f>
        <v/>
      </c>
      <c r="AZ534" s="90" t="str">
        <f>IF(ISNUMBER(SEARCH("Y",AC534)),"R","")</f>
        <v/>
      </c>
      <c r="BA534" s="90" t="str">
        <f>IF(ISNUMBER(SEARCH("Y",Y534)),"M","")</f>
        <v/>
      </c>
      <c r="BB534" s="90" t="str">
        <f>IF(ISNUMBER(SEARCH("Y",AB534)),"QC","")</f>
        <v/>
      </c>
      <c r="BC534" s="90" t="str">
        <f>IF(ISNUMBER(SEARCH("Y",Z534)),"S","")</f>
        <v/>
      </c>
      <c r="BD534" s="90"/>
      <c r="BE534" s="24" t="s">
        <v>119</v>
      </c>
      <c r="BF534" s="125" t="str">
        <f>IF(AND(AW534&gt;=56543,AW534&lt;=76543,LEN(AW534)&gt;0),"3 Feb 2020",IF(AND(AW534&gt;=66544,AW534&lt;=99999,LEN(AW534)&gt;0),"12 Sep 2020",""))</f>
        <v/>
      </c>
      <c r="BG534" s="125" t="str">
        <f>IF((AND(BF534="3 Feb 2020",LEN(BF534)&gt;0)),"Completed",IF((AND(BF534="12 Sep 2020",LEN(BF534)&gt;0)),"Pending",""))</f>
        <v/>
      </c>
      <c r="BH534" s="90" t="str">
        <f>IF((AND(BF534="3 Feb 2020",LEN(BF534)&gt;0)),"3 Feb 2020","")</f>
        <v/>
      </c>
      <c r="BI534" s="90">
        <v>230504</v>
      </c>
      <c r="BJ534" s="90" t="str">
        <f>L534</f>
        <v>1C58GS844333-55</v>
      </c>
      <c r="BK534" s="127">
        <v>43508</v>
      </c>
      <c r="BL534" s="127">
        <v>44239</v>
      </c>
      <c r="BM534" s="128">
        <f>P534*1.1</f>
        <v>3202423.4000000004</v>
      </c>
      <c r="BN534" s="129">
        <f>P534*0.9</f>
        <v>2620164.6</v>
      </c>
      <c r="BO534" s="130">
        <f>P534*0.8</f>
        <v>2329035.2000000002</v>
      </c>
      <c r="BP534" s="90">
        <f>IF(Z534="Y",BM534*0.4,BM534*1.05)</f>
        <v>3362544.5700000008</v>
      </c>
      <c r="BQ534" s="90">
        <f>BP534*0.8</f>
        <v>2690035.6560000009</v>
      </c>
      <c r="BR534" s="90" t="str">
        <f>IF(ISNUMBER(SEARCH("subrecipient",AI530)),P534*0.6,"")</f>
        <v/>
      </c>
      <c r="BS534" s="90">
        <v>230504</v>
      </c>
      <c r="BT534" s="90" t="str">
        <f>BJ534</f>
        <v>1C58GS844333-55</v>
      </c>
      <c r="BU534" s="127">
        <f>BK534</f>
        <v>43508</v>
      </c>
      <c r="BV534" s="127">
        <f>BL534</f>
        <v>44239</v>
      </c>
      <c r="BW534" s="90" t="str">
        <f>H534</f>
        <v>FDA</v>
      </c>
      <c r="BX534" s="90" t="str">
        <f>IF(H534="NATIONAL HEMOPHILIA FOUNDATION","Non Federal","Federal")</f>
        <v>Federal</v>
      </c>
      <c r="BY534" s="128">
        <f>BM534</f>
        <v>3202423.4000000004</v>
      </c>
      <c r="BZ534" s="90" t="str">
        <f>IF(LEN(BR534)&gt;0,1,"")</f>
        <v/>
      </c>
      <c r="CA534" s="90" t="str">
        <f>IF(LEN(BR534)&gt;0,"VIRAL HEPATITIS PROJECT","")</f>
        <v/>
      </c>
      <c r="CB534" s="129" t="str">
        <f>IF(LEN(BR534)&gt;0,BM534*0.7,"")</f>
        <v/>
      </c>
      <c r="CC534" s="90">
        <f>BP534</f>
        <v>3362544.5700000008</v>
      </c>
      <c r="CD534" s="90" t="str">
        <f>IF(LEN(BR534)&gt;0,"70%","")</f>
        <v/>
      </c>
      <c r="CE534" s="90">
        <f>BS534</f>
        <v>230504</v>
      </c>
      <c r="CF534" s="90" t="str">
        <f>CA534</f>
        <v/>
      </c>
      <c r="CG534" s="90"/>
      <c r="CH534" s="90"/>
      <c r="CI534" s="90"/>
      <c r="CJ534" s="90"/>
      <c r="CK534" s="90"/>
      <c r="CL534" s="90"/>
      <c r="CM534" s="90"/>
      <c r="CN534" s="90"/>
      <c r="CO534" s="90"/>
      <c r="CP534" s="90"/>
      <c r="CQ534" s="90"/>
      <c r="CR534" s="90"/>
      <c r="CS534" s="90"/>
      <c r="CT534" s="137"/>
    </row>
    <row r="535" spans="1:98" ht="195">
      <c r="A535" s="89">
        <v>230504</v>
      </c>
      <c r="B535" s="90">
        <v>2020</v>
      </c>
      <c r="C535" s="90" t="s">
        <v>81</v>
      </c>
      <c r="D535" s="90" t="s">
        <v>1456</v>
      </c>
      <c r="E535" s="125" t="s">
        <v>784</v>
      </c>
      <c r="F535" s="24" t="s">
        <v>1457</v>
      </c>
      <c r="G535" s="90" t="s">
        <v>85</v>
      </c>
      <c r="H535" s="90" t="s">
        <v>132</v>
      </c>
      <c r="I535" s="90">
        <v>93</v>
      </c>
      <c r="J535" s="90">
        <v>157</v>
      </c>
      <c r="K535" s="90" t="s">
        <v>85</v>
      </c>
      <c r="L535" s="90" t="s">
        <v>1458</v>
      </c>
      <c r="M535" s="90" t="s">
        <v>119</v>
      </c>
      <c r="N535" s="24" t="s">
        <v>1459</v>
      </c>
      <c r="O535" s="24" t="str">
        <f>IF(ISNUMBER(SEARCH("Cancer",N535)),"Cancer",IF(ISNUMBER(SEARCH("health",N535)),"Public health",IF(ISNUMBER(SEARCH("disabilities",N535)),"Disabilities","Other")))</f>
        <v>Other</v>
      </c>
      <c r="P535" s="126">
        <v>2911294</v>
      </c>
      <c r="Q535" s="90" t="s">
        <v>85</v>
      </c>
      <c r="R535" s="90" t="str">
        <f>IF(P535&gt;20000000,"B","A")</f>
        <v>A</v>
      </c>
      <c r="S535" s="90" t="s">
        <v>90</v>
      </c>
      <c r="T535" s="90" t="s">
        <v>119</v>
      </c>
      <c r="U535" s="90" t="s">
        <v>119</v>
      </c>
      <c r="V535" s="90" t="s">
        <v>119</v>
      </c>
      <c r="W535" s="90" t="s">
        <v>119</v>
      </c>
      <c r="X535" s="90" t="s">
        <v>119</v>
      </c>
      <c r="Y535" s="90" t="s">
        <v>119</v>
      </c>
      <c r="Z535" s="90" t="s">
        <v>119</v>
      </c>
      <c r="AA535" s="90" t="s">
        <v>119</v>
      </c>
      <c r="AB535" s="90" t="s">
        <v>119</v>
      </c>
      <c r="AC535" s="90" t="s">
        <v>119</v>
      </c>
      <c r="AD535" s="90" t="s">
        <v>119</v>
      </c>
      <c r="AE535" s="24">
        <v>0</v>
      </c>
      <c r="AF535" s="90">
        <v>0</v>
      </c>
      <c r="AG535" s="24">
        <v>0</v>
      </c>
      <c r="AH535" s="90">
        <v>90654</v>
      </c>
      <c r="AI535" s="24" t="s">
        <v>102</v>
      </c>
      <c r="AJ535" s="24" t="s">
        <v>103</v>
      </c>
      <c r="AK535" s="90" t="s">
        <v>85</v>
      </c>
      <c r="AL535" s="90">
        <v>230504</v>
      </c>
      <c r="AM535" s="90" t="s">
        <v>81</v>
      </c>
      <c r="AN535" s="90" t="s">
        <v>1456</v>
      </c>
      <c r="AO535" s="125" t="s">
        <v>784</v>
      </c>
      <c r="AP535" s="24" t="s">
        <v>1459</v>
      </c>
      <c r="AQ535" s="90" t="s">
        <v>1458</v>
      </c>
      <c r="AR535" s="24" t="s">
        <v>1459</v>
      </c>
      <c r="AS535" s="90" t="s">
        <v>119</v>
      </c>
      <c r="AT535" s="24" t="s">
        <v>102</v>
      </c>
      <c r="AU535" s="90" t="s">
        <v>119</v>
      </c>
      <c r="AV535" s="90" t="s">
        <v>85</v>
      </c>
      <c r="AW535" s="90" t="s">
        <v>119</v>
      </c>
      <c r="AX535" s="24" t="s">
        <v>119</v>
      </c>
      <c r="AY535" s="90" t="str">
        <f>CONCATENATE(AZ535,BA535,BB535,BC535)</f>
        <v/>
      </c>
      <c r="AZ535" s="90" t="str">
        <f>IF(ISNUMBER(SEARCH("Y",AC535)),"R","")</f>
        <v/>
      </c>
      <c r="BA535" s="90" t="str">
        <f>IF(ISNUMBER(SEARCH("Y",Y535)),"M","")</f>
        <v/>
      </c>
      <c r="BB535" s="90" t="str">
        <f>IF(ISNUMBER(SEARCH("Y",AB535)),"QC","")</f>
        <v/>
      </c>
      <c r="BC535" s="90" t="str">
        <f>IF(ISNUMBER(SEARCH("Y",Z535)),"S","")</f>
        <v/>
      </c>
      <c r="BD535" s="90"/>
      <c r="BE535" s="24" t="s">
        <v>119</v>
      </c>
      <c r="BF535" s="125" t="str">
        <f>IF(AND(AW535&gt;=56543,AW535&lt;=76543,LEN(AW535)&gt;0),"3 Feb 2020",IF(AND(AW535&gt;=66544,AW535&lt;=99999,LEN(AW535)&gt;0),"12 Sep 2020",""))</f>
        <v/>
      </c>
      <c r="BG535" s="125" t="str">
        <f>IF((AND(BF535="3 Feb 2020",LEN(BF535)&gt;0)),"Completed",IF((AND(BF535="12 Sep 2020",LEN(BF535)&gt;0)),"Pending",""))</f>
        <v/>
      </c>
      <c r="BH535" s="90" t="str">
        <f>IF((AND(BF535="3 Feb 2020",LEN(BF535)&gt;0)),"3 Feb 2020","")</f>
        <v/>
      </c>
      <c r="BI535" s="90">
        <v>230504</v>
      </c>
      <c r="BJ535" s="90" t="str">
        <f>L535</f>
        <v>1C58GS844333-55</v>
      </c>
      <c r="BK535" s="127">
        <v>43508</v>
      </c>
      <c r="BL535" s="127">
        <v>44239</v>
      </c>
      <c r="BM535" s="128">
        <f>P535*1.1</f>
        <v>3202423.4000000004</v>
      </c>
      <c r="BN535" s="129">
        <f>P535*0.9</f>
        <v>2620164.6</v>
      </c>
      <c r="BO535" s="130">
        <f>P535*0.8</f>
        <v>2329035.2000000002</v>
      </c>
      <c r="BP535" s="90">
        <f>IF(Z535="Y",BM535*0.4,BM535*1.05)</f>
        <v>3362544.5700000008</v>
      </c>
      <c r="BQ535" s="90">
        <f>BP535*0.8</f>
        <v>2690035.6560000009</v>
      </c>
      <c r="BR535" s="90" t="str">
        <f>IF(ISNUMBER(SEARCH("subrecipient",AI531)),P535*0.6,"")</f>
        <v/>
      </c>
      <c r="BS535" s="90">
        <v>230504</v>
      </c>
      <c r="BT535" s="90" t="str">
        <f>BJ535</f>
        <v>1C58GS844333-55</v>
      </c>
      <c r="BU535" s="127">
        <f>BK535</f>
        <v>43508</v>
      </c>
      <c r="BV535" s="127">
        <f>BL535</f>
        <v>44239</v>
      </c>
      <c r="BW535" s="90" t="str">
        <f>H535</f>
        <v>FDA</v>
      </c>
      <c r="BX535" s="90" t="str">
        <f>IF(H535="NATIONAL HEMOPHILIA FOUNDATION","Non Federal","Federal")</f>
        <v>Federal</v>
      </c>
      <c r="BY535" s="128">
        <f>BM535</f>
        <v>3202423.4000000004</v>
      </c>
      <c r="BZ535" s="90" t="str">
        <f>IF(LEN(BR535)&gt;0,1,"")</f>
        <v/>
      </c>
      <c r="CA535" s="90" t="str">
        <f>IF(LEN(BR535)&gt;0,"VIRAL HEPATITIS PROJECT","")</f>
        <v/>
      </c>
      <c r="CB535" s="129" t="str">
        <f>IF(LEN(BR535)&gt;0,BM535*0.7,"")</f>
        <v/>
      </c>
      <c r="CC535" s="90">
        <f>BP535</f>
        <v>3362544.5700000008</v>
      </c>
      <c r="CD535" s="90" t="str">
        <f>IF(LEN(BR535)&gt;0,"70%","")</f>
        <v/>
      </c>
      <c r="CE535" s="90">
        <f>BS535</f>
        <v>230504</v>
      </c>
      <c r="CF535" s="90" t="str">
        <f>CA535</f>
        <v/>
      </c>
      <c r="CG535" s="90"/>
      <c r="CH535" s="90"/>
      <c r="CI535" s="90"/>
      <c r="CJ535" s="90"/>
      <c r="CK535" s="90"/>
      <c r="CL535" s="90"/>
      <c r="CM535" s="90"/>
      <c r="CN535" s="90"/>
      <c r="CO535" s="90"/>
      <c r="CP535" s="90"/>
      <c r="CQ535" s="90"/>
      <c r="CR535" s="90"/>
      <c r="CS535" s="90"/>
      <c r="CT535" s="137"/>
    </row>
    <row r="536" spans="1:98" ht="195">
      <c r="A536" s="89">
        <v>230504</v>
      </c>
      <c r="B536" s="90">
        <v>2020</v>
      </c>
      <c r="C536" s="90" t="s">
        <v>81</v>
      </c>
      <c r="D536" s="90" t="s">
        <v>1456</v>
      </c>
      <c r="E536" s="125" t="s">
        <v>790</v>
      </c>
      <c r="F536" s="24" t="s">
        <v>1457</v>
      </c>
      <c r="G536" s="90" t="s">
        <v>85</v>
      </c>
      <c r="H536" s="90" t="s">
        <v>132</v>
      </c>
      <c r="I536" s="90">
        <v>93</v>
      </c>
      <c r="J536" s="90">
        <v>157</v>
      </c>
      <c r="K536" s="90" t="s">
        <v>85</v>
      </c>
      <c r="L536" s="90" t="s">
        <v>1458</v>
      </c>
      <c r="M536" s="90" t="s">
        <v>119</v>
      </c>
      <c r="N536" s="24" t="s">
        <v>1459</v>
      </c>
      <c r="O536" s="24" t="str">
        <f>IF(ISNUMBER(SEARCH("Cancer",N536)),"Cancer",IF(ISNUMBER(SEARCH("health",N536)),"Public health",IF(ISNUMBER(SEARCH("disabilities",N536)),"Disabilities","Other")))</f>
        <v>Other</v>
      </c>
      <c r="P536" s="126">
        <v>2911294</v>
      </c>
      <c r="Q536" s="90" t="s">
        <v>85</v>
      </c>
      <c r="R536" s="90" t="str">
        <f>IF(P536&gt;20000000,"B","A")</f>
        <v>A</v>
      </c>
      <c r="S536" s="90" t="s">
        <v>90</v>
      </c>
      <c r="T536" s="90" t="s">
        <v>119</v>
      </c>
      <c r="U536" s="90" t="s">
        <v>119</v>
      </c>
      <c r="V536" s="90" t="s">
        <v>119</v>
      </c>
      <c r="W536" s="90" t="s">
        <v>119</v>
      </c>
      <c r="X536" s="90" t="s">
        <v>119</v>
      </c>
      <c r="Y536" s="90" t="s">
        <v>119</v>
      </c>
      <c r="Z536" s="90" t="s">
        <v>119</v>
      </c>
      <c r="AA536" s="90" t="s">
        <v>119</v>
      </c>
      <c r="AB536" s="90" t="s">
        <v>119</v>
      </c>
      <c r="AC536" s="90" t="s">
        <v>119</v>
      </c>
      <c r="AD536" s="90" t="s">
        <v>119</v>
      </c>
      <c r="AE536" s="24">
        <v>0</v>
      </c>
      <c r="AF536" s="90">
        <v>0</v>
      </c>
      <c r="AG536" s="24">
        <v>0</v>
      </c>
      <c r="AH536" s="90">
        <v>90653</v>
      </c>
      <c r="AI536" s="24" t="s">
        <v>110</v>
      </c>
      <c r="AJ536" s="24" t="s">
        <v>1460</v>
      </c>
      <c r="AK536" s="90" t="s">
        <v>85</v>
      </c>
      <c r="AL536" s="90">
        <v>230504</v>
      </c>
      <c r="AM536" s="90" t="s">
        <v>81</v>
      </c>
      <c r="AN536" s="90" t="s">
        <v>1456</v>
      </c>
      <c r="AO536" s="125" t="s">
        <v>790</v>
      </c>
      <c r="AP536" s="24" t="s">
        <v>1459</v>
      </c>
      <c r="AQ536" s="90" t="s">
        <v>1458</v>
      </c>
      <c r="AR536" s="24" t="s">
        <v>1459</v>
      </c>
      <c r="AS536" s="90" t="s">
        <v>119</v>
      </c>
      <c r="AT536" s="24" t="s">
        <v>110</v>
      </c>
      <c r="AU536" s="90" t="s">
        <v>119</v>
      </c>
      <c r="AV536" s="90" t="s">
        <v>85</v>
      </c>
      <c r="AW536" s="90" t="s">
        <v>119</v>
      </c>
      <c r="AX536" s="24" t="s">
        <v>119</v>
      </c>
      <c r="AY536" s="90" t="str">
        <f>CONCATENATE(AZ536,BA536,BB536,BC536)</f>
        <v/>
      </c>
      <c r="AZ536" s="90" t="str">
        <f>IF(ISNUMBER(SEARCH("Y",AC536)),"R","")</f>
        <v/>
      </c>
      <c r="BA536" s="90" t="str">
        <f>IF(ISNUMBER(SEARCH("Y",Y536)),"M","")</f>
        <v/>
      </c>
      <c r="BB536" s="90" t="str">
        <f>IF(ISNUMBER(SEARCH("Y",AB536)),"QC","")</f>
        <v/>
      </c>
      <c r="BC536" s="90" t="str">
        <f>IF(ISNUMBER(SEARCH("Y",Z536)),"S","")</f>
        <v/>
      </c>
      <c r="BD536" s="90"/>
      <c r="BE536" s="24" t="s">
        <v>119</v>
      </c>
      <c r="BF536" s="125" t="str">
        <f>IF(AND(AW536&gt;=56543,AW536&lt;=76543,LEN(AW536)&gt;0),"3 Feb 2020",IF(AND(AW536&gt;=66544,AW536&lt;=99999,LEN(AW536)&gt;0),"12 Sep 2020",""))</f>
        <v/>
      </c>
      <c r="BG536" s="125" t="str">
        <f>IF((AND(BF536="3 Feb 2020",LEN(BF536)&gt;0)),"Completed",IF((AND(BF536="12 Sep 2020",LEN(BF536)&gt;0)),"Pending",""))</f>
        <v/>
      </c>
      <c r="BH536" s="90" t="str">
        <f>IF((AND(BF536="3 Feb 2020",LEN(BF536)&gt;0)),"3 Feb 2020","")</f>
        <v/>
      </c>
      <c r="BI536" s="90">
        <v>230504</v>
      </c>
      <c r="BJ536" s="90" t="str">
        <f>L536</f>
        <v>1C58GS844333-55</v>
      </c>
      <c r="BK536" s="127">
        <v>43508</v>
      </c>
      <c r="BL536" s="127">
        <v>44239</v>
      </c>
      <c r="BM536" s="128">
        <f>P536*1.1</f>
        <v>3202423.4000000004</v>
      </c>
      <c r="BN536" s="129">
        <f>P536*0.9</f>
        <v>2620164.6</v>
      </c>
      <c r="BO536" s="130">
        <f>P536*0.8</f>
        <v>2329035.2000000002</v>
      </c>
      <c r="BP536" s="90">
        <f>IF(Z536="Y",BM536*0.4,BM536*1.05)</f>
        <v>3362544.5700000008</v>
      </c>
      <c r="BQ536" s="90">
        <f>BP536*0.8</f>
        <v>2690035.6560000009</v>
      </c>
      <c r="BR536" s="90" t="str">
        <f>IF(ISNUMBER(SEARCH("subrecipient",AI532)),P536*0.6,"")</f>
        <v/>
      </c>
      <c r="BS536" s="90">
        <v>230504</v>
      </c>
      <c r="BT536" s="90" t="str">
        <f>BJ536</f>
        <v>1C58GS844333-55</v>
      </c>
      <c r="BU536" s="127">
        <f>BK536</f>
        <v>43508</v>
      </c>
      <c r="BV536" s="127">
        <f>BL536</f>
        <v>44239</v>
      </c>
      <c r="BW536" s="90" t="str">
        <f>H536</f>
        <v>FDA</v>
      </c>
      <c r="BX536" s="90" t="str">
        <f>IF(H536="NATIONAL HEMOPHILIA FOUNDATION","Non Federal","Federal")</f>
        <v>Federal</v>
      </c>
      <c r="BY536" s="128">
        <f>BM536</f>
        <v>3202423.4000000004</v>
      </c>
      <c r="BZ536" s="90" t="str">
        <f>IF(LEN(BR536)&gt;0,1,"")</f>
        <v/>
      </c>
      <c r="CA536" s="90" t="str">
        <f>IF(LEN(BR536)&gt;0,"VIRAL HEPATITIS PROJECT","")</f>
        <v/>
      </c>
      <c r="CB536" s="129" t="str">
        <f>IF(LEN(BR536)&gt;0,BM536*0.7,"")</f>
        <v/>
      </c>
      <c r="CC536" s="90">
        <f>BP536</f>
        <v>3362544.5700000008</v>
      </c>
      <c r="CD536" s="90" t="str">
        <f>IF(LEN(BR536)&gt;0,"70%","")</f>
        <v/>
      </c>
      <c r="CE536" s="90">
        <f>BS536</f>
        <v>230504</v>
      </c>
      <c r="CF536" s="90" t="str">
        <f>CA536</f>
        <v/>
      </c>
      <c r="CG536" s="90"/>
      <c r="CH536" s="90"/>
      <c r="CI536" s="90"/>
      <c r="CJ536" s="90"/>
      <c r="CK536" s="90"/>
      <c r="CL536" s="90"/>
      <c r="CM536" s="90"/>
      <c r="CN536" s="90"/>
      <c r="CO536" s="90"/>
      <c r="CP536" s="90"/>
      <c r="CQ536" s="90"/>
      <c r="CR536" s="90"/>
      <c r="CS536" s="90"/>
      <c r="CT536" s="137"/>
    </row>
    <row r="537" spans="1:98" ht="135">
      <c r="A537" s="89">
        <v>230721</v>
      </c>
      <c r="B537" s="90">
        <v>2020</v>
      </c>
      <c r="C537" s="90" t="s">
        <v>81</v>
      </c>
      <c r="D537" s="90" t="s">
        <v>1461</v>
      </c>
      <c r="E537" s="125" t="s">
        <v>791</v>
      </c>
      <c r="F537" s="24" t="s">
        <v>1462</v>
      </c>
      <c r="G537" s="90" t="s">
        <v>85</v>
      </c>
      <c r="H537" s="90" t="s">
        <v>150</v>
      </c>
      <c r="I537" s="90">
        <v>93</v>
      </c>
      <c r="J537" s="90">
        <v>157</v>
      </c>
      <c r="K537" s="90" t="s">
        <v>85</v>
      </c>
      <c r="L537" s="90" t="s">
        <v>1463</v>
      </c>
      <c r="M537" s="90" t="s">
        <v>119</v>
      </c>
      <c r="N537" s="24" t="s">
        <v>1464</v>
      </c>
      <c r="O537" s="24" t="str">
        <f>IF(ISNUMBER(SEARCH("Cancer",N537)),"Cancer",IF(ISNUMBER(SEARCH("health",N537)),"Public health",IF(ISNUMBER(SEARCH("disabilities",N537)),"Disabilities","Other")))</f>
        <v>Other</v>
      </c>
      <c r="P537" s="126">
        <v>2241131</v>
      </c>
      <c r="Q537" s="90" t="s">
        <v>85</v>
      </c>
      <c r="R537" s="90" t="str">
        <f>IF(P537&gt;20000000,"B","A")</f>
        <v>A</v>
      </c>
      <c r="S537" s="90" t="s">
        <v>90</v>
      </c>
      <c r="T537" s="90" t="s">
        <v>119</v>
      </c>
      <c r="U537" s="90" t="s">
        <v>119</v>
      </c>
      <c r="V537" s="90" t="s">
        <v>119</v>
      </c>
      <c r="W537" s="90" t="s">
        <v>119</v>
      </c>
      <c r="X537" s="90" t="s">
        <v>119</v>
      </c>
      <c r="Y537" s="90" t="s">
        <v>119</v>
      </c>
      <c r="Z537" s="90" t="s">
        <v>119</v>
      </c>
      <c r="AA537" s="90" t="s">
        <v>119</v>
      </c>
      <c r="AB537" s="90" t="s">
        <v>119</v>
      </c>
      <c r="AC537" s="90" t="s">
        <v>119</v>
      </c>
      <c r="AD537" s="90" t="s">
        <v>119</v>
      </c>
      <c r="AE537" s="24">
        <v>0</v>
      </c>
      <c r="AF537" s="90">
        <v>0</v>
      </c>
      <c r="AG537" s="24">
        <v>0</v>
      </c>
      <c r="AH537" s="90">
        <v>90713</v>
      </c>
      <c r="AI537" s="24" t="s">
        <v>94</v>
      </c>
      <c r="AJ537" s="24" t="s">
        <v>1465</v>
      </c>
      <c r="AK537" s="90" t="s">
        <v>85</v>
      </c>
      <c r="AL537" s="90">
        <v>230721</v>
      </c>
      <c r="AM537" s="90" t="s">
        <v>81</v>
      </c>
      <c r="AN537" s="90" t="s">
        <v>1461</v>
      </c>
      <c r="AO537" s="125" t="s">
        <v>791</v>
      </c>
      <c r="AP537" s="24" t="s">
        <v>1464</v>
      </c>
      <c r="AQ537" s="90" t="s">
        <v>1463</v>
      </c>
      <c r="AR537" s="24" t="s">
        <v>1464</v>
      </c>
      <c r="AS537" s="90" t="s">
        <v>119</v>
      </c>
      <c r="AT537" s="24" t="s">
        <v>94</v>
      </c>
      <c r="AU537" s="90" t="s">
        <v>119</v>
      </c>
      <c r="AV537" s="90" t="str">
        <f>IF(ISNUMBER(SEARCH("disagree",AE537)),"N","Y")</f>
        <v>Y</v>
      </c>
      <c r="AW537" s="90" t="s">
        <v>119</v>
      </c>
      <c r="AX537" s="24" t="s">
        <v>119</v>
      </c>
      <c r="AY537" s="90" t="str">
        <f>CONCATENATE(AZ537,BA537,BB537,BC537)</f>
        <v/>
      </c>
      <c r="AZ537" s="90" t="str">
        <f>IF(ISNUMBER(SEARCH("Y",AC537)),"R","")</f>
        <v/>
      </c>
      <c r="BA537" s="90" t="str">
        <f>IF(ISNUMBER(SEARCH("Y",Y537)),"M","")</f>
        <v/>
      </c>
      <c r="BB537" s="90" t="str">
        <f>IF(ISNUMBER(SEARCH("Y",AB537)),"QC","")</f>
        <v/>
      </c>
      <c r="BC537" s="90" t="str">
        <f>IF(ISNUMBER(SEARCH("Y",Z537)),"S","")</f>
        <v/>
      </c>
      <c r="BD537" s="90"/>
      <c r="BE537" s="24" t="s">
        <v>119</v>
      </c>
      <c r="BF537" s="125" t="str">
        <f>IF(AND(AW537&gt;=56543,AW537&lt;=76543,LEN(AW537)&gt;0),"3 Feb 2020",IF(AND(AW537&gt;=66544,AW537&lt;=99999,LEN(AW537)&gt;0),"12 Sep 2020",""))</f>
        <v/>
      </c>
      <c r="BG537" s="125" t="str">
        <f>IF((AND(BF537="3 Feb 2020",LEN(BF537)&gt;0)),"Completed",IF((AND(BF537="12 Sep 2020",LEN(BF537)&gt;0)),"Pending",""))</f>
        <v/>
      </c>
      <c r="BH537" s="90" t="str">
        <f>IF((AND(BF537="3 Feb 2020",LEN(BF537)&gt;0)),"3 Feb 2020","")</f>
        <v/>
      </c>
      <c r="BI537" s="90">
        <v>230721</v>
      </c>
      <c r="BJ537" s="90" t="str">
        <f>L537</f>
        <v>8B27HR844333-84</v>
      </c>
      <c r="BK537" s="127">
        <v>43508</v>
      </c>
      <c r="BL537" s="127">
        <v>44239</v>
      </c>
      <c r="BM537" s="128">
        <f>P537*1.1</f>
        <v>2465244.1</v>
      </c>
      <c r="BN537" s="129">
        <f>P537*0.9</f>
        <v>2017017.9000000001</v>
      </c>
      <c r="BO537" s="130">
        <f>P537*0.8</f>
        <v>1792904.8</v>
      </c>
      <c r="BP537" s="90">
        <f>IF(Z537="Y",BM537*0.4,BM537*1.05)</f>
        <v>2588506.3050000002</v>
      </c>
      <c r="BQ537" s="90">
        <f>BP537*0.8</f>
        <v>2070805.0440000002</v>
      </c>
      <c r="BR537" s="90" t="str">
        <f>IF(ISNUMBER(SEARCH("subrecipient",AI533)),P537*0.6,"")</f>
        <v/>
      </c>
      <c r="BS537" s="90">
        <v>230721</v>
      </c>
      <c r="BT537" s="90" t="str">
        <f>BJ537</f>
        <v>8B27HR844333-84</v>
      </c>
      <c r="BU537" s="127">
        <f>BK537</f>
        <v>43508</v>
      </c>
      <c r="BV537" s="127">
        <f>BL537</f>
        <v>44239</v>
      </c>
      <c r="BW537" s="90" t="str">
        <f>H537</f>
        <v>ACF</v>
      </c>
      <c r="BX537" s="90" t="str">
        <f>IF(H537="NATIONAL HEMOPHILIA FOUNDATION","Non Federal","Federal")</f>
        <v>Federal</v>
      </c>
      <c r="BY537" s="128">
        <f>BM537</f>
        <v>2465244.1</v>
      </c>
      <c r="BZ537" s="90" t="str">
        <f>IF(LEN(BR537)&gt;0,1,"")</f>
        <v/>
      </c>
      <c r="CA537" s="90" t="str">
        <f>IF(LEN(BR537)&gt;0,"VIRAL HEPATITIS PROJECT","")</f>
        <v/>
      </c>
      <c r="CB537" s="129" t="str">
        <f>IF(LEN(BR537)&gt;0,BM537*0.7,"")</f>
        <v/>
      </c>
      <c r="CC537" s="90">
        <f>BP537</f>
        <v>2588506.3050000002</v>
      </c>
      <c r="CD537" s="90" t="str">
        <f>IF(LEN(BR537)&gt;0,"70%","")</f>
        <v/>
      </c>
      <c r="CE537" s="90">
        <f>BS537</f>
        <v>230721</v>
      </c>
      <c r="CF537" s="90" t="str">
        <f>CA537</f>
        <v/>
      </c>
      <c r="CG537" s="90"/>
      <c r="CH537" s="90"/>
      <c r="CI537" s="90"/>
      <c r="CJ537" s="90"/>
      <c r="CK537" s="90"/>
      <c r="CL537" s="90"/>
      <c r="CM537" s="90"/>
      <c r="CN537" s="90"/>
      <c r="CO537" s="90"/>
      <c r="CP537" s="90"/>
      <c r="CQ537" s="90"/>
      <c r="CR537" s="90"/>
      <c r="CS537" s="90"/>
      <c r="CT537" s="137"/>
    </row>
    <row r="538" spans="1:98" ht="90">
      <c r="A538" s="89">
        <v>230721</v>
      </c>
      <c r="B538" s="90">
        <v>2020</v>
      </c>
      <c r="C538" s="90" t="s">
        <v>81</v>
      </c>
      <c r="D538" s="90" t="s">
        <v>1461</v>
      </c>
      <c r="E538" s="125" t="s">
        <v>793</v>
      </c>
      <c r="F538" s="24" t="s">
        <v>1462</v>
      </c>
      <c r="G538" s="90" t="s">
        <v>85</v>
      </c>
      <c r="H538" s="90" t="s">
        <v>150</v>
      </c>
      <c r="I538" s="90">
        <v>93</v>
      </c>
      <c r="J538" s="90">
        <v>157</v>
      </c>
      <c r="K538" s="90" t="s">
        <v>85</v>
      </c>
      <c r="L538" s="90" t="s">
        <v>1463</v>
      </c>
      <c r="M538" s="90" t="s">
        <v>119</v>
      </c>
      <c r="N538" s="24" t="s">
        <v>1464</v>
      </c>
      <c r="O538" s="24" t="str">
        <f>IF(ISNUMBER(SEARCH("Cancer",N538)),"Cancer",IF(ISNUMBER(SEARCH("health",N538)),"Public health",IF(ISNUMBER(SEARCH("disabilities",N538)),"Disabilities","Other")))</f>
        <v>Other</v>
      </c>
      <c r="P538" s="126">
        <v>2241131</v>
      </c>
      <c r="Q538" s="90" t="s">
        <v>85</v>
      </c>
      <c r="R538" s="90" t="str">
        <f>IF(P538&gt;20000000,"B","A")</f>
        <v>A</v>
      </c>
      <c r="S538" s="90" t="s">
        <v>90</v>
      </c>
      <c r="T538" s="90" t="s">
        <v>119</v>
      </c>
      <c r="U538" s="90" t="s">
        <v>119</v>
      </c>
      <c r="V538" s="90" t="s">
        <v>119</v>
      </c>
      <c r="W538" s="90" t="s">
        <v>119</v>
      </c>
      <c r="X538" s="90" t="s">
        <v>119</v>
      </c>
      <c r="Y538" s="90" t="s">
        <v>119</v>
      </c>
      <c r="Z538" s="90" t="s">
        <v>119</v>
      </c>
      <c r="AA538" s="90" t="s">
        <v>119</v>
      </c>
      <c r="AB538" s="90" t="s">
        <v>119</v>
      </c>
      <c r="AC538" s="90" t="s">
        <v>119</v>
      </c>
      <c r="AD538" s="90" t="s">
        <v>119</v>
      </c>
      <c r="AE538" s="24">
        <v>0</v>
      </c>
      <c r="AF538" s="90">
        <v>0</v>
      </c>
      <c r="AG538" s="24">
        <v>0</v>
      </c>
      <c r="AH538" s="90">
        <v>90714</v>
      </c>
      <c r="AI538" s="24" t="s">
        <v>102</v>
      </c>
      <c r="AJ538" s="24" t="s">
        <v>1429</v>
      </c>
      <c r="AK538" s="90" t="s">
        <v>85</v>
      </c>
      <c r="AL538" s="90">
        <v>230721</v>
      </c>
      <c r="AM538" s="90" t="s">
        <v>81</v>
      </c>
      <c r="AN538" s="90" t="s">
        <v>1461</v>
      </c>
      <c r="AO538" s="125" t="s">
        <v>793</v>
      </c>
      <c r="AP538" s="24" t="s">
        <v>1464</v>
      </c>
      <c r="AQ538" s="90" t="s">
        <v>1463</v>
      </c>
      <c r="AR538" s="24" t="s">
        <v>1464</v>
      </c>
      <c r="AS538" s="90" t="s">
        <v>119</v>
      </c>
      <c r="AT538" s="24" t="s">
        <v>102</v>
      </c>
      <c r="AU538" s="90" t="s">
        <v>119</v>
      </c>
      <c r="AV538" s="90" t="str">
        <f>IF(ISNUMBER(SEARCH("disagree",AE538)),"N","Y")</f>
        <v>Y</v>
      </c>
      <c r="AW538" s="90" t="s">
        <v>119</v>
      </c>
      <c r="AX538" s="24" t="s">
        <v>119</v>
      </c>
      <c r="AY538" s="90" t="str">
        <f>CONCATENATE(AZ538,BA538,BB538,BC538)</f>
        <v/>
      </c>
      <c r="AZ538" s="90" t="str">
        <f>IF(ISNUMBER(SEARCH("Y",AC538)),"R","")</f>
        <v/>
      </c>
      <c r="BA538" s="90" t="str">
        <f>IF(ISNUMBER(SEARCH("Y",Y538)),"M","")</f>
        <v/>
      </c>
      <c r="BB538" s="90" t="str">
        <f>IF(ISNUMBER(SEARCH("Y",AB538)),"QC","")</f>
        <v/>
      </c>
      <c r="BC538" s="90" t="str">
        <f>IF(ISNUMBER(SEARCH("Y",Z538)),"S","")</f>
        <v/>
      </c>
      <c r="BD538" s="90"/>
      <c r="BE538" s="24" t="s">
        <v>119</v>
      </c>
      <c r="BF538" s="125" t="str">
        <f>IF(AND(AW538&gt;=56543,AW538&lt;=76543,LEN(AW538)&gt;0),"3 Feb 2020",IF(AND(AW538&gt;=66544,AW538&lt;=99999,LEN(AW538)&gt;0),"12 Sep 2020",""))</f>
        <v/>
      </c>
      <c r="BG538" s="125" t="str">
        <f>IF((AND(BF538="3 Feb 2020",LEN(BF538)&gt;0)),"Completed",IF((AND(BF538="12 Sep 2020",LEN(BF538)&gt;0)),"Pending",""))</f>
        <v/>
      </c>
      <c r="BH538" s="90" t="str">
        <f>IF((AND(BF538="3 Feb 2020",LEN(BF538)&gt;0)),"3 Feb 2020","")</f>
        <v/>
      </c>
      <c r="BI538" s="90">
        <v>230721</v>
      </c>
      <c r="BJ538" s="90" t="str">
        <f>L538</f>
        <v>8B27HR844333-84</v>
      </c>
      <c r="BK538" s="127">
        <v>43508</v>
      </c>
      <c r="BL538" s="127">
        <v>44239</v>
      </c>
      <c r="BM538" s="128">
        <f>P538*1.1</f>
        <v>2465244.1</v>
      </c>
      <c r="BN538" s="129">
        <f>P538*0.9</f>
        <v>2017017.9000000001</v>
      </c>
      <c r="BO538" s="130">
        <f>P538*0.8</f>
        <v>1792904.8</v>
      </c>
      <c r="BP538" s="90">
        <f>IF(Z538="Y",BM538*0.4,BM538*1.05)</f>
        <v>2588506.3050000002</v>
      </c>
      <c r="BQ538" s="90">
        <f>BP538*0.8</f>
        <v>2070805.0440000002</v>
      </c>
      <c r="BR538" s="90" t="str">
        <f>IF(ISNUMBER(SEARCH("subrecipient",AI534)),P538*0.6,"")</f>
        <v/>
      </c>
      <c r="BS538" s="90">
        <v>230721</v>
      </c>
      <c r="BT538" s="90" t="str">
        <f>BJ538</f>
        <v>8B27HR844333-84</v>
      </c>
      <c r="BU538" s="127">
        <f>BK538</f>
        <v>43508</v>
      </c>
      <c r="BV538" s="127">
        <f>BL538</f>
        <v>44239</v>
      </c>
      <c r="BW538" s="90" t="str">
        <f>H538</f>
        <v>ACF</v>
      </c>
      <c r="BX538" s="90" t="str">
        <f>IF(H538="NATIONAL HEMOPHILIA FOUNDATION","Non Federal","Federal")</f>
        <v>Federal</v>
      </c>
      <c r="BY538" s="128">
        <f>BM538</f>
        <v>2465244.1</v>
      </c>
      <c r="BZ538" s="90" t="str">
        <f>IF(LEN(BR538)&gt;0,1,"")</f>
        <v/>
      </c>
      <c r="CA538" s="90" t="str">
        <f>IF(LEN(BR538)&gt;0,"VIRAL HEPATITIS PROJECT","")</f>
        <v/>
      </c>
      <c r="CB538" s="129" t="str">
        <f>IF(LEN(BR538)&gt;0,BM538*0.7,"")</f>
        <v/>
      </c>
      <c r="CC538" s="90">
        <f>BP538</f>
        <v>2588506.3050000002</v>
      </c>
      <c r="CD538" s="90" t="str">
        <f>IF(LEN(BR538)&gt;0,"70%","")</f>
        <v/>
      </c>
      <c r="CE538" s="90">
        <f>BS538</f>
        <v>230721</v>
      </c>
      <c r="CF538" s="90" t="str">
        <f>CA538</f>
        <v/>
      </c>
      <c r="CG538" s="90"/>
      <c r="CH538" s="90"/>
      <c r="CI538" s="90"/>
      <c r="CJ538" s="90"/>
      <c r="CK538" s="90"/>
      <c r="CL538" s="90"/>
      <c r="CM538" s="90"/>
      <c r="CN538" s="90"/>
      <c r="CO538" s="90"/>
      <c r="CP538" s="90"/>
      <c r="CQ538" s="90"/>
      <c r="CR538" s="90"/>
      <c r="CS538" s="90"/>
      <c r="CT538" s="137"/>
    </row>
    <row r="539" spans="1:98" ht="90">
      <c r="A539" s="89">
        <v>230721</v>
      </c>
      <c r="B539" s="90">
        <v>2020</v>
      </c>
      <c r="C539" s="90" t="s">
        <v>81</v>
      </c>
      <c r="D539" s="90" t="s">
        <v>1461</v>
      </c>
      <c r="E539" s="125" t="s">
        <v>780</v>
      </c>
      <c r="F539" s="24" t="s">
        <v>1462</v>
      </c>
      <c r="G539" s="90" t="s">
        <v>85</v>
      </c>
      <c r="H539" s="90" t="s">
        <v>150</v>
      </c>
      <c r="I539" s="90">
        <v>93</v>
      </c>
      <c r="J539" s="90">
        <v>157</v>
      </c>
      <c r="K539" s="90" t="s">
        <v>85</v>
      </c>
      <c r="L539" s="90" t="s">
        <v>1463</v>
      </c>
      <c r="M539" s="90" t="s">
        <v>119</v>
      </c>
      <c r="N539" s="24" t="s">
        <v>1464</v>
      </c>
      <c r="O539" s="24" t="str">
        <f>IF(ISNUMBER(SEARCH("Cancer",N539)),"Cancer",IF(ISNUMBER(SEARCH("health",N539)),"Public health",IF(ISNUMBER(SEARCH("disabilities",N539)),"Disabilities","Other")))</f>
        <v>Other</v>
      </c>
      <c r="P539" s="126">
        <v>2241131</v>
      </c>
      <c r="Q539" s="90" t="s">
        <v>85</v>
      </c>
      <c r="R539" s="90" t="str">
        <f>IF(P539&gt;20000000,"B","A")</f>
        <v>A</v>
      </c>
      <c r="S539" s="90" t="s">
        <v>90</v>
      </c>
      <c r="T539" s="90" t="s">
        <v>119</v>
      </c>
      <c r="U539" s="90" t="s">
        <v>119</v>
      </c>
      <c r="V539" s="90" t="s">
        <v>119</v>
      </c>
      <c r="W539" s="90" t="s">
        <v>119</v>
      </c>
      <c r="X539" s="90" t="s">
        <v>119</v>
      </c>
      <c r="Y539" s="90" t="s">
        <v>119</v>
      </c>
      <c r="Z539" s="90" t="s">
        <v>119</v>
      </c>
      <c r="AA539" s="90" t="s">
        <v>119</v>
      </c>
      <c r="AB539" s="90" t="s">
        <v>119</v>
      </c>
      <c r="AC539" s="90" t="s">
        <v>119</v>
      </c>
      <c r="AD539" s="90" t="s">
        <v>119</v>
      </c>
      <c r="AE539" s="24">
        <v>0</v>
      </c>
      <c r="AF539" s="90">
        <v>0</v>
      </c>
      <c r="AG539" s="24">
        <v>0</v>
      </c>
      <c r="AH539" s="90">
        <v>90715</v>
      </c>
      <c r="AI539" s="24" t="s">
        <v>363</v>
      </c>
      <c r="AJ539" s="24" t="s">
        <v>1466</v>
      </c>
      <c r="AK539" s="90" t="s">
        <v>85</v>
      </c>
      <c r="AL539" s="90">
        <v>230721</v>
      </c>
      <c r="AM539" s="90" t="s">
        <v>81</v>
      </c>
      <c r="AN539" s="90" t="s">
        <v>1461</v>
      </c>
      <c r="AO539" s="125" t="s">
        <v>780</v>
      </c>
      <c r="AP539" s="24" t="s">
        <v>1464</v>
      </c>
      <c r="AQ539" s="90" t="s">
        <v>1463</v>
      </c>
      <c r="AR539" s="24" t="s">
        <v>1464</v>
      </c>
      <c r="AS539" s="90" t="s">
        <v>119</v>
      </c>
      <c r="AT539" s="24" t="s">
        <v>363</v>
      </c>
      <c r="AU539" s="90" t="s">
        <v>119</v>
      </c>
      <c r="AV539" s="90" t="str">
        <f>IF(ISNUMBER(SEARCH("disagree",AE539)),"N","Y")</f>
        <v>Y</v>
      </c>
      <c r="AW539" s="90" t="s">
        <v>119</v>
      </c>
      <c r="AX539" s="24" t="s">
        <v>119</v>
      </c>
      <c r="AY539" s="90" t="str">
        <f>CONCATENATE(AZ539,BA539,BB539,BC539)</f>
        <v/>
      </c>
      <c r="AZ539" s="90" t="str">
        <f>IF(ISNUMBER(SEARCH("Y",AC539)),"R","")</f>
        <v/>
      </c>
      <c r="BA539" s="90" t="str">
        <f>IF(ISNUMBER(SEARCH("Y",Y539)),"M","")</f>
        <v/>
      </c>
      <c r="BB539" s="90" t="str">
        <f>IF(ISNUMBER(SEARCH("Y",AB539)),"QC","")</f>
        <v/>
      </c>
      <c r="BC539" s="90" t="str">
        <f>IF(ISNUMBER(SEARCH("Y",Z539)),"S","")</f>
        <v/>
      </c>
      <c r="BD539" s="90"/>
      <c r="BE539" s="24" t="s">
        <v>119</v>
      </c>
      <c r="BF539" s="125" t="str">
        <f>IF(AND(AW539&gt;=56543,AW539&lt;=76543,LEN(AW539)&gt;0),"3 Feb 2020",IF(AND(AW539&gt;=66544,AW539&lt;=99999,LEN(AW539)&gt;0),"12 Sep 2020",""))</f>
        <v/>
      </c>
      <c r="BG539" s="125" t="str">
        <f>IF((AND(BF539="3 Feb 2020",LEN(BF539)&gt;0)),"Completed",IF((AND(BF539="12 Sep 2020",LEN(BF539)&gt;0)),"Pending",""))</f>
        <v/>
      </c>
      <c r="BH539" s="90" t="str">
        <f>IF((AND(BF539="3 Feb 2020",LEN(BF539)&gt;0)),"3 Feb 2020","")</f>
        <v/>
      </c>
      <c r="BI539" s="90">
        <v>230721</v>
      </c>
      <c r="BJ539" s="90" t="str">
        <f>L539</f>
        <v>8B27HR844333-84</v>
      </c>
      <c r="BK539" s="127">
        <v>43508</v>
      </c>
      <c r="BL539" s="127">
        <v>44239</v>
      </c>
      <c r="BM539" s="128">
        <f>P539*1.1</f>
        <v>2465244.1</v>
      </c>
      <c r="BN539" s="129">
        <f>P539*0.9</f>
        <v>2017017.9000000001</v>
      </c>
      <c r="BO539" s="130">
        <f>P539*0.8</f>
        <v>1792904.8</v>
      </c>
      <c r="BP539" s="90">
        <f>IF(Z539="Y",BM539*0.4,BM539*1.05)</f>
        <v>2588506.3050000002</v>
      </c>
      <c r="BQ539" s="90">
        <f>BP539*0.8</f>
        <v>2070805.0440000002</v>
      </c>
      <c r="BR539" s="90" t="str">
        <f>IF(ISNUMBER(SEARCH("subrecipient",AI535)),P539*0.6,"")</f>
        <v/>
      </c>
      <c r="BS539" s="90">
        <v>230721</v>
      </c>
      <c r="BT539" s="90" t="str">
        <f>BJ539</f>
        <v>8B27HR844333-84</v>
      </c>
      <c r="BU539" s="127">
        <f>BK539</f>
        <v>43508</v>
      </c>
      <c r="BV539" s="127">
        <f>BL539</f>
        <v>44239</v>
      </c>
      <c r="BW539" s="90" t="str">
        <f>H539</f>
        <v>ACF</v>
      </c>
      <c r="BX539" s="90" t="str">
        <f>IF(H539="NATIONAL HEMOPHILIA FOUNDATION","Non Federal","Federal")</f>
        <v>Federal</v>
      </c>
      <c r="BY539" s="128">
        <f>BM539</f>
        <v>2465244.1</v>
      </c>
      <c r="BZ539" s="90" t="str">
        <f>IF(LEN(BR539)&gt;0,1,"")</f>
        <v/>
      </c>
      <c r="CA539" s="90" t="str">
        <f>IF(LEN(BR539)&gt;0,"VIRAL HEPATITIS PROJECT","")</f>
        <v/>
      </c>
      <c r="CB539" s="129" t="str">
        <f>IF(LEN(BR539)&gt;0,BM539*0.7,"")</f>
        <v/>
      </c>
      <c r="CC539" s="90">
        <f>BP539</f>
        <v>2588506.3050000002</v>
      </c>
      <c r="CD539" s="90" t="str">
        <f>IF(LEN(BR539)&gt;0,"70%","")</f>
        <v/>
      </c>
      <c r="CE539" s="90">
        <f>BS539</f>
        <v>230721</v>
      </c>
      <c r="CF539" s="90" t="str">
        <f>CA539</f>
        <v/>
      </c>
      <c r="CG539" s="90"/>
      <c r="CH539" s="90"/>
      <c r="CI539" s="90"/>
      <c r="CJ539" s="90"/>
      <c r="CK539" s="90"/>
      <c r="CL539" s="90"/>
      <c r="CM539" s="90"/>
      <c r="CN539" s="90"/>
      <c r="CO539" s="90"/>
      <c r="CP539" s="90"/>
      <c r="CQ539" s="90"/>
      <c r="CR539" s="90"/>
      <c r="CS539" s="90"/>
      <c r="CT539" s="137"/>
    </row>
    <row r="540" spans="1:98" ht="90">
      <c r="A540" s="89">
        <v>230721</v>
      </c>
      <c r="B540" s="90">
        <v>2020</v>
      </c>
      <c r="C540" s="90" t="s">
        <v>81</v>
      </c>
      <c r="D540" s="90" t="s">
        <v>1461</v>
      </c>
      <c r="E540" s="125" t="s">
        <v>781</v>
      </c>
      <c r="F540" s="24" t="s">
        <v>1462</v>
      </c>
      <c r="G540" s="90" t="s">
        <v>85</v>
      </c>
      <c r="H540" s="90" t="s">
        <v>150</v>
      </c>
      <c r="I540" s="90">
        <v>93</v>
      </c>
      <c r="J540" s="90">
        <v>157</v>
      </c>
      <c r="K540" s="90" t="s">
        <v>85</v>
      </c>
      <c r="L540" s="90" t="s">
        <v>1463</v>
      </c>
      <c r="M540" s="90" t="s">
        <v>119</v>
      </c>
      <c r="N540" s="24" t="s">
        <v>1464</v>
      </c>
      <c r="O540" s="24" t="str">
        <f>IF(ISNUMBER(SEARCH("Cancer",N540)),"Cancer",IF(ISNUMBER(SEARCH("health",N540)),"Public health",IF(ISNUMBER(SEARCH("disabilities",N540)),"Disabilities","Other")))</f>
        <v>Other</v>
      </c>
      <c r="P540" s="126">
        <v>2241131</v>
      </c>
      <c r="Q540" s="90" t="s">
        <v>85</v>
      </c>
      <c r="R540" s="90" t="str">
        <f>IF(P540&gt;20000000,"B","A")</f>
        <v>A</v>
      </c>
      <c r="S540" s="90" t="s">
        <v>90</v>
      </c>
      <c r="T540" s="90" t="s">
        <v>119</v>
      </c>
      <c r="U540" s="90" t="s">
        <v>119</v>
      </c>
      <c r="V540" s="90" t="s">
        <v>119</v>
      </c>
      <c r="W540" s="90" t="s">
        <v>119</v>
      </c>
      <c r="X540" s="90" t="s">
        <v>119</v>
      </c>
      <c r="Y540" s="90" t="s">
        <v>119</v>
      </c>
      <c r="Z540" s="90" t="s">
        <v>119</v>
      </c>
      <c r="AA540" s="90" t="s">
        <v>119</v>
      </c>
      <c r="AB540" s="90" t="s">
        <v>119</v>
      </c>
      <c r="AC540" s="90" t="s">
        <v>119</v>
      </c>
      <c r="AD540" s="90" t="s">
        <v>119</v>
      </c>
      <c r="AE540" s="24">
        <v>0</v>
      </c>
      <c r="AF540" s="90">
        <v>0</v>
      </c>
      <c r="AG540" s="24">
        <v>0</v>
      </c>
      <c r="AH540" s="90">
        <v>90717</v>
      </c>
      <c r="AI540" s="24" t="s">
        <v>1431</v>
      </c>
      <c r="AJ540" s="24" t="s">
        <v>1467</v>
      </c>
      <c r="AK540" s="90" t="s">
        <v>85</v>
      </c>
      <c r="AL540" s="90">
        <v>230721</v>
      </c>
      <c r="AM540" s="90" t="s">
        <v>81</v>
      </c>
      <c r="AN540" s="90" t="s">
        <v>1461</v>
      </c>
      <c r="AO540" s="125" t="s">
        <v>781</v>
      </c>
      <c r="AP540" s="24" t="s">
        <v>1464</v>
      </c>
      <c r="AQ540" s="90" t="s">
        <v>1463</v>
      </c>
      <c r="AR540" s="24" t="s">
        <v>1464</v>
      </c>
      <c r="AS540" s="90" t="s">
        <v>119</v>
      </c>
      <c r="AT540" s="24" t="s">
        <v>1431</v>
      </c>
      <c r="AU540" s="90" t="s">
        <v>119</v>
      </c>
      <c r="AV540" s="90" t="str">
        <f>IF(ISNUMBER(SEARCH("disagree",AE540)),"N","Y")</f>
        <v>Y</v>
      </c>
      <c r="AW540" s="90" t="s">
        <v>119</v>
      </c>
      <c r="AX540" s="24" t="s">
        <v>119</v>
      </c>
      <c r="AY540" s="90" t="str">
        <f>CONCATENATE(AZ540,BA540,BB540,BC540)</f>
        <v/>
      </c>
      <c r="AZ540" s="90" t="str">
        <f>IF(ISNUMBER(SEARCH("Y",AC540)),"R","")</f>
        <v/>
      </c>
      <c r="BA540" s="90" t="str">
        <f>IF(ISNUMBER(SEARCH("Y",Y540)),"M","")</f>
        <v/>
      </c>
      <c r="BB540" s="90" t="str">
        <f>IF(ISNUMBER(SEARCH("Y",AB540)),"QC","")</f>
        <v/>
      </c>
      <c r="BC540" s="90" t="str">
        <f>IF(ISNUMBER(SEARCH("Y",Z540)),"S","")</f>
        <v/>
      </c>
      <c r="BD540" s="90"/>
      <c r="BE540" s="24" t="s">
        <v>119</v>
      </c>
      <c r="BF540" s="125" t="str">
        <f>IF(AND(AW540&gt;=56543,AW540&lt;=76543,LEN(AW540)&gt;0),"3 Feb 2020",IF(AND(AW540&gt;=66544,AW540&lt;=99999,LEN(AW540)&gt;0),"12 Sep 2020",""))</f>
        <v/>
      </c>
      <c r="BG540" s="125" t="str">
        <f>IF((AND(BF540="3 Feb 2020",LEN(BF540)&gt;0)),"Completed",IF((AND(BF540="12 Sep 2020",LEN(BF540)&gt;0)),"Pending",""))</f>
        <v/>
      </c>
      <c r="BH540" s="90" t="str">
        <f>IF((AND(BF540="3 Feb 2020",LEN(BF540)&gt;0)),"3 Feb 2020","")</f>
        <v/>
      </c>
      <c r="BI540" s="90">
        <v>230721</v>
      </c>
      <c r="BJ540" s="90" t="str">
        <f>L540</f>
        <v>8B27HR844333-84</v>
      </c>
      <c r="BK540" s="127">
        <v>43508</v>
      </c>
      <c r="BL540" s="127">
        <v>44239</v>
      </c>
      <c r="BM540" s="128">
        <f>P540*1.1</f>
        <v>2465244.1</v>
      </c>
      <c r="BN540" s="129">
        <f>P540*0.9</f>
        <v>2017017.9000000001</v>
      </c>
      <c r="BO540" s="130">
        <f>P540*0.8</f>
        <v>1792904.8</v>
      </c>
      <c r="BP540" s="90">
        <f>IF(Z540="Y",BM540*0.4,BM540*1.05)</f>
        <v>2588506.3050000002</v>
      </c>
      <c r="BQ540" s="90">
        <f>BP540*0.8</f>
        <v>2070805.0440000002</v>
      </c>
      <c r="BR540" s="90" t="str">
        <f>IF(ISNUMBER(SEARCH("subrecipient",AI536)),P540*0.6,"")</f>
        <v/>
      </c>
      <c r="BS540" s="90">
        <v>230721</v>
      </c>
      <c r="BT540" s="90" t="str">
        <f>BJ540</f>
        <v>8B27HR844333-84</v>
      </c>
      <c r="BU540" s="127">
        <f>BK540</f>
        <v>43508</v>
      </c>
      <c r="BV540" s="127">
        <f>BL540</f>
        <v>44239</v>
      </c>
      <c r="BW540" s="90" t="str">
        <f>H540</f>
        <v>ACF</v>
      </c>
      <c r="BX540" s="90" t="str">
        <f>IF(H540="NATIONAL HEMOPHILIA FOUNDATION","Non Federal","Federal")</f>
        <v>Federal</v>
      </c>
      <c r="BY540" s="128">
        <f>BM540</f>
        <v>2465244.1</v>
      </c>
      <c r="BZ540" s="90" t="str">
        <f>IF(LEN(BR540)&gt;0,1,"")</f>
        <v/>
      </c>
      <c r="CA540" s="90" t="str">
        <f>IF(LEN(BR540)&gt;0,"VIRAL HEPATITIS PROJECT","")</f>
        <v/>
      </c>
      <c r="CB540" s="129" t="str">
        <f>IF(LEN(BR540)&gt;0,BM540*0.7,"")</f>
        <v/>
      </c>
      <c r="CC540" s="90">
        <f>BP540</f>
        <v>2588506.3050000002</v>
      </c>
      <c r="CD540" s="90" t="str">
        <f>IF(LEN(BR540)&gt;0,"70%","")</f>
        <v/>
      </c>
      <c r="CE540" s="90">
        <f>BS540</f>
        <v>230721</v>
      </c>
      <c r="CF540" s="90" t="str">
        <f>CA540</f>
        <v/>
      </c>
      <c r="CG540" s="90"/>
      <c r="CH540" s="90"/>
      <c r="CI540" s="90"/>
      <c r="CJ540" s="90"/>
      <c r="CK540" s="90"/>
      <c r="CL540" s="90"/>
      <c r="CM540" s="90"/>
      <c r="CN540" s="90"/>
      <c r="CO540" s="90"/>
      <c r="CP540" s="90"/>
      <c r="CQ540" s="90"/>
      <c r="CR540" s="90"/>
      <c r="CS540" s="90"/>
      <c r="CT540" s="137"/>
    </row>
    <row r="541" spans="1:98" ht="90">
      <c r="A541" s="89">
        <v>230721</v>
      </c>
      <c r="B541" s="90">
        <v>2020</v>
      </c>
      <c r="C541" s="90" t="s">
        <v>81</v>
      </c>
      <c r="D541" s="90" t="s">
        <v>1461</v>
      </c>
      <c r="E541" s="125" t="s">
        <v>784</v>
      </c>
      <c r="F541" s="24" t="s">
        <v>1462</v>
      </c>
      <c r="G541" s="90" t="s">
        <v>85</v>
      </c>
      <c r="H541" s="90" t="s">
        <v>150</v>
      </c>
      <c r="I541" s="90">
        <v>93</v>
      </c>
      <c r="J541" s="90">
        <v>157</v>
      </c>
      <c r="K541" s="90" t="s">
        <v>85</v>
      </c>
      <c r="L541" s="90" t="s">
        <v>1463</v>
      </c>
      <c r="M541" s="90" t="s">
        <v>119</v>
      </c>
      <c r="N541" s="24" t="s">
        <v>1464</v>
      </c>
      <c r="O541" s="24" t="str">
        <f>IF(ISNUMBER(SEARCH("Cancer",N541)),"Cancer",IF(ISNUMBER(SEARCH("health",N541)),"Public health",IF(ISNUMBER(SEARCH("disabilities",N541)),"Disabilities","Other")))</f>
        <v>Other</v>
      </c>
      <c r="P541" s="126">
        <v>2241131</v>
      </c>
      <c r="Q541" s="90" t="s">
        <v>85</v>
      </c>
      <c r="R541" s="90" t="str">
        <f>IF(P541&gt;20000000,"B","A")</f>
        <v>A</v>
      </c>
      <c r="S541" s="90" t="s">
        <v>90</v>
      </c>
      <c r="T541" s="90" t="s">
        <v>119</v>
      </c>
      <c r="U541" s="90" t="s">
        <v>119</v>
      </c>
      <c r="V541" s="90" t="s">
        <v>119</v>
      </c>
      <c r="W541" s="90" t="s">
        <v>119</v>
      </c>
      <c r="X541" s="90" t="s">
        <v>119</v>
      </c>
      <c r="Y541" s="90" t="s">
        <v>119</v>
      </c>
      <c r="Z541" s="90" t="s">
        <v>119</v>
      </c>
      <c r="AA541" s="90" t="s">
        <v>119</v>
      </c>
      <c r="AB541" s="90" t="s">
        <v>119</v>
      </c>
      <c r="AC541" s="90" t="s">
        <v>119</v>
      </c>
      <c r="AD541" s="90" t="s">
        <v>119</v>
      </c>
      <c r="AE541" s="24">
        <v>0</v>
      </c>
      <c r="AF541" s="90">
        <v>0</v>
      </c>
      <c r="AG541" s="24">
        <v>0</v>
      </c>
      <c r="AH541" s="90">
        <v>90716</v>
      </c>
      <c r="AI541" s="24" t="s">
        <v>1468</v>
      </c>
      <c r="AJ541" s="24" t="s">
        <v>1434</v>
      </c>
      <c r="AK541" s="90" t="s">
        <v>85</v>
      </c>
      <c r="AL541" s="90">
        <v>230721</v>
      </c>
      <c r="AM541" s="90" t="s">
        <v>81</v>
      </c>
      <c r="AN541" s="90" t="s">
        <v>1461</v>
      </c>
      <c r="AO541" s="125" t="s">
        <v>784</v>
      </c>
      <c r="AP541" s="24" t="s">
        <v>1464</v>
      </c>
      <c r="AQ541" s="90" t="s">
        <v>1463</v>
      </c>
      <c r="AR541" s="24" t="s">
        <v>1464</v>
      </c>
      <c r="AS541" s="90" t="s">
        <v>119</v>
      </c>
      <c r="AT541" s="24" t="s">
        <v>1468</v>
      </c>
      <c r="AU541" s="90" t="s">
        <v>119</v>
      </c>
      <c r="AV541" s="90" t="str">
        <f>IF(ISNUMBER(SEARCH("disagree",AE541)),"N","Y")</f>
        <v>Y</v>
      </c>
      <c r="AW541" s="90" t="s">
        <v>119</v>
      </c>
      <c r="AX541" s="24" t="s">
        <v>119</v>
      </c>
      <c r="AY541" s="90" t="str">
        <f>CONCATENATE(AZ541,BA541,BB541,BC541)</f>
        <v/>
      </c>
      <c r="AZ541" s="90" t="str">
        <f>IF(ISNUMBER(SEARCH("Y",AC541)),"R","")</f>
        <v/>
      </c>
      <c r="BA541" s="90" t="str">
        <f>IF(ISNUMBER(SEARCH("Y",Y541)),"M","")</f>
        <v/>
      </c>
      <c r="BB541" s="90" t="str">
        <f>IF(ISNUMBER(SEARCH("Y",AB541)),"QC","")</f>
        <v/>
      </c>
      <c r="BC541" s="90" t="str">
        <f>IF(ISNUMBER(SEARCH("Y",Z541)),"S","")</f>
        <v/>
      </c>
      <c r="BD541" s="90"/>
      <c r="BE541" s="24" t="s">
        <v>119</v>
      </c>
      <c r="BF541" s="125" t="str">
        <f>IF(AND(AW541&gt;=56543,AW541&lt;=76543,LEN(AW541)&gt;0),"3 Feb 2020",IF(AND(AW541&gt;=66544,AW541&lt;=99999,LEN(AW541)&gt;0),"12 Sep 2020",""))</f>
        <v/>
      </c>
      <c r="BG541" s="125" t="str">
        <f>IF((AND(BF541="3 Feb 2020",LEN(BF541)&gt;0)),"Completed",IF((AND(BF541="12 Sep 2020",LEN(BF541)&gt;0)),"Pending",""))</f>
        <v/>
      </c>
      <c r="BH541" s="90" t="str">
        <f>IF((AND(BF541="3 Feb 2020",LEN(BF541)&gt;0)),"3 Feb 2020","")</f>
        <v/>
      </c>
      <c r="BI541" s="90">
        <v>230721</v>
      </c>
      <c r="BJ541" s="90" t="str">
        <f>L541</f>
        <v>8B27HR844333-84</v>
      </c>
      <c r="BK541" s="127">
        <v>43508</v>
      </c>
      <c r="BL541" s="127">
        <v>44239</v>
      </c>
      <c r="BM541" s="128">
        <f>P541*1.1</f>
        <v>2465244.1</v>
      </c>
      <c r="BN541" s="129">
        <f>P541*0.9</f>
        <v>2017017.9000000001</v>
      </c>
      <c r="BO541" s="130">
        <f>P541*0.8</f>
        <v>1792904.8</v>
      </c>
      <c r="BP541" s="90">
        <f>IF(Z541="Y",BM541*0.4,BM541*1.05)</f>
        <v>2588506.3050000002</v>
      </c>
      <c r="BQ541" s="90">
        <f>BP541*0.8</f>
        <v>2070805.0440000002</v>
      </c>
      <c r="BR541" s="90" t="str">
        <f>IF(ISNUMBER(SEARCH("subrecipient",AI537)),P541*0.6,"")</f>
        <v/>
      </c>
      <c r="BS541" s="90">
        <v>230721</v>
      </c>
      <c r="BT541" s="90" t="str">
        <f>BJ541</f>
        <v>8B27HR844333-84</v>
      </c>
      <c r="BU541" s="127">
        <f>BK541</f>
        <v>43508</v>
      </c>
      <c r="BV541" s="127">
        <f>BL541</f>
        <v>44239</v>
      </c>
      <c r="BW541" s="90" t="str">
        <f>H541</f>
        <v>ACF</v>
      </c>
      <c r="BX541" s="90" t="str">
        <f>IF(H541="NATIONAL HEMOPHILIA FOUNDATION","Non Federal","Federal")</f>
        <v>Federal</v>
      </c>
      <c r="BY541" s="128">
        <f>BM541</f>
        <v>2465244.1</v>
      </c>
      <c r="BZ541" s="90" t="str">
        <f>IF(LEN(BR541)&gt;0,1,"")</f>
        <v/>
      </c>
      <c r="CA541" s="90" t="str">
        <f>IF(LEN(BR541)&gt;0,"VIRAL HEPATITIS PROJECT","")</f>
        <v/>
      </c>
      <c r="CB541" s="129" t="str">
        <f>IF(LEN(BR541)&gt;0,BM541*0.7,"")</f>
        <v/>
      </c>
      <c r="CC541" s="90">
        <f>BP541</f>
        <v>2588506.3050000002</v>
      </c>
      <c r="CD541" s="90" t="str">
        <f>IF(LEN(BR541)&gt;0,"70%","")</f>
        <v/>
      </c>
      <c r="CE541" s="90">
        <f>BS541</f>
        <v>230721</v>
      </c>
      <c r="CF541" s="90" t="str">
        <f>CA541</f>
        <v/>
      </c>
      <c r="CG541" s="90"/>
      <c r="CH541" s="90"/>
      <c r="CI541" s="90"/>
      <c r="CJ541" s="90"/>
      <c r="CK541" s="90"/>
      <c r="CL541" s="90"/>
      <c r="CM541" s="90"/>
      <c r="CN541" s="90"/>
      <c r="CO541" s="90"/>
      <c r="CP541" s="90"/>
      <c r="CQ541" s="90"/>
      <c r="CR541" s="90"/>
      <c r="CS541" s="90"/>
      <c r="CT541" s="137"/>
    </row>
    <row r="542" spans="1:98" ht="180">
      <c r="A542" s="89">
        <v>230722</v>
      </c>
      <c r="B542" s="90">
        <v>2020</v>
      </c>
      <c r="C542" s="90" t="s">
        <v>81</v>
      </c>
      <c r="D542" s="90" t="s">
        <v>1469</v>
      </c>
      <c r="E542" s="125" t="s">
        <v>790</v>
      </c>
      <c r="F542" s="24" t="s">
        <v>1470</v>
      </c>
      <c r="G542" s="90" t="s">
        <v>85</v>
      </c>
      <c r="H542" s="90" t="s">
        <v>86</v>
      </c>
      <c r="I542" s="90">
        <v>93</v>
      </c>
      <c r="J542" s="90">
        <v>157</v>
      </c>
      <c r="K542" s="90" t="s">
        <v>85</v>
      </c>
      <c r="L542" s="90" t="s">
        <v>1471</v>
      </c>
      <c r="M542" s="90" t="s">
        <v>85</v>
      </c>
      <c r="N542" s="24" t="s">
        <v>1472</v>
      </c>
      <c r="O542" s="24" t="str">
        <f>IF(ISNUMBER(SEARCH("Cancer",N542)),"Cancer",IF(ISNUMBER(SEARCH("health",N542)),"Public health",IF(ISNUMBER(SEARCH("disabilities",N542)),"Disabilities","Other")))</f>
        <v>Other</v>
      </c>
      <c r="P542" s="126">
        <v>2688395</v>
      </c>
      <c r="Q542" s="90" t="s">
        <v>85</v>
      </c>
      <c r="R542" s="90" t="str">
        <f>IF(P542&gt;20000000,"B","A")</f>
        <v>A</v>
      </c>
      <c r="S542" s="90" t="s">
        <v>90</v>
      </c>
      <c r="T542" s="90">
        <v>2584610</v>
      </c>
      <c r="U542" s="90" t="s">
        <v>91</v>
      </c>
      <c r="V542" s="90" t="s">
        <v>425</v>
      </c>
      <c r="W542" s="90" t="s">
        <v>85</v>
      </c>
      <c r="X542" s="90" t="s">
        <v>87</v>
      </c>
      <c r="Y542" s="90" t="s">
        <v>85</v>
      </c>
      <c r="Z542" s="90" t="s">
        <v>85</v>
      </c>
      <c r="AA542" s="90" t="s">
        <v>85</v>
      </c>
      <c r="AB542" s="90" t="s">
        <v>85</v>
      </c>
      <c r="AC542" s="90" t="s">
        <v>85</v>
      </c>
      <c r="AD542" s="90">
        <v>0</v>
      </c>
      <c r="AE542" s="24" t="s">
        <v>1473</v>
      </c>
      <c r="AF542" s="90" t="s">
        <v>91</v>
      </c>
      <c r="AG542" s="24" t="s">
        <v>1474</v>
      </c>
      <c r="AH542" s="90">
        <v>90721</v>
      </c>
      <c r="AI542" s="24" t="s">
        <v>94</v>
      </c>
      <c r="AJ542" s="24" t="s">
        <v>1475</v>
      </c>
      <c r="AK542" s="90" t="s">
        <v>85</v>
      </c>
      <c r="AL542" s="90">
        <v>230722</v>
      </c>
      <c r="AM542" s="90" t="s">
        <v>81</v>
      </c>
      <c r="AN542" s="90" t="s">
        <v>1469</v>
      </c>
      <c r="AO542" s="125" t="s">
        <v>790</v>
      </c>
      <c r="AP542" s="24" t="s">
        <v>1472</v>
      </c>
      <c r="AQ542" s="90" t="s">
        <v>1471</v>
      </c>
      <c r="AR542" s="24" t="s">
        <v>1472</v>
      </c>
      <c r="AS542" s="90">
        <v>2584610</v>
      </c>
      <c r="AT542" s="24" t="s">
        <v>94</v>
      </c>
      <c r="AU542" s="90" t="s">
        <v>425</v>
      </c>
      <c r="AV542" s="90" t="str">
        <f>IF(ISNUMBER(SEARCH("disagree",AE542)),"N","Y")</f>
        <v>N</v>
      </c>
      <c r="AW542" s="90" t="s">
        <v>119</v>
      </c>
      <c r="AX542" s="24" t="s">
        <v>119</v>
      </c>
      <c r="AY542" s="90" t="str">
        <f>CONCATENATE(AZ542,BA542,BB542,BC542)</f>
        <v/>
      </c>
      <c r="AZ542" s="90" t="str">
        <f>IF(ISNUMBER(SEARCH("Y",AC542)),"R","")</f>
        <v/>
      </c>
      <c r="BA542" s="90" t="str">
        <f>IF(ISNUMBER(SEARCH("Y",Y542)),"M","")</f>
        <v/>
      </c>
      <c r="BB542" s="90" t="str">
        <f>IF(ISNUMBER(SEARCH("Y",AB542)),"QC","")</f>
        <v/>
      </c>
      <c r="BC542" s="90" t="str">
        <f>IF(ISNUMBER(SEARCH("Y",Z542)),"S","")</f>
        <v/>
      </c>
      <c r="BD542" s="90"/>
      <c r="BE542" s="24" t="s">
        <v>119</v>
      </c>
      <c r="BF542" s="125" t="str">
        <f>IF(AND(AW542&gt;=56543,AW542&lt;=76543,LEN(AW542)&gt;0),"3 Feb 2020",IF(AND(AW542&gt;=66544,AW542&lt;=99999,LEN(AW542)&gt;0),"12 Sep 2020",""))</f>
        <v/>
      </c>
      <c r="BG542" s="125" t="str">
        <f>IF((AND(BF542="3 Feb 2020",LEN(BF542)&gt;0)),"Completed",IF((AND(BF542="12 Sep 2020",LEN(BF542)&gt;0)),"Pending",""))</f>
        <v/>
      </c>
      <c r="BH542" s="90" t="str">
        <f>IF((AND(BF542="3 Feb 2020",LEN(BF542)&gt;0)),"3 Feb 2020","")</f>
        <v/>
      </c>
      <c r="BI542" s="90">
        <v>230722</v>
      </c>
      <c r="BJ542" s="90" t="str">
        <f>L542</f>
        <v>3C91DS844332-69</v>
      </c>
      <c r="BK542" s="127">
        <v>43508</v>
      </c>
      <c r="BL542" s="127">
        <v>44239</v>
      </c>
      <c r="BM542" s="128">
        <f>P542*1.1</f>
        <v>2957234.5000000005</v>
      </c>
      <c r="BN542" s="129">
        <f>P542*0.9</f>
        <v>2419555.5</v>
      </c>
      <c r="BO542" s="130">
        <f>P542*0.8</f>
        <v>2150716</v>
      </c>
      <c r="BP542" s="90">
        <f>IF(Z542="Y",BM542*0.4,BM542*1.05)</f>
        <v>3105096.2250000006</v>
      </c>
      <c r="BQ542" s="90">
        <f>BP542*0.8</f>
        <v>2484076.9800000004</v>
      </c>
      <c r="BR542" s="90" t="str">
        <f>IF(ISNUMBER(SEARCH("subrecipient",AI538)),P542*0.6,"")</f>
        <v/>
      </c>
      <c r="BS542" s="90">
        <v>230722</v>
      </c>
      <c r="BT542" s="90" t="str">
        <f>BJ542</f>
        <v>3C91DS844332-69</v>
      </c>
      <c r="BU542" s="127">
        <f>BK542</f>
        <v>43508</v>
      </c>
      <c r="BV542" s="127">
        <f>BL542</f>
        <v>44239</v>
      </c>
      <c r="BW542" s="90" t="str">
        <f>H542</f>
        <v>CDC</v>
      </c>
      <c r="BX542" s="90" t="str">
        <f>IF(H542="NATIONAL HEMOPHILIA FOUNDATION","Non Federal","Federal")</f>
        <v>Federal</v>
      </c>
      <c r="BY542" s="128">
        <f>BM542</f>
        <v>2957234.5000000005</v>
      </c>
      <c r="BZ542" s="90" t="str">
        <f>IF(LEN(BR542)&gt;0,1,"")</f>
        <v/>
      </c>
      <c r="CA542" s="90" t="str">
        <f>IF(LEN(BR542)&gt;0,"VIRAL HEPATITIS PROJECT","")</f>
        <v/>
      </c>
      <c r="CB542" s="129" t="str">
        <f>IF(LEN(BR542)&gt;0,BM542*0.7,"")</f>
        <v/>
      </c>
      <c r="CC542" s="90">
        <f>BP542</f>
        <v>3105096.2250000006</v>
      </c>
      <c r="CD542" s="90" t="str">
        <f>IF(LEN(BR542)&gt;0,"70%","")</f>
        <v/>
      </c>
      <c r="CE542" s="90">
        <f>BS542</f>
        <v>230722</v>
      </c>
      <c r="CF542" s="90" t="str">
        <f>CA542</f>
        <v/>
      </c>
      <c r="CG542" s="90"/>
      <c r="CH542" s="90"/>
      <c r="CI542" s="90"/>
      <c r="CJ542" s="90"/>
      <c r="CK542" s="90"/>
      <c r="CL542" s="90"/>
      <c r="CM542" s="90"/>
      <c r="CN542" s="90"/>
      <c r="CO542" s="90"/>
      <c r="CP542" s="90"/>
      <c r="CQ542" s="90"/>
      <c r="CR542" s="90"/>
      <c r="CS542" s="90"/>
      <c r="CT542" s="137"/>
    </row>
    <row r="543" spans="1:98" ht="75">
      <c r="A543" s="89">
        <v>230722</v>
      </c>
      <c r="B543" s="90">
        <v>2020</v>
      </c>
      <c r="C543" s="90" t="s">
        <v>81</v>
      </c>
      <c r="D543" s="90" t="s">
        <v>1469</v>
      </c>
      <c r="E543" s="125" t="s">
        <v>791</v>
      </c>
      <c r="F543" s="24" t="s">
        <v>1470</v>
      </c>
      <c r="G543" s="90" t="s">
        <v>85</v>
      </c>
      <c r="H543" s="90" t="s">
        <v>86</v>
      </c>
      <c r="I543" s="90">
        <v>93</v>
      </c>
      <c r="J543" s="90">
        <v>157</v>
      </c>
      <c r="K543" s="90" t="s">
        <v>85</v>
      </c>
      <c r="L543" s="90" t="s">
        <v>1471</v>
      </c>
      <c r="M543" s="90" t="s">
        <v>85</v>
      </c>
      <c r="N543" s="24" t="s">
        <v>1472</v>
      </c>
      <c r="O543" s="24" t="str">
        <f>IF(ISNUMBER(SEARCH("Cancer",N543)),"Cancer",IF(ISNUMBER(SEARCH("health",N543)),"Public health",IF(ISNUMBER(SEARCH("disabilities",N543)),"Disabilities","Other")))</f>
        <v>Other</v>
      </c>
      <c r="P543" s="126">
        <v>2688395</v>
      </c>
      <c r="Q543" s="90" t="s">
        <v>85</v>
      </c>
      <c r="R543" s="90" t="str">
        <f>IF(P543&gt;20000000,"B","A")</f>
        <v>A</v>
      </c>
      <c r="S543" s="90" t="s">
        <v>90</v>
      </c>
      <c r="T543" s="90">
        <v>2584610</v>
      </c>
      <c r="U543" s="90" t="s">
        <v>91</v>
      </c>
      <c r="V543" s="90" t="s">
        <v>425</v>
      </c>
      <c r="W543" s="90" t="s">
        <v>85</v>
      </c>
      <c r="X543" s="90" t="s">
        <v>87</v>
      </c>
      <c r="Y543" s="90" t="s">
        <v>85</v>
      </c>
      <c r="Z543" s="90" t="s">
        <v>85</v>
      </c>
      <c r="AA543" s="90" t="s">
        <v>85</v>
      </c>
      <c r="AB543" s="90" t="s">
        <v>85</v>
      </c>
      <c r="AC543" s="90" t="s">
        <v>85</v>
      </c>
      <c r="AD543" s="90">
        <v>0</v>
      </c>
      <c r="AE543" s="24">
        <v>0</v>
      </c>
      <c r="AF543" s="90">
        <v>0</v>
      </c>
      <c r="AG543" s="24">
        <v>0</v>
      </c>
      <c r="AH543" s="90">
        <v>90720</v>
      </c>
      <c r="AI543" s="24" t="s">
        <v>102</v>
      </c>
      <c r="AJ543" s="24" t="s">
        <v>1429</v>
      </c>
      <c r="AK543" s="90" t="s">
        <v>85</v>
      </c>
      <c r="AL543" s="90">
        <v>230722</v>
      </c>
      <c r="AM543" s="90" t="s">
        <v>81</v>
      </c>
      <c r="AN543" s="90" t="s">
        <v>1469</v>
      </c>
      <c r="AO543" s="125" t="s">
        <v>791</v>
      </c>
      <c r="AP543" s="24" t="s">
        <v>1472</v>
      </c>
      <c r="AQ543" s="90" t="s">
        <v>1471</v>
      </c>
      <c r="AR543" s="24" t="s">
        <v>1472</v>
      </c>
      <c r="AS543" s="90">
        <v>2584610</v>
      </c>
      <c r="AT543" s="24" t="s">
        <v>102</v>
      </c>
      <c r="AU543" s="90" t="s">
        <v>425</v>
      </c>
      <c r="AV543" s="90" t="str">
        <f>IF(ISNUMBER(SEARCH("disagree",AE543)),"N","Y")</f>
        <v>Y</v>
      </c>
      <c r="AW543" s="90" t="s">
        <v>119</v>
      </c>
      <c r="AX543" s="24" t="s">
        <v>119</v>
      </c>
      <c r="AY543" s="90" t="str">
        <f>CONCATENATE(AZ543,BA543,BB543,BC543)</f>
        <v/>
      </c>
      <c r="AZ543" s="90" t="str">
        <f>IF(ISNUMBER(SEARCH("Y",AC543)),"R","")</f>
        <v/>
      </c>
      <c r="BA543" s="90" t="str">
        <f>IF(ISNUMBER(SEARCH("Y",Y543)),"M","")</f>
        <v/>
      </c>
      <c r="BB543" s="90" t="str">
        <f>IF(ISNUMBER(SEARCH("Y",AB543)),"QC","")</f>
        <v/>
      </c>
      <c r="BC543" s="90" t="str">
        <f>IF(ISNUMBER(SEARCH("Y",Z543)),"S","")</f>
        <v/>
      </c>
      <c r="BD543" s="90"/>
      <c r="BE543" s="24" t="s">
        <v>119</v>
      </c>
      <c r="BF543" s="125" t="str">
        <f>IF(AND(AW543&gt;=56543,AW543&lt;=76543,LEN(AW543)&gt;0),"3 Feb 2020",IF(AND(AW543&gt;=66544,AW543&lt;=99999,LEN(AW543)&gt;0),"12 Sep 2020",""))</f>
        <v/>
      </c>
      <c r="BG543" s="125" t="str">
        <f>IF((AND(BF543="3 Feb 2020",LEN(BF543)&gt;0)),"Completed",IF((AND(BF543="12 Sep 2020",LEN(BF543)&gt;0)),"Pending",""))</f>
        <v/>
      </c>
      <c r="BH543" s="90" t="str">
        <f>IF((AND(BF543="3 Feb 2020",LEN(BF543)&gt;0)),"3 Feb 2020","")</f>
        <v/>
      </c>
      <c r="BI543" s="90">
        <v>230722</v>
      </c>
      <c r="BJ543" s="90" t="str">
        <f>L543</f>
        <v>3C91DS844332-69</v>
      </c>
      <c r="BK543" s="127">
        <v>43508</v>
      </c>
      <c r="BL543" s="127">
        <v>44239</v>
      </c>
      <c r="BM543" s="128">
        <f>P543*1.1</f>
        <v>2957234.5000000005</v>
      </c>
      <c r="BN543" s="129">
        <f>P543*0.9</f>
        <v>2419555.5</v>
      </c>
      <c r="BO543" s="130">
        <f>P543*0.8</f>
        <v>2150716</v>
      </c>
      <c r="BP543" s="90">
        <f>IF(Z543="Y",BM543*0.4,BM543*1.05)</f>
        <v>3105096.2250000006</v>
      </c>
      <c r="BQ543" s="90">
        <f>BP543*0.8</f>
        <v>2484076.9800000004</v>
      </c>
      <c r="BR543" s="90" t="str">
        <f>IF(ISNUMBER(SEARCH("subrecipient",AI539)),P543*0.6,"")</f>
        <v/>
      </c>
      <c r="BS543" s="90">
        <v>230722</v>
      </c>
      <c r="BT543" s="90" t="str">
        <f>BJ543</f>
        <v>3C91DS844332-69</v>
      </c>
      <c r="BU543" s="127">
        <f>BK543</f>
        <v>43508</v>
      </c>
      <c r="BV543" s="127">
        <f>BL543</f>
        <v>44239</v>
      </c>
      <c r="BW543" s="90" t="str">
        <f>H543</f>
        <v>CDC</v>
      </c>
      <c r="BX543" s="90" t="str">
        <f>IF(H543="NATIONAL HEMOPHILIA FOUNDATION","Non Federal","Federal")</f>
        <v>Federal</v>
      </c>
      <c r="BY543" s="128">
        <f>BM543</f>
        <v>2957234.5000000005</v>
      </c>
      <c r="BZ543" s="90" t="str">
        <f>IF(LEN(BR543)&gt;0,1,"")</f>
        <v/>
      </c>
      <c r="CA543" s="90" t="str">
        <f>IF(LEN(BR543)&gt;0,"VIRAL HEPATITIS PROJECT","")</f>
        <v/>
      </c>
      <c r="CB543" s="129" t="str">
        <f>IF(LEN(BR543)&gt;0,BM543*0.7,"")</f>
        <v/>
      </c>
      <c r="CC543" s="90">
        <f>BP543</f>
        <v>3105096.2250000006</v>
      </c>
      <c r="CD543" s="90" t="str">
        <f>IF(LEN(BR543)&gt;0,"70%","")</f>
        <v/>
      </c>
      <c r="CE543" s="90">
        <f>BS543</f>
        <v>230722</v>
      </c>
      <c r="CF543" s="90" t="str">
        <f>CA543</f>
        <v/>
      </c>
      <c r="CG543" s="90"/>
      <c r="CH543" s="90"/>
      <c r="CI543" s="90"/>
      <c r="CJ543" s="90"/>
      <c r="CK543" s="90"/>
      <c r="CL543" s="90"/>
      <c r="CM543" s="90"/>
      <c r="CN543" s="90"/>
      <c r="CO543" s="90"/>
      <c r="CP543" s="90"/>
      <c r="CQ543" s="90"/>
      <c r="CR543" s="90"/>
      <c r="CS543" s="90"/>
      <c r="CT543" s="137"/>
    </row>
    <row r="544" spans="1:98" ht="75">
      <c r="A544" s="89">
        <v>230722</v>
      </c>
      <c r="B544" s="90">
        <v>2020</v>
      </c>
      <c r="C544" s="90" t="s">
        <v>81</v>
      </c>
      <c r="D544" s="90" t="s">
        <v>1469</v>
      </c>
      <c r="E544" s="125" t="s">
        <v>793</v>
      </c>
      <c r="F544" s="24" t="s">
        <v>1470</v>
      </c>
      <c r="G544" s="90" t="s">
        <v>85</v>
      </c>
      <c r="H544" s="90" t="s">
        <v>86</v>
      </c>
      <c r="I544" s="90">
        <v>93</v>
      </c>
      <c r="J544" s="90">
        <v>157</v>
      </c>
      <c r="K544" s="90" t="s">
        <v>85</v>
      </c>
      <c r="L544" s="90" t="s">
        <v>1471</v>
      </c>
      <c r="M544" s="90" t="s">
        <v>85</v>
      </c>
      <c r="N544" s="24" t="s">
        <v>1472</v>
      </c>
      <c r="O544" s="24" t="str">
        <f>IF(ISNUMBER(SEARCH("Cancer",N544)),"Cancer",IF(ISNUMBER(SEARCH("health",N544)),"Public health",IF(ISNUMBER(SEARCH("disabilities",N544)),"Disabilities","Other")))</f>
        <v>Other</v>
      </c>
      <c r="P544" s="126">
        <v>2688395</v>
      </c>
      <c r="Q544" s="90" t="s">
        <v>85</v>
      </c>
      <c r="R544" s="90" t="str">
        <f>IF(P544&gt;20000000,"B","A")</f>
        <v>A</v>
      </c>
      <c r="S544" s="90" t="s">
        <v>90</v>
      </c>
      <c r="T544" s="90">
        <v>2584610</v>
      </c>
      <c r="U544" s="90" t="s">
        <v>91</v>
      </c>
      <c r="V544" s="90" t="s">
        <v>425</v>
      </c>
      <c r="W544" s="90" t="s">
        <v>85</v>
      </c>
      <c r="X544" s="90" t="s">
        <v>87</v>
      </c>
      <c r="Y544" s="90" t="s">
        <v>85</v>
      </c>
      <c r="Z544" s="90" t="s">
        <v>85</v>
      </c>
      <c r="AA544" s="90" t="s">
        <v>85</v>
      </c>
      <c r="AB544" s="90" t="s">
        <v>85</v>
      </c>
      <c r="AC544" s="90" t="s">
        <v>85</v>
      </c>
      <c r="AD544" s="90">
        <v>0</v>
      </c>
      <c r="AE544" s="24">
        <v>0</v>
      </c>
      <c r="AF544" s="90">
        <v>0</v>
      </c>
      <c r="AG544" s="24">
        <v>0</v>
      </c>
      <c r="AH544" s="90">
        <v>90722</v>
      </c>
      <c r="AI544" s="24" t="s">
        <v>363</v>
      </c>
      <c r="AJ544" s="24" t="s">
        <v>1476</v>
      </c>
      <c r="AK544" s="90" t="s">
        <v>85</v>
      </c>
      <c r="AL544" s="90">
        <v>230722</v>
      </c>
      <c r="AM544" s="90" t="s">
        <v>81</v>
      </c>
      <c r="AN544" s="90" t="s">
        <v>1469</v>
      </c>
      <c r="AO544" s="125" t="s">
        <v>793</v>
      </c>
      <c r="AP544" s="24" t="s">
        <v>1472</v>
      </c>
      <c r="AQ544" s="90" t="s">
        <v>1471</v>
      </c>
      <c r="AR544" s="24" t="s">
        <v>1472</v>
      </c>
      <c r="AS544" s="90">
        <v>2584610</v>
      </c>
      <c r="AT544" s="24" t="s">
        <v>363</v>
      </c>
      <c r="AU544" s="90" t="s">
        <v>425</v>
      </c>
      <c r="AV544" s="90" t="str">
        <f>IF(ISNUMBER(SEARCH("disagree",AE544)),"N","Y")</f>
        <v>Y</v>
      </c>
      <c r="AW544" s="90" t="s">
        <v>119</v>
      </c>
      <c r="AX544" s="24" t="s">
        <v>119</v>
      </c>
      <c r="AY544" s="90" t="str">
        <f>CONCATENATE(AZ544,BA544,BB544,BC544)</f>
        <v/>
      </c>
      <c r="AZ544" s="90" t="str">
        <f>IF(ISNUMBER(SEARCH("Y",AC544)),"R","")</f>
        <v/>
      </c>
      <c r="BA544" s="90" t="str">
        <f>IF(ISNUMBER(SEARCH("Y",Y544)),"M","")</f>
        <v/>
      </c>
      <c r="BB544" s="90" t="str">
        <f>IF(ISNUMBER(SEARCH("Y",AB544)),"QC","")</f>
        <v/>
      </c>
      <c r="BC544" s="90" t="str">
        <f>IF(ISNUMBER(SEARCH("Y",Z544)),"S","")</f>
        <v/>
      </c>
      <c r="BD544" s="90"/>
      <c r="BE544" s="24" t="s">
        <v>119</v>
      </c>
      <c r="BF544" s="125" t="str">
        <f>IF(AND(AW544&gt;=56543,AW544&lt;=76543,LEN(AW544)&gt;0),"3 Feb 2020",IF(AND(AW544&gt;=66544,AW544&lt;=99999,LEN(AW544)&gt;0),"12 Sep 2020",""))</f>
        <v/>
      </c>
      <c r="BG544" s="125" t="str">
        <f>IF((AND(BF544="3 Feb 2020",LEN(BF544)&gt;0)),"Completed",IF((AND(BF544="12 Sep 2020",LEN(BF544)&gt;0)),"Pending",""))</f>
        <v/>
      </c>
      <c r="BH544" s="90" t="str">
        <f>IF((AND(BF544="3 Feb 2020",LEN(BF544)&gt;0)),"3 Feb 2020","")</f>
        <v/>
      </c>
      <c r="BI544" s="90">
        <v>230722</v>
      </c>
      <c r="BJ544" s="90" t="str">
        <f>L544</f>
        <v>3C91DS844332-69</v>
      </c>
      <c r="BK544" s="127">
        <v>43508</v>
      </c>
      <c r="BL544" s="127">
        <v>44239</v>
      </c>
      <c r="BM544" s="128">
        <f>P544*1.1</f>
        <v>2957234.5000000005</v>
      </c>
      <c r="BN544" s="129">
        <f>P544*0.9</f>
        <v>2419555.5</v>
      </c>
      <c r="BO544" s="130">
        <f>P544*0.8</f>
        <v>2150716</v>
      </c>
      <c r="BP544" s="90">
        <f>IF(Z544="Y",BM544*0.4,BM544*1.05)</f>
        <v>3105096.2250000006</v>
      </c>
      <c r="BQ544" s="90">
        <f>BP544*0.8</f>
        <v>2484076.9800000004</v>
      </c>
      <c r="BR544" s="90" t="str">
        <f>IF(ISNUMBER(SEARCH("subrecipient",AI540)),P544*0.6,"")</f>
        <v/>
      </c>
      <c r="BS544" s="90">
        <v>230722</v>
      </c>
      <c r="BT544" s="90" t="str">
        <f>BJ544</f>
        <v>3C91DS844332-69</v>
      </c>
      <c r="BU544" s="127">
        <f>BK544</f>
        <v>43508</v>
      </c>
      <c r="BV544" s="127">
        <f>BL544</f>
        <v>44239</v>
      </c>
      <c r="BW544" s="90" t="str">
        <f>H544</f>
        <v>CDC</v>
      </c>
      <c r="BX544" s="90" t="str">
        <f>IF(H544="NATIONAL HEMOPHILIA FOUNDATION","Non Federal","Federal")</f>
        <v>Federal</v>
      </c>
      <c r="BY544" s="128">
        <f>BM544</f>
        <v>2957234.5000000005</v>
      </c>
      <c r="BZ544" s="90" t="str">
        <f>IF(LEN(BR544)&gt;0,1,"")</f>
        <v/>
      </c>
      <c r="CA544" s="90" t="str">
        <f>IF(LEN(BR544)&gt;0,"VIRAL HEPATITIS PROJECT","")</f>
        <v/>
      </c>
      <c r="CB544" s="129" t="str">
        <f>IF(LEN(BR544)&gt;0,BM544*0.7,"")</f>
        <v/>
      </c>
      <c r="CC544" s="90">
        <f>BP544</f>
        <v>3105096.2250000006</v>
      </c>
      <c r="CD544" s="90" t="str">
        <f>IF(LEN(BR544)&gt;0,"70%","")</f>
        <v/>
      </c>
      <c r="CE544" s="90">
        <f>BS544</f>
        <v>230722</v>
      </c>
      <c r="CF544" s="90" t="str">
        <f>CA544</f>
        <v/>
      </c>
      <c r="CG544" s="90"/>
      <c r="CH544" s="90"/>
      <c r="CI544" s="90"/>
      <c r="CJ544" s="90"/>
      <c r="CK544" s="90"/>
      <c r="CL544" s="90"/>
      <c r="CM544" s="90"/>
      <c r="CN544" s="90"/>
      <c r="CO544" s="90"/>
      <c r="CP544" s="90"/>
      <c r="CQ544" s="90"/>
      <c r="CR544" s="90"/>
      <c r="CS544" s="90"/>
      <c r="CT544" s="137"/>
    </row>
    <row r="545" spans="1:98" ht="75">
      <c r="A545" s="89">
        <v>230722</v>
      </c>
      <c r="B545" s="90">
        <v>2020</v>
      </c>
      <c r="C545" s="90" t="s">
        <v>81</v>
      </c>
      <c r="D545" s="90" t="s">
        <v>1469</v>
      </c>
      <c r="E545" s="125" t="s">
        <v>780</v>
      </c>
      <c r="F545" s="24" t="s">
        <v>1470</v>
      </c>
      <c r="G545" s="90" t="s">
        <v>85</v>
      </c>
      <c r="H545" s="90" t="s">
        <v>86</v>
      </c>
      <c r="I545" s="90">
        <v>93</v>
      </c>
      <c r="J545" s="90">
        <v>157</v>
      </c>
      <c r="K545" s="90" t="s">
        <v>85</v>
      </c>
      <c r="L545" s="90" t="s">
        <v>1471</v>
      </c>
      <c r="M545" s="90" t="s">
        <v>85</v>
      </c>
      <c r="N545" s="24" t="s">
        <v>1472</v>
      </c>
      <c r="O545" s="24" t="str">
        <f>IF(ISNUMBER(SEARCH("Cancer",N545)),"Cancer",IF(ISNUMBER(SEARCH("health",N545)),"Public health",IF(ISNUMBER(SEARCH("disabilities",N545)),"Disabilities","Other")))</f>
        <v>Other</v>
      </c>
      <c r="P545" s="126">
        <v>2688395</v>
      </c>
      <c r="Q545" s="90" t="s">
        <v>85</v>
      </c>
      <c r="R545" s="90" t="str">
        <f>IF(P545&gt;20000000,"B","A")</f>
        <v>A</v>
      </c>
      <c r="S545" s="90" t="s">
        <v>90</v>
      </c>
      <c r="T545" s="90">
        <v>2584610</v>
      </c>
      <c r="U545" s="90" t="s">
        <v>91</v>
      </c>
      <c r="V545" s="90" t="s">
        <v>425</v>
      </c>
      <c r="W545" s="90" t="s">
        <v>85</v>
      </c>
      <c r="X545" s="90" t="s">
        <v>87</v>
      </c>
      <c r="Y545" s="90" t="s">
        <v>85</v>
      </c>
      <c r="Z545" s="90" t="s">
        <v>85</v>
      </c>
      <c r="AA545" s="90" t="s">
        <v>85</v>
      </c>
      <c r="AB545" s="90" t="s">
        <v>85</v>
      </c>
      <c r="AC545" s="90" t="s">
        <v>85</v>
      </c>
      <c r="AD545" s="90">
        <v>0</v>
      </c>
      <c r="AE545" s="24">
        <v>0</v>
      </c>
      <c r="AF545" s="90">
        <v>0</v>
      </c>
      <c r="AG545" s="24">
        <v>0</v>
      </c>
      <c r="AH545" s="90">
        <v>90724</v>
      </c>
      <c r="AI545" s="24" t="s">
        <v>1431</v>
      </c>
      <c r="AJ545" s="24" t="s">
        <v>1477</v>
      </c>
      <c r="AK545" s="90" t="s">
        <v>85</v>
      </c>
      <c r="AL545" s="90">
        <v>230722</v>
      </c>
      <c r="AM545" s="90" t="s">
        <v>81</v>
      </c>
      <c r="AN545" s="90" t="s">
        <v>1469</v>
      </c>
      <c r="AO545" s="125" t="s">
        <v>780</v>
      </c>
      <c r="AP545" s="24" t="s">
        <v>1472</v>
      </c>
      <c r="AQ545" s="90" t="s">
        <v>1471</v>
      </c>
      <c r="AR545" s="24" t="s">
        <v>1472</v>
      </c>
      <c r="AS545" s="90">
        <v>2584610</v>
      </c>
      <c r="AT545" s="24" t="s">
        <v>1431</v>
      </c>
      <c r="AU545" s="90" t="s">
        <v>425</v>
      </c>
      <c r="AV545" s="90" t="str">
        <f>IF(ISNUMBER(SEARCH("disagree",AE545)),"N","Y")</f>
        <v>Y</v>
      </c>
      <c r="AW545" s="90" t="s">
        <v>119</v>
      </c>
      <c r="AX545" s="24" t="s">
        <v>119</v>
      </c>
      <c r="AY545" s="90" t="str">
        <f>CONCATENATE(AZ545,BA545,BB545,BC545)</f>
        <v/>
      </c>
      <c r="AZ545" s="90" t="str">
        <f>IF(ISNUMBER(SEARCH("Y",AC545)),"R","")</f>
        <v/>
      </c>
      <c r="BA545" s="90" t="str">
        <f>IF(ISNUMBER(SEARCH("Y",Y545)),"M","")</f>
        <v/>
      </c>
      <c r="BB545" s="90" t="str">
        <f>IF(ISNUMBER(SEARCH("Y",AB545)),"QC","")</f>
        <v/>
      </c>
      <c r="BC545" s="90" t="str">
        <f>IF(ISNUMBER(SEARCH("Y",Z545)),"S","")</f>
        <v/>
      </c>
      <c r="BD545" s="90"/>
      <c r="BE545" s="24" t="s">
        <v>119</v>
      </c>
      <c r="BF545" s="125" t="str">
        <f>IF(AND(AW545&gt;=56543,AW545&lt;=76543,LEN(AW545)&gt;0),"3 Feb 2020",IF(AND(AW545&gt;=66544,AW545&lt;=99999,LEN(AW545)&gt;0),"12 Sep 2020",""))</f>
        <v/>
      </c>
      <c r="BG545" s="125" t="str">
        <f>IF((AND(BF545="3 Feb 2020",LEN(BF545)&gt;0)),"Completed",IF((AND(BF545="12 Sep 2020",LEN(BF545)&gt;0)),"Pending",""))</f>
        <v/>
      </c>
      <c r="BH545" s="90" t="str">
        <f>IF((AND(BF545="3 Feb 2020",LEN(BF545)&gt;0)),"3 Feb 2020","")</f>
        <v/>
      </c>
      <c r="BI545" s="90">
        <v>230722</v>
      </c>
      <c r="BJ545" s="90" t="str">
        <f>L545</f>
        <v>3C91DS844332-69</v>
      </c>
      <c r="BK545" s="127">
        <v>43508</v>
      </c>
      <c r="BL545" s="127">
        <v>44239</v>
      </c>
      <c r="BM545" s="128">
        <f>P545*1.1</f>
        <v>2957234.5000000005</v>
      </c>
      <c r="BN545" s="129">
        <f>P545*0.9</f>
        <v>2419555.5</v>
      </c>
      <c r="BO545" s="130">
        <f>P545*0.8</f>
        <v>2150716</v>
      </c>
      <c r="BP545" s="90">
        <f>IF(Z545="Y",BM545*0.4,BM545*1.05)</f>
        <v>3105096.2250000006</v>
      </c>
      <c r="BQ545" s="90">
        <f>BP545*0.8</f>
        <v>2484076.9800000004</v>
      </c>
      <c r="BR545" s="90" t="str">
        <f>IF(ISNUMBER(SEARCH("subrecipient",AI541)),P545*0.6,"")</f>
        <v/>
      </c>
      <c r="BS545" s="90">
        <v>230722</v>
      </c>
      <c r="BT545" s="90" t="str">
        <f>BJ545</f>
        <v>3C91DS844332-69</v>
      </c>
      <c r="BU545" s="127">
        <f>BK545</f>
        <v>43508</v>
      </c>
      <c r="BV545" s="127">
        <f>BL545</f>
        <v>44239</v>
      </c>
      <c r="BW545" s="90" t="str">
        <f>H545</f>
        <v>CDC</v>
      </c>
      <c r="BX545" s="90" t="str">
        <f>IF(H545="NATIONAL HEMOPHILIA FOUNDATION","Non Federal","Federal")</f>
        <v>Federal</v>
      </c>
      <c r="BY545" s="128">
        <f>BM545</f>
        <v>2957234.5000000005</v>
      </c>
      <c r="BZ545" s="90" t="str">
        <f>IF(LEN(BR545)&gt;0,1,"")</f>
        <v/>
      </c>
      <c r="CA545" s="90" t="str">
        <f>IF(LEN(BR545)&gt;0,"VIRAL HEPATITIS PROJECT","")</f>
        <v/>
      </c>
      <c r="CB545" s="129" t="str">
        <f>IF(LEN(BR545)&gt;0,BM545*0.7,"")</f>
        <v/>
      </c>
      <c r="CC545" s="90">
        <f>BP545</f>
        <v>3105096.2250000006</v>
      </c>
      <c r="CD545" s="90" t="str">
        <f>IF(LEN(BR545)&gt;0,"70%","")</f>
        <v/>
      </c>
      <c r="CE545" s="90">
        <f>BS545</f>
        <v>230722</v>
      </c>
      <c r="CF545" s="90" t="str">
        <f>CA545</f>
        <v/>
      </c>
      <c r="CG545" s="90"/>
      <c r="CH545" s="90"/>
      <c r="CI545" s="90"/>
      <c r="CJ545" s="90"/>
      <c r="CK545" s="90"/>
      <c r="CL545" s="90"/>
      <c r="CM545" s="90"/>
      <c r="CN545" s="90"/>
      <c r="CO545" s="90"/>
      <c r="CP545" s="90"/>
      <c r="CQ545" s="90"/>
      <c r="CR545" s="90"/>
      <c r="CS545" s="90"/>
      <c r="CT545" s="137"/>
    </row>
    <row r="546" spans="1:98" ht="75">
      <c r="A546" s="89">
        <v>230722</v>
      </c>
      <c r="B546" s="90">
        <v>2020</v>
      </c>
      <c r="C546" s="90" t="s">
        <v>81</v>
      </c>
      <c r="D546" s="90" t="s">
        <v>1469</v>
      </c>
      <c r="E546" s="125" t="s">
        <v>781</v>
      </c>
      <c r="F546" s="24" t="s">
        <v>1470</v>
      </c>
      <c r="G546" s="90" t="s">
        <v>85</v>
      </c>
      <c r="H546" s="90" t="s">
        <v>86</v>
      </c>
      <c r="I546" s="90">
        <v>93</v>
      </c>
      <c r="J546" s="90">
        <v>157</v>
      </c>
      <c r="K546" s="90" t="s">
        <v>85</v>
      </c>
      <c r="L546" s="90" t="s">
        <v>1471</v>
      </c>
      <c r="M546" s="90" t="s">
        <v>85</v>
      </c>
      <c r="N546" s="24" t="s">
        <v>1472</v>
      </c>
      <c r="O546" s="24" t="str">
        <f>IF(ISNUMBER(SEARCH("Cancer",N546)),"Cancer",IF(ISNUMBER(SEARCH("health",N546)),"Public health",IF(ISNUMBER(SEARCH("disabilities",N546)),"Disabilities","Other")))</f>
        <v>Other</v>
      </c>
      <c r="P546" s="126">
        <v>2688395</v>
      </c>
      <c r="Q546" s="90" t="s">
        <v>85</v>
      </c>
      <c r="R546" s="90" t="str">
        <f>IF(P546&gt;20000000,"B","A")</f>
        <v>A</v>
      </c>
      <c r="S546" s="90" t="s">
        <v>90</v>
      </c>
      <c r="T546" s="90">
        <v>2584610</v>
      </c>
      <c r="U546" s="90" t="s">
        <v>91</v>
      </c>
      <c r="V546" s="90" t="s">
        <v>425</v>
      </c>
      <c r="W546" s="90" t="s">
        <v>85</v>
      </c>
      <c r="X546" s="90" t="s">
        <v>87</v>
      </c>
      <c r="Y546" s="90" t="s">
        <v>85</v>
      </c>
      <c r="Z546" s="90" t="s">
        <v>85</v>
      </c>
      <c r="AA546" s="90" t="s">
        <v>85</v>
      </c>
      <c r="AB546" s="90" t="s">
        <v>85</v>
      </c>
      <c r="AC546" s="90" t="s">
        <v>85</v>
      </c>
      <c r="AD546" s="90">
        <v>0</v>
      </c>
      <c r="AE546" s="24">
        <v>0</v>
      </c>
      <c r="AF546" s="90">
        <v>0</v>
      </c>
      <c r="AG546" s="24">
        <v>0</v>
      </c>
      <c r="AH546" s="90">
        <v>90723</v>
      </c>
      <c r="AI546" s="24" t="s">
        <v>1433</v>
      </c>
      <c r="AJ546" s="24" t="s">
        <v>1434</v>
      </c>
      <c r="AK546" s="90" t="s">
        <v>85</v>
      </c>
      <c r="AL546" s="90">
        <v>230722</v>
      </c>
      <c r="AM546" s="90" t="s">
        <v>81</v>
      </c>
      <c r="AN546" s="90" t="s">
        <v>1469</v>
      </c>
      <c r="AO546" s="125" t="s">
        <v>781</v>
      </c>
      <c r="AP546" s="24" t="s">
        <v>1472</v>
      </c>
      <c r="AQ546" s="90" t="s">
        <v>1471</v>
      </c>
      <c r="AR546" s="24" t="s">
        <v>1472</v>
      </c>
      <c r="AS546" s="90">
        <v>2584610</v>
      </c>
      <c r="AT546" s="24" t="s">
        <v>1433</v>
      </c>
      <c r="AU546" s="90" t="s">
        <v>425</v>
      </c>
      <c r="AV546" s="90" t="str">
        <f>IF(ISNUMBER(SEARCH("disagree",AE546)),"N","Y")</f>
        <v>Y</v>
      </c>
      <c r="AW546" s="90" t="s">
        <v>119</v>
      </c>
      <c r="AX546" s="24" t="s">
        <v>119</v>
      </c>
      <c r="AY546" s="90" t="str">
        <f>CONCATENATE(AZ546,BA546,BB546,BC546)</f>
        <v/>
      </c>
      <c r="AZ546" s="90" t="str">
        <f>IF(ISNUMBER(SEARCH("Y",AC546)),"R","")</f>
        <v/>
      </c>
      <c r="BA546" s="90" t="str">
        <f>IF(ISNUMBER(SEARCH("Y",Y546)),"M","")</f>
        <v/>
      </c>
      <c r="BB546" s="90" t="str">
        <f>IF(ISNUMBER(SEARCH("Y",AB546)),"QC","")</f>
        <v/>
      </c>
      <c r="BC546" s="90" t="str">
        <f>IF(ISNUMBER(SEARCH("Y",Z546)),"S","")</f>
        <v/>
      </c>
      <c r="BD546" s="90"/>
      <c r="BE546" s="24" t="s">
        <v>119</v>
      </c>
      <c r="BF546" s="125" t="str">
        <f>IF(AND(AW546&gt;=56543,AW546&lt;=76543,LEN(AW546)&gt;0),"3 Feb 2020",IF(AND(AW546&gt;=66544,AW546&lt;=99999,LEN(AW546)&gt;0),"12 Sep 2020",""))</f>
        <v/>
      </c>
      <c r="BG546" s="125" t="str">
        <f>IF((AND(BF546="3 Feb 2020",LEN(BF546)&gt;0)),"Completed",IF((AND(BF546="12 Sep 2020",LEN(BF546)&gt;0)),"Pending",""))</f>
        <v/>
      </c>
      <c r="BH546" s="90" t="str">
        <f>IF((AND(BF546="3 Feb 2020",LEN(BF546)&gt;0)),"3 Feb 2020","")</f>
        <v/>
      </c>
      <c r="BI546" s="90">
        <v>230722</v>
      </c>
      <c r="BJ546" s="90" t="str">
        <f>L546</f>
        <v>3C91DS844332-69</v>
      </c>
      <c r="BK546" s="127">
        <v>43508</v>
      </c>
      <c r="BL546" s="127">
        <v>44239</v>
      </c>
      <c r="BM546" s="128">
        <f>P546*1.1</f>
        <v>2957234.5000000005</v>
      </c>
      <c r="BN546" s="129">
        <f>P546*0.9</f>
        <v>2419555.5</v>
      </c>
      <c r="BO546" s="130">
        <f>P546*0.8</f>
        <v>2150716</v>
      </c>
      <c r="BP546" s="90">
        <f>IF(Z546="Y",BM546*0.4,BM546*1.05)</f>
        <v>3105096.2250000006</v>
      </c>
      <c r="BQ546" s="90">
        <f>BP546*0.8</f>
        <v>2484076.9800000004</v>
      </c>
      <c r="BR546" s="90" t="str">
        <f>IF(ISNUMBER(SEARCH("subrecipient",AI542)),P546*0.6,"")</f>
        <v/>
      </c>
      <c r="BS546" s="90">
        <v>230722</v>
      </c>
      <c r="BT546" s="90" t="str">
        <f>BJ546</f>
        <v>3C91DS844332-69</v>
      </c>
      <c r="BU546" s="127">
        <f>BK546</f>
        <v>43508</v>
      </c>
      <c r="BV546" s="127">
        <f>BL546</f>
        <v>44239</v>
      </c>
      <c r="BW546" s="90" t="str">
        <f>H546</f>
        <v>CDC</v>
      </c>
      <c r="BX546" s="90" t="str">
        <f>IF(H546="NATIONAL HEMOPHILIA FOUNDATION","Non Federal","Federal")</f>
        <v>Federal</v>
      </c>
      <c r="BY546" s="128">
        <f>BM546</f>
        <v>2957234.5000000005</v>
      </c>
      <c r="BZ546" s="90" t="str">
        <f>IF(LEN(BR546)&gt;0,1,"")</f>
        <v/>
      </c>
      <c r="CA546" s="90" t="str">
        <f>IF(LEN(BR546)&gt;0,"VIRAL HEPATITIS PROJECT","")</f>
        <v/>
      </c>
      <c r="CB546" s="129" t="str">
        <f>IF(LEN(BR546)&gt;0,BM546*0.7,"")</f>
        <v/>
      </c>
      <c r="CC546" s="90">
        <f>BP546</f>
        <v>3105096.2250000006</v>
      </c>
      <c r="CD546" s="90" t="str">
        <f>IF(LEN(BR546)&gt;0,"70%","")</f>
        <v/>
      </c>
      <c r="CE546" s="90">
        <f>BS546</f>
        <v>230722</v>
      </c>
      <c r="CF546" s="90" t="str">
        <f>CA546</f>
        <v/>
      </c>
      <c r="CG546" s="90"/>
      <c r="CH546" s="90"/>
      <c r="CI546" s="90"/>
      <c r="CJ546" s="90"/>
      <c r="CK546" s="90"/>
      <c r="CL546" s="90"/>
      <c r="CM546" s="90"/>
      <c r="CN546" s="90"/>
      <c r="CO546" s="90"/>
      <c r="CP546" s="90"/>
      <c r="CQ546" s="90"/>
      <c r="CR546" s="90"/>
      <c r="CS546" s="90"/>
      <c r="CT546" s="137"/>
    </row>
    <row r="547" spans="1:98" ht="105">
      <c r="A547" s="89">
        <v>230765</v>
      </c>
      <c r="B547" s="90">
        <v>2020</v>
      </c>
      <c r="C547" s="90" t="s">
        <v>81</v>
      </c>
      <c r="D547" s="90" t="s">
        <v>1478</v>
      </c>
      <c r="E547" s="125" t="s">
        <v>784</v>
      </c>
      <c r="F547" s="24" t="s">
        <v>1479</v>
      </c>
      <c r="G547" s="90" t="s">
        <v>85</v>
      </c>
      <c r="H547" s="90" t="s">
        <v>117</v>
      </c>
      <c r="I547" s="90">
        <v>93</v>
      </c>
      <c r="J547" s="90">
        <v>157</v>
      </c>
      <c r="K547" s="90" t="s">
        <v>85</v>
      </c>
      <c r="L547" s="90" t="s">
        <v>1480</v>
      </c>
      <c r="M547" s="90" t="s">
        <v>119</v>
      </c>
      <c r="N547" s="24" t="s">
        <v>202</v>
      </c>
      <c r="O547" s="24" t="str">
        <f>IF(ISNUMBER(SEARCH("Cancer",N547)),"Cancer",IF(ISNUMBER(SEARCH("health",N547)),"Public health",IF(ISNUMBER(SEARCH("disabilities",N547)),"Disabilities","Other")))</f>
        <v>Public health</v>
      </c>
      <c r="P547" s="126">
        <v>2388462</v>
      </c>
      <c r="Q547" s="90" t="s">
        <v>85</v>
      </c>
      <c r="R547" s="90" t="str">
        <f>IF(P547&gt;20000000,"B","A")</f>
        <v>A</v>
      </c>
      <c r="S547" s="90" t="s">
        <v>90</v>
      </c>
      <c r="T547" s="90" t="s">
        <v>119</v>
      </c>
      <c r="U547" s="90" t="s">
        <v>119</v>
      </c>
      <c r="V547" s="90" t="s">
        <v>119</v>
      </c>
      <c r="W547" s="90" t="s">
        <v>119</v>
      </c>
      <c r="X547" s="90" t="s">
        <v>119</v>
      </c>
      <c r="Y547" s="90" t="s">
        <v>119</v>
      </c>
      <c r="Z547" s="90" t="s">
        <v>119</v>
      </c>
      <c r="AA547" s="90" t="s">
        <v>119</v>
      </c>
      <c r="AB547" s="90" t="s">
        <v>119</v>
      </c>
      <c r="AC547" s="90" t="s">
        <v>119</v>
      </c>
      <c r="AD547" s="90" t="s">
        <v>119</v>
      </c>
      <c r="AE547" s="24">
        <v>0</v>
      </c>
      <c r="AF547" s="90">
        <v>0</v>
      </c>
      <c r="AG547" s="24">
        <v>0</v>
      </c>
      <c r="AH547" s="90">
        <v>90362</v>
      </c>
      <c r="AI547" s="24" t="s">
        <v>94</v>
      </c>
      <c r="AJ547" s="24" t="s">
        <v>1481</v>
      </c>
      <c r="AK547" s="90" t="s">
        <v>85</v>
      </c>
      <c r="AL547" s="90">
        <v>230765</v>
      </c>
      <c r="AM547" s="90" t="s">
        <v>81</v>
      </c>
      <c r="AN547" s="90" t="s">
        <v>1478</v>
      </c>
      <c r="AO547" s="125" t="s">
        <v>784</v>
      </c>
      <c r="AP547" s="24" t="s">
        <v>202</v>
      </c>
      <c r="AQ547" s="90" t="s">
        <v>1480</v>
      </c>
      <c r="AR547" s="24" t="s">
        <v>202</v>
      </c>
      <c r="AS547" s="90" t="s">
        <v>119</v>
      </c>
      <c r="AT547" s="24" t="s">
        <v>94</v>
      </c>
      <c r="AU547" s="90" t="s">
        <v>119</v>
      </c>
      <c r="AV547" s="90" t="s">
        <v>85</v>
      </c>
      <c r="AW547" s="90" t="s">
        <v>119</v>
      </c>
      <c r="AX547" s="24" t="s">
        <v>119</v>
      </c>
      <c r="AY547" s="90" t="str">
        <f>CONCATENATE(AZ547,BA547,BB547,BC547)</f>
        <v/>
      </c>
      <c r="AZ547" s="90" t="str">
        <f>IF(ISNUMBER(SEARCH("Y",AC547)),"R","")</f>
        <v/>
      </c>
      <c r="BA547" s="90" t="str">
        <f>IF(ISNUMBER(SEARCH("Y",Y547)),"M","")</f>
        <v/>
      </c>
      <c r="BB547" s="90" t="str">
        <f>IF(ISNUMBER(SEARCH("Y",AB547)),"QC","")</f>
        <v/>
      </c>
      <c r="BC547" s="90" t="str">
        <f>IF(ISNUMBER(SEARCH("Y",Z547)),"S","")</f>
        <v/>
      </c>
      <c r="BD547" s="90"/>
      <c r="BE547" s="24" t="s">
        <v>119</v>
      </c>
      <c r="BF547" s="125" t="str">
        <f>IF(AND(AW547&gt;=56543,AW547&lt;=76543,LEN(AW547)&gt;0),"3 Feb 2020",IF(AND(AW547&gt;=66544,AW547&lt;=99999,LEN(AW547)&gt;0),"12 Sep 2020",""))</f>
        <v/>
      </c>
      <c r="BG547" s="125" t="str">
        <f>IF((AND(BF547="3 Feb 2020",LEN(BF547)&gt;0)),"Completed",IF((AND(BF547="12 Sep 2020",LEN(BF547)&gt;0)),"Pending",""))</f>
        <v/>
      </c>
      <c r="BH547" s="90" t="str">
        <f>IF((AND(BF547="3 Feb 2020",LEN(BF547)&gt;0)),"3 Feb 2020","")</f>
        <v/>
      </c>
      <c r="BI547" s="90">
        <v>230765</v>
      </c>
      <c r="BJ547" s="90" t="str">
        <f>L547</f>
        <v>4C67CS845705-41</v>
      </c>
      <c r="BK547" s="127">
        <v>43508</v>
      </c>
      <c r="BL547" s="127">
        <v>44239</v>
      </c>
      <c r="BM547" s="128">
        <f>P547*1.1</f>
        <v>2627308.2000000002</v>
      </c>
      <c r="BN547" s="129">
        <f>P547*0.9</f>
        <v>2149615.8000000003</v>
      </c>
      <c r="BO547" s="130">
        <f>P547*0.8</f>
        <v>1910769.6</v>
      </c>
      <c r="BP547" s="90">
        <f>IF(Z547="Y",BM547*0.4,BM547*1.05)</f>
        <v>2758673.6100000003</v>
      </c>
      <c r="BQ547" s="90">
        <f>BP547*0.8</f>
        <v>2206938.8880000003</v>
      </c>
      <c r="BR547" s="90" t="str">
        <f>IF(ISNUMBER(SEARCH("subrecipient",AI543)),P547*0.6,"")</f>
        <v/>
      </c>
      <c r="BS547" s="90">
        <v>230765</v>
      </c>
      <c r="BT547" s="90" t="str">
        <f>BJ547</f>
        <v>4C67CS845705-41</v>
      </c>
      <c r="BU547" s="127">
        <f>BK547</f>
        <v>43508</v>
      </c>
      <c r="BV547" s="127">
        <f>BL547</f>
        <v>44239</v>
      </c>
      <c r="BW547" s="90" t="str">
        <f>H547</f>
        <v>NIH</v>
      </c>
      <c r="BX547" s="90" t="str">
        <f>IF(H547="NATIONAL HEMOPHILIA FOUNDATION","Non Federal","Federal")</f>
        <v>Federal</v>
      </c>
      <c r="BY547" s="128">
        <f>BM547</f>
        <v>2627308.2000000002</v>
      </c>
      <c r="BZ547" s="90" t="str">
        <f>IF(LEN(BR547)&gt;0,1,"")</f>
        <v/>
      </c>
      <c r="CA547" s="90" t="str">
        <f>IF(LEN(BR547)&gt;0,"VIRAL HEPATITIS PROJECT","")</f>
        <v/>
      </c>
      <c r="CB547" s="129" t="str">
        <f>IF(LEN(BR547)&gt;0,BM547*0.7,"")</f>
        <v/>
      </c>
      <c r="CC547" s="90">
        <f>BP547</f>
        <v>2758673.6100000003</v>
      </c>
      <c r="CD547" s="90" t="str">
        <f>IF(LEN(BR547)&gt;0,"70%","")</f>
        <v/>
      </c>
      <c r="CE547" s="90">
        <f>BS547</f>
        <v>230765</v>
      </c>
      <c r="CF547" s="90" t="str">
        <f>CA547</f>
        <v/>
      </c>
      <c r="CG547" s="90"/>
      <c r="CH547" s="90"/>
      <c r="CI547" s="90"/>
      <c r="CJ547" s="90"/>
      <c r="CK547" s="90"/>
      <c r="CL547" s="90"/>
      <c r="CM547" s="90"/>
      <c r="CN547" s="90"/>
      <c r="CO547" s="90"/>
      <c r="CP547" s="90"/>
      <c r="CQ547" s="90"/>
      <c r="CR547" s="90"/>
      <c r="CS547" s="90"/>
      <c r="CT547" s="137"/>
    </row>
    <row r="548" spans="1:98" ht="45">
      <c r="A548" s="89">
        <v>230765</v>
      </c>
      <c r="B548" s="90">
        <v>2020</v>
      </c>
      <c r="C548" s="90" t="s">
        <v>81</v>
      </c>
      <c r="D548" s="90" t="s">
        <v>1478</v>
      </c>
      <c r="E548" s="125" t="s">
        <v>790</v>
      </c>
      <c r="F548" s="24" t="s">
        <v>1479</v>
      </c>
      <c r="G548" s="90" t="s">
        <v>85</v>
      </c>
      <c r="H548" s="90" t="s">
        <v>117</v>
      </c>
      <c r="I548" s="90">
        <v>93</v>
      </c>
      <c r="J548" s="90">
        <v>157</v>
      </c>
      <c r="K548" s="90" t="s">
        <v>85</v>
      </c>
      <c r="L548" s="90" t="s">
        <v>1480</v>
      </c>
      <c r="M548" s="90" t="s">
        <v>119</v>
      </c>
      <c r="N548" s="24" t="s">
        <v>202</v>
      </c>
      <c r="O548" s="24" t="str">
        <f>IF(ISNUMBER(SEARCH("Cancer",N548)),"Cancer",IF(ISNUMBER(SEARCH("health",N548)),"Public health",IF(ISNUMBER(SEARCH("disabilities",N548)),"Disabilities","Other")))</f>
        <v>Public health</v>
      </c>
      <c r="P548" s="126">
        <v>2388462</v>
      </c>
      <c r="Q548" s="90" t="s">
        <v>85</v>
      </c>
      <c r="R548" s="90" t="str">
        <f>IF(P548&gt;20000000,"B","A")</f>
        <v>A</v>
      </c>
      <c r="S548" s="90" t="s">
        <v>90</v>
      </c>
      <c r="T548" s="90" t="s">
        <v>119</v>
      </c>
      <c r="U548" s="90" t="s">
        <v>119</v>
      </c>
      <c r="V548" s="90" t="s">
        <v>119</v>
      </c>
      <c r="W548" s="90" t="s">
        <v>119</v>
      </c>
      <c r="X548" s="90" t="s">
        <v>119</v>
      </c>
      <c r="Y548" s="90" t="s">
        <v>119</v>
      </c>
      <c r="Z548" s="90" t="s">
        <v>119</v>
      </c>
      <c r="AA548" s="90" t="s">
        <v>119</v>
      </c>
      <c r="AB548" s="90" t="s">
        <v>119</v>
      </c>
      <c r="AC548" s="90" t="s">
        <v>119</v>
      </c>
      <c r="AD548" s="90" t="s">
        <v>119</v>
      </c>
      <c r="AE548" s="24">
        <v>0</v>
      </c>
      <c r="AF548" s="90">
        <v>0</v>
      </c>
      <c r="AG548" s="24">
        <v>0</v>
      </c>
      <c r="AH548" s="90">
        <v>90361</v>
      </c>
      <c r="AI548" s="24" t="s">
        <v>102</v>
      </c>
      <c r="AJ548" s="24" t="s">
        <v>103</v>
      </c>
      <c r="AK548" s="90" t="s">
        <v>85</v>
      </c>
      <c r="AL548" s="90">
        <v>230765</v>
      </c>
      <c r="AM548" s="90" t="s">
        <v>81</v>
      </c>
      <c r="AN548" s="90" t="s">
        <v>1478</v>
      </c>
      <c r="AO548" s="125" t="s">
        <v>790</v>
      </c>
      <c r="AP548" s="24" t="s">
        <v>202</v>
      </c>
      <c r="AQ548" s="90" t="s">
        <v>1480</v>
      </c>
      <c r="AR548" s="24" t="s">
        <v>202</v>
      </c>
      <c r="AS548" s="90" t="s">
        <v>119</v>
      </c>
      <c r="AT548" s="24" t="s">
        <v>102</v>
      </c>
      <c r="AU548" s="90" t="s">
        <v>119</v>
      </c>
      <c r="AV548" s="90" t="s">
        <v>85</v>
      </c>
      <c r="AW548" s="90" t="s">
        <v>119</v>
      </c>
      <c r="AX548" s="24" t="s">
        <v>119</v>
      </c>
      <c r="AY548" s="90" t="str">
        <f>CONCATENATE(AZ548,BA548,BB548,BC548)</f>
        <v/>
      </c>
      <c r="AZ548" s="90" t="str">
        <f>IF(ISNUMBER(SEARCH("Y",AC548)),"R","")</f>
        <v/>
      </c>
      <c r="BA548" s="90" t="str">
        <f>IF(ISNUMBER(SEARCH("Y",Y548)),"M","")</f>
        <v/>
      </c>
      <c r="BB548" s="90" t="str">
        <f>IF(ISNUMBER(SEARCH("Y",AB548)),"QC","")</f>
        <v/>
      </c>
      <c r="BC548" s="90" t="str">
        <f>IF(ISNUMBER(SEARCH("Y",Z548)),"S","")</f>
        <v/>
      </c>
      <c r="BD548" s="90"/>
      <c r="BE548" s="24" t="s">
        <v>119</v>
      </c>
      <c r="BF548" s="125" t="str">
        <f>IF(AND(AW548&gt;=56543,AW548&lt;=76543,LEN(AW548)&gt;0),"3 Feb 2020",IF(AND(AW548&gt;=66544,AW548&lt;=99999,LEN(AW548)&gt;0),"12 Sep 2020",""))</f>
        <v/>
      </c>
      <c r="BG548" s="125" t="str">
        <f>IF((AND(BF548="3 Feb 2020",LEN(BF548)&gt;0)),"Completed",IF((AND(BF548="12 Sep 2020",LEN(BF548)&gt;0)),"Pending",""))</f>
        <v/>
      </c>
      <c r="BH548" s="90" t="str">
        <f>IF((AND(BF548="3 Feb 2020",LEN(BF548)&gt;0)),"3 Feb 2020","")</f>
        <v/>
      </c>
      <c r="BI548" s="90">
        <v>230765</v>
      </c>
      <c r="BJ548" s="90" t="str">
        <f>L548</f>
        <v>4C67CS845705-41</v>
      </c>
      <c r="BK548" s="127">
        <v>43508</v>
      </c>
      <c r="BL548" s="127">
        <v>44239</v>
      </c>
      <c r="BM548" s="128">
        <f>P548*1.1</f>
        <v>2627308.2000000002</v>
      </c>
      <c r="BN548" s="129">
        <f>P548*0.9</f>
        <v>2149615.8000000003</v>
      </c>
      <c r="BO548" s="130">
        <f>P548*0.8</f>
        <v>1910769.6</v>
      </c>
      <c r="BP548" s="90">
        <f>IF(Z548="Y",BM548*0.4,BM548*1.05)</f>
        <v>2758673.6100000003</v>
      </c>
      <c r="BQ548" s="90">
        <f>BP548*0.8</f>
        <v>2206938.8880000003</v>
      </c>
      <c r="BR548" s="90" t="str">
        <f>IF(ISNUMBER(SEARCH("subrecipient",AI544)),P548*0.6,"")</f>
        <v/>
      </c>
      <c r="BS548" s="90">
        <v>230765</v>
      </c>
      <c r="BT548" s="90" t="str">
        <f>BJ548</f>
        <v>4C67CS845705-41</v>
      </c>
      <c r="BU548" s="127">
        <f>BK548</f>
        <v>43508</v>
      </c>
      <c r="BV548" s="127">
        <f>BL548</f>
        <v>44239</v>
      </c>
      <c r="BW548" s="90" t="str">
        <f>H548</f>
        <v>NIH</v>
      </c>
      <c r="BX548" s="90" t="str">
        <f>IF(H548="NATIONAL HEMOPHILIA FOUNDATION","Non Federal","Federal")</f>
        <v>Federal</v>
      </c>
      <c r="BY548" s="128">
        <f>BM548</f>
        <v>2627308.2000000002</v>
      </c>
      <c r="BZ548" s="90" t="str">
        <f>IF(LEN(BR548)&gt;0,1,"")</f>
        <v/>
      </c>
      <c r="CA548" s="90" t="str">
        <f>IF(LEN(BR548)&gt;0,"VIRAL HEPATITIS PROJECT","")</f>
        <v/>
      </c>
      <c r="CB548" s="129" t="str">
        <f>IF(LEN(BR548)&gt;0,BM548*0.7,"")</f>
        <v/>
      </c>
      <c r="CC548" s="90">
        <f>BP548</f>
        <v>2758673.6100000003</v>
      </c>
      <c r="CD548" s="90" t="str">
        <f>IF(LEN(BR548)&gt;0,"70%","")</f>
        <v/>
      </c>
      <c r="CE548" s="90">
        <f>BS548</f>
        <v>230765</v>
      </c>
      <c r="CF548" s="90" t="str">
        <f>CA548</f>
        <v/>
      </c>
      <c r="CG548" s="90"/>
      <c r="CH548" s="90"/>
      <c r="CI548" s="90"/>
      <c r="CJ548" s="90"/>
      <c r="CK548" s="90"/>
      <c r="CL548" s="90"/>
      <c r="CM548" s="90"/>
      <c r="CN548" s="90"/>
      <c r="CO548" s="90"/>
      <c r="CP548" s="90"/>
      <c r="CQ548" s="90"/>
      <c r="CR548" s="90"/>
      <c r="CS548" s="90"/>
      <c r="CT548" s="137"/>
    </row>
    <row r="549" spans="1:98" ht="45">
      <c r="A549" s="89">
        <v>230765</v>
      </c>
      <c r="B549" s="90">
        <v>2020</v>
      </c>
      <c r="C549" s="90" t="s">
        <v>81</v>
      </c>
      <c r="D549" s="90" t="s">
        <v>1478</v>
      </c>
      <c r="E549" s="125" t="s">
        <v>791</v>
      </c>
      <c r="F549" s="24" t="s">
        <v>1479</v>
      </c>
      <c r="G549" s="90" t="s">
        <v>85</v>
      </c>
      <c r="H549" s="90" t="s">
        <v>117</v>
      </c>
      <c r="I549" s="90">
        <v>93</v>
      </c>
      <c r="J549" s="90">
        <v>157</v>
      </c>
      <c r="K549" s="90" t="s">
        <v>85</v>
      </c>
      <c r="L549" s="90" t="s">
        <v>1480</v>
      </c>
      <c r="M549" s="90" t="s">
        <v>119</v>
      </c>
      <c r="N549" s="24" t="s">
        <v>202</v>
      </c>
      <c r="O549" s="24" t="str">
        <f>IF(ISNUMBER(SEARCH("Cancer",N549)),"Cancer",IF(ISNUMBER(SEARCH("health",N549)),"Public health",IF(ISNUMBER(SEARCH("disabilities",N549)),"Disabilities","Other")))</f>
        <v>Public health</v>
      </c>
      <c r="P549" s="126">
        <v>2388462</v>
      </c>
      <c r="Q549" s="90" t="s">
        <v>85</v>
      </c>
      <c r="R549" s="90" t="str">
        <f>IF(P549&gt;20000000,"B","A")</f>
        <v>A</v>
      </c>
      <c r="S549" s="90" t="s">
        <v>90</v>
      </c>
      <c r="T549" s="90" t="s">
        <v>119</v>
      </c>
      <c r="U549" s="90" t="s">
        <v>119</v>
      </c>
      <c r="V549" s="90" t="s">
        <v>119</v>
      </c>
      <c r="W549" s="90" t="s">
        <v>119</v>
      </c>
      <c r="X549" s="90" t="s">
        <v>119</v>
      </c>
      <c r="Y549" s="90" t="s">
        <v>119</v>
      </c>
      <c r="Z549" s="90" t="s">
        <v>119</v>
      </c>
      <c r="AA549" s="90" t="s">
        <v>119</v>
      </c>
      <c r="AB549" s="90" t="s">
        <v>119</v>
      </c>
      <c r="AC549" s="90" t="s">
        <v>119</v>
      </c>
      <c r="AD549" s="90" t="s">
        <v>119</v>
      </c>
      <c r="AE549" s="24">
        <v>0</v>
      </c>
      <c r="AF549" s="90">
        <v>0</v>
      </c>
      <c r="AG549" s="24">
        <v>0</v>
      </c>
      <c r="AH549" s="90">
        <v>90363</v>
      </c>
      <c r="AI549" s="24" t="s">
        <v>110</v>
      </c>
      <c r="AJ549" s="24" t="s">
        <v>1482</v>
      </c>
      <c r="AK549" s="90" t="s">
        <v>85</v>
      </c>
      <c r="AL549" s="90">
        <v>230765</v>
      </c>
      <c r="AM549" s="90" t="s">
        <v>81</v>
      </c>
      <c r="AN549" s="90" t="s">
        <v>1478</v>
      </c>
      <c r="AO549" s="125" t="s">
        <v>791</v>
      </c>
      <c r="AP549" s="24" t="s">
        <v>202</v>
      </c>
      <c r="AQ549" s="90" t="s">
        <v>1480</v>
      </c>
      <c r="AR549" s="24" t="s">
        <v>202</v>
      </c>
      <c r="AS549" s="90" t="s">
        <v>119</v>
      </c>
      <c r="AT549" s="24" t="s">
        <v>110</v>
      </c>
      <c r="AU549" s="90" t="s">
        <v>119</v>
      </c>
      <c r="AV549" s="90" t="s">
        <v>85</v>
      </c>
      <c r="AW549" s="90" t="s">
        <v>119</v>
      </c>
      <c r="AX549" s="24" t="s">
        <v>119</v>
      </c>
      <c r="AY549" s="90" t="str">
        <f>CONCATENATE(AZ549,BA549,BB549,BC549)</f>
        <v/>
      </c>
      <c r="AZ549" s="90" t="str">
        <f>IF(ISNUMBER(SEARCH("Y",AC549)),"R","")</f>
        <v/>
      </c>
      <c r="BA549" s="90" t="str">
        <f>IF(ISNUMBER(SEARCH("Y",Y549)),"M","")</f>
        <v/>
      </c>
      <c r="BB549" s="90" t="str">
        <f>IF(ISNUMBER(SEARCH("Y",AB549)),"QC","")</f>
        <v/>
      </c>
      <c r="BC549" s="90" t="str">
        <f>IF(ISNUMBER(SEARCH("Y",Z549)),"S","")</f>
        <v/>
      </c>
      <c r="BD549" s="90"/>
      <c r="BE549" s="24" t="s">
        <v>119</v>
      </c>
      <c r="BF549" s="125" t="str">
        <f>IF(AND(AW549&gt;=56543,AW549&lt;=76543,LEN(AW549)&gt;0),"3 Feb 2020",IF(AND(AW549&gt;=66544,AW549&lt;=99999,LEN(AW549)&gt;0),"12 Sep 2020",""))</f>
        <v/>
      </c>
      <c r="BG549" s="125" t="str">
        <f>IF((AND(BF549="3 Feb 2020",LEN(BF549)&gt;0)),"Completed",IF((AND(BF549="12 Sep 2020",LEN(BF549)&gt;0)),"Pending",""))</f>
        <v/>
      </c>
      <c r="BH549" s="90" t="str">
        <f>IF((AND(BF549="3 Feb 2020",LEN(BF549)&gt;0)),"3 Feb 2020","")</f>
        <v/>
      </c>
      <c r="BI549" s="90">
        <v>230765</v>
      </c>
      <c r="BJ549" s="90" t="str">
        <f>L549</f>
        <v>4C67CS845705-41</v>
      </c>
      <c r="BK549" s="127">
        <v>43508</v>
      </c>
      <c r="BL549" s="127">
        <v>44239</v>
      </c>
      <c r="BM549" s="128">
        <f>P549*1.1</f>
        <v>2627308.2000000002</v>
      </c>
      <c r="BN549" s="129">
        <f>P549*0.9</f>
        <v>2149615.8000000003</v>
      </c>
      <c r="BO549" s="130">
        <f>P549*0.8</f>
        <v>1910769.6</v>
      </c>
      <c r="BP549" s="90">
        <f>IF(Z549="Y",BM549*0.4,BM549*1.05)</f>
        <v>2758673.6100000003</v>
      </c>
      <c r="BQ549" s="90">
        <f>BP549*0.8</f>
        <v>2206938.8880000003</v>
      </c>
      <c r="BR549" s="90" t="str">
        <f>IF(ISNUMBER(SEARCH("subrecipient",AI545)),P549*0.6,"")</f>
        <v/>
      </c>
      <c r="BS549" s="90">
        <v>230765</v>
      </c>
      <c r="BT549" s="90" t="str">
        <f>BJ549</f>
        <v>4C67CS845705-41</v>
      </c>
      <c r="BU549" s="127">
        <f>BK549</f>
        <v>43508</v>
      </c>
      <c r="BV549" s="127">
        <f>BL549</f>
        <v>44239</v>
      </c>
      <c r="BW549" s="90" t="str">
        <f>H549</f>
        <v>NIH</v>
      </c>
      <c r="BX549" s="90" t="str">
        <f>IF(H549="NATIONAL HEMOPHILIA FOUNDATION","Non Federal","Federal")</f>
        <v>Federal</v>
      </c>
      <c r="BY549" s="128">
        <f>BM549</f>
        <v>2627308.2000000002</v>
      </c>
      <c r="BZ549" s="90" t="str">
        <f>IF(LEN(BR549)&gt;0,1,"")</f>
        <v/>
      </c>
      <c r="CA549" s="90" t="str">
        <f>IF(LEN(BR549)&gt;0,"VIRAL HEPATITIS PROJECT","")</f>
        <v/>
      </c>
      <c r="CB549" s="129" t="str">
        <f>IF(LEN(BR549)&gt;0,BM549*0.7,"")</f>
        <v/>
      </c>
      <c r="CC549" s="90">
        <f>BP549</f>
        <v>2758673.6100000003</v>
      </c>
      <c r="CD549" s="90" t="str">
        <f>IF(LEN(BR549)&gt;0,"70%","")</f>
        <v/>
      </c>
      <c r="CE549" s="90">
        <f>BS549</f>
        <v>230765</v>
      </c>
      <c r="CF549" s="90" t="str">
        <f>CA549</f>
        <v/>
      </c>
      <c r="CG549" s="90"/>
      <c r="CH549" s="90"/>
      <c r="CI549" s="90"/>
      <c r="CJ549" s="90"/>
      <c r="CK549" s="90"/>
      <c r="CL549" s="90"/>
      <c r="CM549" s="90"/>
      <c r="CN549" s="90"/>
      <c r="CO549" s="90"/>
      <c r="CP549" s="90"/>
      <c r="CQ549" s="90"/>
      <c r="CR549" s="90"/>
      <c r="CS549" s="90"/>
      <c r="CT549" s="137"/>
    </row>
    <row r="550" spans="1:98" ht="45">
      <c r="A550" s="89">
        <v>230765</v>
      </c>
      <c r="B550" s="90">
        <v>2020</v>
      </c>
      <c r="C550" s="90" t="s">
        <v>81</v>
      </c>
      <c r="D550" s="90" t="s">
        <v>1478</v>
      </c>
      <c r="E550" s="125" t="s">
        <v>793</v>
      </c>
      <c r="F550" s="24" t="s">
        <v>1479</v>
      </c>
      <c r="G550" s="90" t="s">
        <v>85</v>
      </c>
      <c r="H550" s="90" t="s">
        <v>117</v>
      </c>
      <c r="I550" s="90">
        <v>93</v>
      </c>
      <c r="J550" s="90">
        <v>157</v>
      </c>
      <c r="K550" s="90" t="s">
        <v>85</v>
      </c>
      <c r="L550" s="90" t="s">
        <v>1480</v>
      </c>
      <c r="M550" s="90" t="s">
        <v>119</v>
      </c>
      <c r="N550" s="24" t="s">
        <v>202</v>
      </c>
      <c r="O550" s="24" t="str">
        <f>IF(ISNUMBER(SEARCH("Cancer",N550)),"Cancer",IF(ISNUMBER(SEARCH("health",N550)),"Public health",IF(ISNUMBER(SEARCH("disabilities",N550)),"Disabilities","Other")))</f>
        <v>Public health</v>
      </c>
      <c r="P550" s="126">
        <v>2388462</v>
      </c>
      <c r="Q550" s="90" t="s">
        <v>85</v>
      </c>
      <c r="R550" s="90" t="str">
        <f>IF(P550&gt;20000000,"B","A")</f>
        <v>A</v>
      </c>
      <c r="S550" s="90" t="s">
        <v>90</v>
      </c>
      <c r="T550" s="90" t="s">
        <v>119</v>
      </c>
      <c r="U550" s="90" t="s">
        <v>119</v>
      </c>
      <c r="V550" s="90" t="s">
        <v>119</v>
      </c>
      <c r="W550" s="90" t="s">
        <v>119</v>
      </c>
      <c r="X550" s="90" t="s">
        <v>119</v>
      </c>
      <c r="Y550" s="90" t="s">
        <v>119</v>
      </c>
      <c r="Z550" s="90" t="s">
        <v>119</v>
      </c>
      <c r="AA550" s="90" t="s">
        <v>119</v>
      </c>
      <c r="AB550" s="90" t="s">
        <v>119</v>
      </c>
      <c r="AC550" s="90" t="s">
        <v>119</v>
      </c>
      <c r="AD550" s="90" t="s">
        <v>119</v>
      </c>
      <c r="AE550" s="24">
        <v>0</v>
      </c>
      <c r="AF550" s="90">
        <v>0</v>
      </c>
      <c r="AG550" s="24">
        <v>0</v>
      </c>
      <c r="AH550" s="90">
        <v>90364</v>
      </c>
      <c r="AI550" s="24" t="s">
        <v>139</v>
      </c>
      <c r="AJ550" s="24" t="s">
        <v>1483</v>
      </c>
      <c r="AK550" s="90" t="s">
        <v>85</v>
      </c>
      <c r="AL550" s="90">
        <v>230765</v>
      </c>
      <c r="AM550" s="90" t="s">
        <v>81</v>
      </c>
      <c r="AN550" s="90" t="s">
        <v>1478</v>
      </c>
      <c r="AO550" s="125" t="s">
        <v>793</v>
      </c>
      <c r="AP550" s="24" t="s">
        <v>202</v>
      </c>
      <c r="AQ550" s="90" t="s">
        <v>1480</v>
      </c>
      <c r="AR550" s="24" t="s">
        <v>202</v>
      </c>
      <c r="AS550" s="90" t="s">
        <v>119</v>
      </c>
      <c r="AT550" s="24" t="s">
        <v>139</v>
      </c>
      <c r="AU550" s="90" t="s">
        <v>119</v>
      </c>
      <c r="AV550" s="90" t="s">
        <v>85</v>
      </c>
      <c r="AW550" s="90" t="s">
        <v>119</v>
      </c>
      <c r="AX550" s="24" t="s">
        <v>119</v>
      </c>
      <c r="AY550" s="90" t="str">
        <f>CONCATENATE(AZ550,BA550,BB550,BC550)</f>
        <v/>
      </c>
      <c r="AZ550" s="90" t="str">
        <f>IF(ISNUMBER(SEARCH("Y",AC550)),"R","")</f>
        <v/>
      </c>
      <c r="BA550" s="90" t="str">
        <f>IF(ISNUMBER(SEARCH("Y",Y550)),"M","")</f>
        <v/>
      </c>
      <c r="BB550" s="90" t="str">
        <f>IF(ISNUMBER(SEARCH("Y",AB550)),"QC","")</f>
        <v/>
      </c>
      <c r="BC550" s="90" t="str">
        <f>IF(ISNUMBER(SEARCH("Y",Z550)),"S","")</f>
        <v/>
      </c>
      <c r="BD550" s="90"/>
      <c r="BE550" s="24" t="s">
        <v>119</v>
      </c>
      <c r="BF550" s="125" t="str">
        <f>IF(AND(AW550&gt;=56543,AW550&lt;=76543,LEN(AW550)&gt;0),"3 Feb 2020",IF(AND(AW550&gt;=66544,AW550&lt;=99999,LEN(AW550)&gt;0),"12 Sep 2020",""))</f>
        <v/>
      </c>
      <c r="BG550" s="125" t="str">
        <f>IF((AND(BF550="3 Feb 2020",LEN(BF550)&gt;0)),"Completed",IF((AND(BF550="12 Sep 2020",LEN(BF550)&gt;0)),"Pending",""))</f>
        <v/>
      </c>
      <c r="BH550" s="90" t="str">
        <f>IF((AND(BF550="3 Feb 2020",LEN(BF550)&gt;0)),"3 Feb 2020","")</f>
        <v/>
      </c>
      <c r="BI550" s="90">
        <v>230765</v>
      </c>
      <c r="BJ550" s="90" t="str">
        <f>L550</f>
        <v>4C67CS845705-41</v>
      </c>
      <c r="BK550" s="127">
        <v>43508</v>
      </c>
      <c r="BL550" s="127">
        <v>44239</v>
      </c>
      <c r="BM550" s="128">
        <f>P550*1.1</f>
        <v>2627308.2000000002</v>
      </c>
      <c r="BN550" s="129">
        <f>P550*0.9</f>
        <v>2149615.8000000003</v>
      </c>
      <c r="BO550" s="130">
        <f>P550*0.8</f>
        <v>1910769.6</v>
      </c>
      <c r="BP550" s="90">
        <f>IF(Z550="Y",BM550*0.4,BM550*1.05)</f>
        <v>2758673.6100000003</v>
      </c>
      <c r="BQ550" s="90">
        <f>BP550*0.8</f>
        <v>2206938.8880000003</v>
      </c>
      <c r="BR550" s="90">
        <f>IF(ISNUMBER(SEARCH("subrecipient",AI550)),P550*0.6,"")</f>
        <v>1433077.2</v>
      </c>
      <c r="BS550" s="90">
        <v>230765</v>
      </c>
      <c r="BT550" s="90" t="str">
        <f>BJ550</f>
        <v>4C67CS845705-41</v>
      </c>
      <c r="BU550" s="127">
        <f>BK550</f>
        <v>43508</v>
      </c>
      <c r="BV550" s="127">
        <f>BL550</f>
        <v>44239</v>
      </c>
      <c r="BW550" s="90" t="str">
        <f>H550</f>
        <v>NIH</v>
      </c>
      <c r="BX550" s="90" t="str">
        <f>IF(H550="NATIONAL HEMOPHILIA FOUNDATION","Non Federal","Federal")</f>
        <v>Federal</v>
      </c>
      <c r="BY550" s="128">
        <f>BM550</f>
        <v>2627308.2000000002</v>
      </c>
      <c r="BZ550" s="90">
        <f>IF(LEN(BR550)&gt;0,1,"")</f>
        <v>1</v>
      </c>
      <c r="CA550" s="90" t="str">
        <f>IF(LEN(BR550)&gt;0,"VIRAL HEPATITIS PROJECT","")</f>
        <v>VIRAL HEPATITIS PROJECT</v>
      </c>
      <c r="CB550" s="129">
        <f>IF(LEN(BR550)&gt;0,BM550*0.7,"")</f>
        <v>1839115.74</v>
      </c>
      <c r="CC550" s="90">
        <f>BP550</f>
        <v>2758673.6100000003</v>
      </c>
      <c r="CD550" s="90" t="str">
        <f>IF(LEN(BR550)&gt;0,"70%","")</f>
        <v>70%</v>
      </c>
      <c r="CE550" s="90">
        <f>BS550</f>
        <v>230765</v>
      </c>
      <c r="CF550" s="90" t="str">
        <f>CA550</f>
        <v>VIRAL HEPATITIS PROJECT</v>
      </c>
      <c r="CG550" s="90"/>
      <c r="CH550" s="90"/>
      <c r="CI550" s="90"/>
      <c r="CJ550" s="90"/>
      <c r="CK550" s="90"/>
      <c r="CL550" s="90"/>
      <c r="CM550" s="90"/>
      <c r="CN550" s="90"/>
      <c r="CO550" s="90"/>
      <c r="CP550" s="90"/>
      <c r="CQ550" s="90"/>
      <c r="CR550" s="90"/>
      <c r="CS550" s="90"/>
      <c r="CT550" s="137"/>
    </row>
    <row r="551" spans="1:98" ht="90">
      <c r="A551" s="89">
        <v>231267</v>
      </c>
      <c r="B551" s="90">
        <v>2020</v>
      </c>
      <c r="C551" s="90" t="s">
        <v>81</v>
      </c>
      <c r="D551" s="90" t="s">
        <v>1484</v>
      </c>
      <c r="E551" s="125" t="s">
        <v>780</v>
      </c>
      <c r="F551" s="24" t="s">
        <v>1485</v>
      </c>
      <c r="G551" s="90" t="s">
        <v>85</v>
      </c>
      <c r="H551" s="90" t="s">
        <v>132</v>
      </c>
      <c r="I551" s="90">
        <v>93</v>
      </c>
      <c r="J551" s="90">
        <v>157</v>
      </c>
      <c r="K551" s="90" t="s">
        <v>85</v>
      </c>
      <c r="L551" s="90" t="s">
        <v>1486</v>
      </c>
      <c r="M551" s="90" t="s">
        <v>119</v>
      </c>
      <c r="N551" s="24" t="s">
        <v>1487</v>
      </c>
      <c r="O551" s="24" t="str">
        <f>IF(ISNUMBER(SEARCH("Cancer",N551)),"Cancer",IF(ISNUMBER(SEARCH("health",N551)),"Public health",IF(ISNUMBER(SEARCH("disabilities",N551)),"Disabilities","Other")))</f>
        <v>Other</v>
      </c>
      <c r="P551" s="126">
        <v>2653900</v>
      </c>
      <c r="Q551" s="90" t="s">
        <v>85</v>
      </c>
      <c r="R551" s="90" t="str">
        <f>IF(P551&gt;20000000,"B","A")</f>
        <v>A</v>
      </c>
      <c r="S551" s="90" t="s">
        <v>90</v>
      </c>
      <c r="T551" s="90" t="s">
        <v>119</v>
      </c>
      <c r="U551" s="90" t="s">
        <v>119</v>
      </c>
      <c r="V551" s="90" t="s">
        <v>119</v>
      </c>
      <c r="W551" s="90" t="s">
        <v>119</v>
      </c>
      <c r="X551" s="90" t="s">
        <v>119</v>
      </c>
      <c r="Y551" s="90" t="s">
        <v>119</v>
      </c>
      <c r="Z551" s="90" t="s">
        <v>119</v>
      </c>
      <c r="AA551" s="90" t="s">
        <v>119</v>
      </c>
      <c r="AB551" s="90" t="s">
        <v>119</v>
      </c>
      <c r="AC551" s="90" t="s">
        <v>119</v>
      </c>
      <c r="AD551" s="90" t="s">
        <v>119</v>
      </c>
      <c r="AE551" s="24">
        <v>0</v>
      </c>
      <c r="AF551" s="90">
        <v>0</v>
      </c>
      <c r="AG551" s="24">
        <v>0</v>
      </c>
      <c r="AH551" s="90">
        <v>87165</v>
      </c>
      <c r="AI551" s="24" t="s">
        <v>94</v>
      </c>
      <c r="AJ551" s="24" t="s">
        <v>1488</v>
      </c>
      <c r="AK551" s="90" t="s">
        <v>85</v>
      </c>
      <c r="AL551" s="90">
        <v>231267</v>
      </c>
      <c r="AM551" s="90" t="s">
        <v>81</v>
      </c>
      <c r="AN551" s="90" t="s">
        <v>1484</v>
      </c>
      <c r="AO551" s="125" t="s">
        <v>780</v>
      </c>
      <c r="AP551" s="24" t="s">
        <v>1487</v>
      </c>
      <c r="AQ551" s="90" t="s">
        <v>1486</v>
      </c>
      <c r="AR551" s="24" t="s">
        <v>1487</v>
      </c>
      <c r="AS551" s="90" t="s">
        <v>119</v>
      </c>
      <c r="AT551" s="24" t="s">
        <v>94</v>
      </c>
      <c r="AU551" s="90" t="s">
        <v>119</v>
      </c>
      <c r="AV551" s="90" t="str">
        <f>IF(ISNUMBER(SEARCH("disagree",AE551)),"N","Y")</f>
        <v>Y</v>
      </c>
      <c r="AW551" s="90" t="s">
        <v>119</v>
      </c>
      <c r="AX551" s="24" t="s">
        <v>119</v>
      </c>
      <c r="AY551" s="90" t="str">
        <f>CONCATENATE(AZ551,BA551,BB551,BC551)</f>
        <v/>
      </c>
      <c r="AZ551" s="90" t="str">
        <f>IF(ISNUMBER(SEARCH("Y",AC551)),"R","")</f>
        <v/>
      </c>
      <c r="BA551" s="90" t="str">
        <f>IF(ISNUMBER(SEARCH("Y",Y551)),"M","")</f>
        <v/>
      </c>
      <c r="BB551" s="90" t="str">
        <f>IF(ISNUMBER(SEARCH("Y",AB551)),"QC","")</f>
        <v/>
      </c>
      <c r="BC551" s="90" t="str">
        <f>IF(ISNUMBER(SEARCH("Y",Z551)),"S","")</f>
        <v/>
      </c>
      <c r="BD551" s="90"/>
      <c r="BE551" s="24" t="s">
        <v>119</v>
      </c>
      <c r="BF551" s="125" t="str">
        <f>IF(AND(AW551&gt;=56543,AW551&lt;=76543,LEN(AW551)&gt;0),"3 Feb 2020",IF(AND(AW551&gt;=66544,AW551&lt;=99999,LEN(AW551)&gt;0),"12 Sep 2020",""))</f>
        <v/>
      </c>
      <c r="BG551" s="125" t="str">
        <f>IF((AND(BF551="3 Feb 2020",LEN(BF551)&gt;0)),"Completed",IF((AND(BF551="12 Sep 2020",LEN(BF551)&gt;0)),"Pending",""))</f>
        <v/>
      </c>
      <c r="BH551" s="90" t="str">
        <f>IF((AND(BF551="3 Feb 2020",LEN(BF551)&gt;0)),"3 Feb 2020","")</f>
        <v/>
      </c>
      <c r="BI551" s="90">
        <v>231267</v>
      </c>
      <c r="BJ551" s="90" t="str">
        <f>L551</f>
        <v>7B16CR845705-39</v>
      </c>
      <c r="BK551" s="127">
        <v>43508</v>
      </c>
      <c r="BL551" s="127">
        <v>44239</v>
      </c>
      <c r="BM551" s="128">
        <f>P551*1.1</f>
        <v>2919290.0000000005</v>
      </c>
      <c r="BN551" s="129">
        <f>P551*0.9</f>
        <v>2388510</v>
      </c>
      <c r="BO551" s="130">
        <f>P551*0.8</f>
        <v>2123120</v>
      </c>
      <c r="BP551" s="90">
        <f>IF(Z551="Y",BM551*0.4,BM551*1.05)</f>
        <v>3065254.5000000005</v>
      </c>
      <c r="BQ551" s="90">
        <f>BP551*0.8</f>
        <v>2452203.6000000006</v>
      </c>
      <c r="BR551" s="90" t="str">
        <f>IF(ISNUMBER(SEARCH("subrecipient",AI547)),P551*0.6,"")</f>
        <v/>
      </c>
      <c r="BS551" s="90">
        <v>231267</v>
      </c>
      <c r="BT551" s="90" t="str">
        <f>BJ551</f>
        <v>7B16CR845705-39</v>
      </c>
      <c r="BU551" s="127">
        <f>BK551</f>
        <v>43508</v>
      </c>
      <c r="BV551" s="127">
        <f>BL551</f>
        <v>44239</v>
      </c>
      <c r="BW551" s="90" t="str">
        <f>H551</f>
        <v>FDA</v>
      </c>
      <c r="BX551" s="90" t="str">
        <f>IF(H551="NATIONAL HEMOPHILIA FOUNDATION","Non Federal","Federal")</f>
        <v>Federal</v>
      </c>
      <c r="BY551" s="128">
        <f>BM551</f>
        <v>2919290.0000000005</v>
      </c>
      <c r="BZ551" s="90" t="str">
        <f>IF(LEN(BR551)&gt;0,1,"")</f>
        <v/>
      </c>
      <c r="CA551" s="90" t="str">
        <f>IF(LEN(BR551)&gt;0,"VIRAL HEPATITIS PROJECT","")</f>
        <v/>
      </c>
      <c r="CB551" s="129" t="str">
        <f>IF(LEN(BR551)&gt;0,BM551*0.7,"")</f>
        <v/>
      </c>
      <c r="CC551" s="90">
        <f>BP551</f>
        <v>3065254.5000000005</v>
      </c>
      <c r="CD551" s="90" t="str">
        <f>IF(LEN(BR551)&gt;0,"70%","")</f>
        <v/>
      </c>
      <c r="CE551" s="90">
        <f>BS551</f>
        <v>231267</v>
      </c>
      <c r="CF551" s="90" t="str">
        <f>CA551</f>
        <v/>
      </c>
      <c r="CG551" s="90"/>
      <c r="CH551" s="90"/>
      <c r="CI551" s="90"/>
      <c r="CJ551" s="90"/>
      <c r="CK551" s="90"/>
      <c r="CL551" s="90"/>
      <c r="CM551" s="90"/>
      <c r="CN551" s="90"/>
      <c r="CO551" s="90"/>
      <c r="CP551" s="90"/>
      <c r="CQ551" s="90"/>
      <c r="CR551" s="90"/>
      <c r="CS551" s="90"/>
      <c r="CT551" s="137"/>
    </row>
    <row r="552" spans="1:98" ht="45">
      <c r="A552" s="89">
        <v>231267</v>
      </c>
      <c r="B552" s="90">
        <v>2020</v>
      </c>
      <c r="C552" s="90" t="s">
        <v>81</v>
      </c>
      <c r="D552" s="90" t="s">
        <v>1484</v>
      </c>
      <c r="E552" s="125" t="s">
        <v>781</v>
      </c>
      <c r="F552" s="24" t="s">
        <v>1485</v>
      </c>
      <c r="G552" s="90" t="s">
        <v>85</v>
      </c>
      <c r="H552" s="90" t="s">
        <v>132</v>
      </c>
      <c r="I552" s="90">
        <v>93</v>
      </c>
      <c r="J552" s="90">
        <v>157</v>
      </c>
      <c r="K552" s="90" t="s">
        <v>85</v>
      </c>
      <c r="L552" s="90" t="s">
        <v>1486</v>
      </c>
      <c r="M552" s="90" t="s">
        <v>119</v>
      </c>
      <c r="N552" s="24" t="s">
        <v>1487</v>
      </c>
      <c r="O552" s="24" t="str">
        <f>IF(ISNUMBER(SEARCH("Cancer",N552)),"Cancer",IF(ISNUMBER(SEARCH("health",N552)),"Public health",IF(ISNUMBER(SEARCH("disabilities",N552)),"Disabilities","Other")))</f>
        <v>Other</v>
      </c>
      <c r="P552" s="126">
        <v>2653900</v>
      </c>
      <c r="Q552" s="90" t="s">
        <v>85</v>
      </c>
      <c r="R552" s="90" t="str">
        <f>IF(P552&gt;20000000,"B","A")</f>
        <v>A</v>
      </c>
      <c r="S552" s="90" t="s">
        <v>90</v>
      </c>
      <c r="T552" s="90" t="s">
        <v>119</v>
      </c>
      <c r="U552" s="90" t="s">
        <v>119</v>
      </c>
      <c r="V552" s="90" t="s">
        <v>119</v>
      </c>
      <c r="W552" s="90" t="s">
        <v>119</v>
      </c>
      <c r="X552" s="90" t="s">
        <v>119</v>
      </c>
      <c r="Y552" s="90" t="s">
        <v>119</v>
      </c>
      <c r="Z552" s="90" t="s">
        <v>119</v>
      </c>
      <c r="AA552" s="90" t="s">
        <v>119</v>
      </c>
      <c r="AB552" s="90" t="s">
        <v>119</v>
      </c>
      <c r="AC552" s="90" t="s">
        <v>119</v>
      </c>
      <c r="AD552" s="90" t="s">
        <v>119</v>
      </c>
      <c r="AE552" s="24">
        <v>0</v>
      </c>
      <c r="AF552" s="90">
        <v>0</v>
      </c>
      <c r="AG552" s="24">
        <v>0</v>
      </c>
      <c r="AH552" s="90">
        <v>87164</v>
      </c>
      <c r="AI552" s="24" t="s">
        <v>102</v>
      </c>
      <c r="AJ552" s="24" t="s">
        <v>103</v>
      </c>
      <c r="AK552" s="90" t="s">
        <v>85</v>
      </c>
      <c r="AL552" s="90">
        <v>231267</v>
      </c>
      <c r="AM552" s="90" t="s">
        <v>81</v>
      </c>
      <c r="AN552" s="90" t="s">
        <v>1484</v>
      </c>
      <c r="AO552" s="125" t="s">
        <v>781</v>
      </c>
      <c r="AP552" s="24" t="s">
        <v>1487</v>
      </c>
      <c r="AQ552" s="90" t="s">
        <v>1486</v>
      </c>
      <c r="AR552" s="24" t="s">
        <v>1487</v>
      </c>
      <c r="AS552" s="90" t="s">
        <v>119</v>
      </c>
      <c r="AT552" s="24" t="s">
        <v>102</v>
      </c>
      <c r="AU552" s="90" t="s">
        <v>119</v>
      </c>
      <c r="AV552" s="90" t="str">
        <f>IF(ISNUMBER(SEARCH("disagree",AE552)),"N","Y")</f>
        <v>Y</v>
      </c>
      <c r="AW552" s="90" t="s">
        <v>119</v>
      </c>
      <c r="AX552" s="24" t="s">
        <v>119</v>
      </c>
      <c r="AY552" s="90" t="str">
        <f>CONCATENATE(AZ552,BA552,BB552,BC552)</f>
        <v/>
      </c>
      <c r="AZ552" s="90" t="str">
        <f>IF(ISNUMBER(SEARCH("Y",AC552)),"R","")</f>
        <v/>
      </c>
      <c r="BA552" s="90" t="str">
        <f>IF(ISNUMBER(SEARCH("Y",Y552)),"M","")</f>
        <v/>
      </c>
      <c r="BB552" s="90" t="str">
        <f>IF(ISNUMBER(SEARCH("Y",AB552)),"QC","")</f>
        <v/>
      </c>
      <c r="BC552" s="90" t="str">
        <f>IF(ISNUMBER(SEARCH("Y",Z552)),"S","")</f>
        <v/>
      </c>
      <c r="BD552" s="90"/>
      <c r="BE552" s="24" t="s">
        <v>119</v>
      </c>
      <c r="BF552" s="125" t="str">
        <f>IF(AND(AW552&gt;=56543,AW552&lt;=76543,LEN(AW552)&gt;0),"3 Feb 2020",IF(AND(AW552&gt;=66544,AW552&lt;=99999,LEN(AW552)&gt;0),"12 Sep 2020",""))</f>
        <v/>
      </c>
      <c r="BG552" s="125" t="str">
        <f>IF((AND(BF552="3 Feb 2020",LEN(BF552)&gt;0)),"Completed",IF((AND(BF552="12 Sep 2020",LEN(BF552)&gt;0)),"Pending",""))</f>
        <v/>
      </c>
      <c r="BH552" s="90" t="str">
        <f>IF((AND(BF552="3 Feb 2020",LEN(BF552)&gt;0)),"3 Feb 2020","")</f>
        <v/>
      </c>
      <c r="BI552" s="90">
        <v>231267</v>
      </c>
      <c r="BJ552" s="90" t="str">
        <f>L552</f>
        <v>7B16CR845705-39</v>
      </c>
      <c r="BK552" s="127">
        <v>43508</v>
      </c>
      <c r="BL552" s="127">
        <v>44239</v>
      </c>
      <c r="BM552" s="128">
        <f>P552*1.1</f>
        <v>2919290.0000000005</v>
      </c>
      <c r="BN552" s="129">
        <f>P552*0.9</f>
        <v>2388510</v>
      </c>
      <c r="BO552" s="130">
        <f>P552*0.8</f>
        <v>2123120</v>
      </c>
      <c r="BP552" s="90">
        <f>IF(Z552="Y",BM552*0.4,BM552*1.05)</f>
        <v>3065254.5000000005</v>
      </c>
      <c r="BQ552" s="90">
        <f>BP552*0.8</f>
        <v>2452203.6000000006</v>
      </c>
      <c r="BR552" s="90" t="str">
        <f>IF(ISNUMBER(SEARCH("subrecipient",AI548)),P552*0.6,"")</f>
        <v/>
      </c>
      <c r="BS552" s="90">
        <v>231267</v>
      </c>
      <c r="BT552" s="90" t="str">
        <f>BJ552</f>
        <v>7B16CR845705-39</v>
      </c>
      <c r="BU552" s="127">
        <f>BK552</f>
        <v>43508</v>
      </c>
      <c r="BV552" s="127">
        <f>BL552</f>
        <v>44239</v>
      </c>
      <c r="BW552" s="90" t="str">
        <f>H552</f>
        <v>FDA</v>
      </c>
      <c r="BX552" s="90" t="str">
        <f>IF(H552="NATIONAL HEMOPHILIA FOUNDATION","Non Federal","Federal")</f>
        <v>Federal</v>
      </c>
      <c r="BY552" s="128">
        <f>BM552</f>
        <v>2919290.0000000005</v>
      </c>
      <c r="BZ552" s="90" t="str">
        <f>IF(LEN(BR552)&gt;0,1,"")</f>
        <v/>
      </c>
      <c r="CA552" s="90" t="str">
        <f>IF(LEN(BR552)&gt;0,"VIRAL HEPATITIS PROJECT","")</f>
        <v/>
      </c>
      <c r="CB552" s="129" t="str">
        <f>IF(LEN(BR552)&gt;0,BM552*0.7,"")</f>
        <v/>
      </c>
      <c r="CC552" s="90">
        <f>BP552</f>
        <v>3065254.5000000005</v>
      </c>
      <c r="CD552" s="90" t="str">
        <f>IF(LEN(BR552)&gt;0,"70%","")</f>
        <v/>
      </c>
      <c r="CE552" s="90">
        <f>BS552</f>
        <v>231267</v>
      </c>
      <c r="CF552" s="90" t="str">
        <f>CA552</f>
        <v/>
      </c>
      <c r="CG552" s="90"/>
      <c r="CH552" s="90"/>
      <c r="CI552" s="90"/>
      <c r="CJ552" s="90"/>
      <c r="CK552" s="90"/>
      <c r="CL552" s="90"/>
      <c r="CM552" s="90"/>
      <c r="CN552" s="90"/>
      <c r="CO552" s="90"/>
      <c r="CP552" s="90"/>
      <c r="CQ552" s="90"/>
      <c r="CR552" s="90"/>
      <c r="CS552" s="90"/>
      <c r="CT552" s="137"/>
    </row>
    <row r="553" spans="1:98" ht="165">
      <c r="A553" s="89">
        <v>233878</v>
      </c>
      <c r="B553" s="90">
        <v>2020</v>
      </c>
      <c r="C553" s="90" t="s">
        <v>81</v>
      </c>
      <c r="D553" s="90" t="s">
        <v>1489</v>
      </c>
      <c r="E553" s="125" t="s">
        <v>784</v>
      </c>
      <c r="F553" s="24" t="s">
        <v>1490</v>
      </c>
      <c r="G553" s="90" t="s">
        <v>85</v>
      </c>
      <c r="H553" s="90" t="s">
        <v>150</v>
      </c>
      <c r="I553" s="90">
        <v>93</v>
      </c>
      <c r="J553" s="90">
        <v>157</v>
      </c>
      <c r="K553" s="90" t="s">
        <v>85</v>
      </c>
      <c r="L553" s="90" t="s">
        <v>1491</v>
      </c>
      <c r="M553" s="90" t="s">
        <v>119</v>
      </c>
      <c r="N553" s="24" t="s">
        <v>1492</v>
      </c>
      <c r="O553" s="24" t="str">
        <f>IF(ISNUMBER(SEARCH("Cancer",N553)),"Cancer",IF(ISNUMBER(SEARCH("health",N553)),"Public health",IF(ISNUMBER(SEARCH("disabilities",N553)),"Disabilities","Other")))</f>
        <v>Other</v>
      </c>
      <c r="P553" s="126">
        <v>2726599</v>
      </c>
      <c r="Q553" s="90" t="s">
        <v>85</v>
      </c>
      <c r="R553" s="90" t="str">
        <f>IF(P553&gt;20000000,"B","A")</f>
        <v>A</v>
      </c>
      <c r="S553" s="90" t="s">
        <v>90</v>
      </c>
      <c r="T553" s="90" t="s">
        <v>119</v>
      </c>
      <c r="U553" s="90" t="s">
        <v>119</v>
      </c>
      <c r="V553" s="90" t="s">
        <v>119</v>
      </c>
      <c r="W553" s="90" t="s">
        <v>119</v>
      </c>
      <c r="X553" s="90" t="s">
        <v>119</v>
      </c>
      <c r="Y553" s="90" t="s">
        <v>119</v>
      </c>
      <c r="Z553" s="90" t="s">
        <v>119</v>
      </c>
      <c r="AA553" s="90" t="s">
        <v>119</v>
      </c>
      <c r="AB553" s="90" t="s">
        <v>119</v>
      </c>
      <c r="AC553" s="90" t="s">
        <v>119</v>
      </c>
      <c r="AD553" s="90" t="s">
        <v>119</v>
      </c>
      <c r="AE553" s="24">
        <v>0</v>
      </c>
      <c r="AF553" s="90">
        <v>0</v>
      </c>
      <c r="AG553" s="24">
        <v>0</v>
      </c>
      <c r="AH553" s="90">
        <v>86673</v>
      </c>
      <c r="AI553" s="24" t="s">
        <v>94</v>
      </c>
      <c r="AJ553" s="24" t="s">
        <v>1493</v>
      </c>
      <c r="AK553" s="90" t="s">
        <v>85</v>
      </c>
      <c r="AL553" s="90">
        <v>233878</v>
      </c>
      <c r="AM553" s="90" t="s">
        <v>81</v>
      </c>
      <c r="AN553" s="90" t="s">
        <v>1489</v>
      </c>
      <c r="AO553" s="125" t="s">
        <v>784</v>
      </c>
      <c r="AP553" s="24" t="s">
        <v>1492</v>
      </c>
      <c r="AQ553" s="90" t="s">
        <v>1491</v>
      </c>
      <c r="AR553" s="24" t="s">
        <v>1492</v>
      </c>
      <c r="AS553" s="90" t="s">
        <v>119</v>
      </c>
      <c r="AT553" s="24" t="s">
        <v>94</v>
      </c>
      <c r="AU553" s="90" t="s">
        <v>119</v>
      </c>
      <c r="AV553" s="90" t="str">
        <f>IF(ISNUMBER(SEARCH("disagree",AE553)),"N","Y")</f>
        <v>Y</v>
      </c>
      <c r="AW553" s="90" t="s">
        <v>119</v>
      </c>
      <c r="AX553" s="24" t="s">
        <v>119</v>
      </c>
      <c r="AY553" s="90" t="str">
        <f>CONCATENATE(AZ553,BA553,BB553,BC553)</f>
        <v/>
      </c>
      <c r="AZ553" s="90" t="str">
        <f>IF(ISNUMBER(SEARCH("Y",AC553)),"R","")</f>
        <v/>
      </c>
      <c r="BA553" s="90" t="str">
        <f>IF(ISNUMBER(SEARCH("Y",Y553)),"M","")</f>
        <v/>
      </c>
      <c r="BB553" s="90" t="str">
        <f>IF(ISNUMBER(SEARCH("Y",AB553)),"QC","")</f>
        <v/>
      </c>
      <c r="BC553" s="90" t="str">
        <f>IF(ISNUMBER(SEARCH("Y",Z553)),"S","")</f>
        <v/>
      </c>
      <c r="BD553" s="90"/>
      <c r="BE553" s="24" t="s">
        <v>119</v>
      </c>
      <c r="BF553" s="125" t="str">
        <f>IF(AND(AW553&gt;=56543,AW553&lt;=76543,LEN(AW553)&gt;0),"3 Feb 2020",IF(AND(AW553&gt;=66544,AW553&lt;=99999,LEN(AW553)&gt;0),"12 Sep 2020",""))</f>
        <v/>
      </c>
      <c r="BG553" s="125" t="str">
        <f>IF((AND(BF553="3 Feb 2020",LEN(BF553)&gt;0)),"Completed",IF((AND(BF553="12 Sep 2020",LEN(BF553)&gt;0)),"Pending",""))</f>
        <v/>
      </c>
      <c r="BH553" s="90" t="str">
        <f>IF((AND(BF553="3 Feb 2020",LEN(BF553)&gt;0)),"3 Feb 2020","")</f>
        <v/>
      </c>
      <c r="BI553" s="90">
        <v>233878</v>
      </c>
      <c r="BJ553" s="90" t="str">
        <f>L553</f>
        <v>7D60GT843334-29</v>
      </c>
      <c r="BK553" s="127">
        <v>43508</v>
      </c>
      <c r="BL553" s="127">
        <v>44239</v>
      </c>
      <c r="BM553" s="128">
        <f>P553*1.1</f>
        <v>2999258.9000000004</v>
      </c>
      <c r="BN553" s="129">
        <f>P553*0.9</f>
        <v>2453939.1</v>
      </c>
      <c r="BO553" s="130">
        <f>P553*0.8</f>
        <v>2181279.2000000002</v>
      </c>
      <c r="BP553" s="90">
        <f>IF(Z553="Y",BM553*0.4,BM553*1.05)</f>
        <v>3149221.8450000007</v>
      </c>
      <c r="BQ553" s="90">
        <f>BP553*0.8</f>
        <v>2519377.4760000007</v>
      </c>
      <c r="BR553" s="90" t="str">
        <f>IF(ISNUMBER(SEARCH("subrecipient",AI549)),P553*0.6,"")</f>
        <v/>
      </c>
      <c r="BS553" s="90">
        <v>233878</v>
      </c>
      <c r="BT553" s="90" t="str">
        <f>BJ553</f>
        <v>7D60GT843334-29</v>
      </c>
      <c r="BU553" s="127">
        <f>BK553</f>
        <v>43508</v>
      </c>
      <c r="BV553" s="127">
        <f>BL553</f>
        <v>44239</v>
      </c>
      <c r="BW553" s="90" t="str">
        <f>H553</f>
        <v>ACF</v>
      </c>
      <c r="BX553" s="90" t="str">
        <f>IF(H553="NATIONAL HEMOPHILIA FOUNDATION","Non Federal","Federal")</f>
        <v>Federal</v>
      </c>
      <c r="BY553" s="128">
        <f>BM553</f>
        <v>2999258.9000000004</v>
      </c>
      <c r="BZ553" s="90" t="str">
        <f>IF(LEN(BR553)&gt;0,1,"")</f>
        <v/>
      </c>
      <c r="CA553" s="90" t="str">
        <f>IF(LEN(BR553)&gt;0,"VIRAL HEPATITIS PROJECT","")</f>
        <v/>
      </c>
      <c r="CB553" s="129" t="str">
        <f>IF(LEN(BR553)&gt;0,BM553*0.7,"")</f>
        <v/>
      </c>
      <c r="CC553" s="90">
        <f>BP553</f>
        <v>3149221.8450000007</v>
      </c>
      <c r="CD553" s="90" t="str">
        <f>IF(LEN(BR553)&gt;0,"70%","")</f>
        <v/>
      </c>
      <c r="CE553" s="90">
        <f>BS553</f>
        <v>233878</v>
      </c>
      <c r="CF553" s="90" t="str">
        <f>CA553</f>
        <v/>
      </c>
      <c r="CG553" s="90"/>
      <c r="CH553" s="90"/>
      <c r="CI553" s="90"/>
      <c r="CJ553" s="90"/>
      <c r="CK553" s="90"/>
      <c r="CL553" s="90"/>
      <c r="CM553" s="90"/>
      <c r="CN553" s="90"/>
      <c r="CO553" s="90"/>
      <c r="CP553" s="90"/>
      <c r="CQ553" s="90"/>
      <c r="CR553" s="90"/>
      <c r="CS553" s="90"/>
      <c r="CT553" s="137"/>
    </row>
    <row r="554" spans="1:98" ht="150">
      <c r="A554" s="89">
        <v>233878</v>
      </c>
      <c r="B554" s="90">
        <v>2020</v>
      </c>
      <c r="C554" s="90" t="s">
        <v>81</v>
      </c>
      <c r="D554" s="90" t="s">
        <v>1489</v>
      </c>
      <c r="E554" s="125" t="s">
        <v>790</v>
      </c>
      <c r="F554" s="24" t="s">
        <v>1490</v>
      </c>
      <c r="G554" s="90" t="s">
        <v>85</v>
      </c>
      <c r="H554" s="90" t="s">
        <v>150</v>
      </c>
      <c r="I554" s="90">
        <v>93</v>
      </c>
      <c r="J554" s="90">
        <v>157</v>
      </c>
      <c r="K554" s="90" t="s">
        <v>85</v>
      </c>
      <c r="L554" s="90" t="s">
        <v>1491</v>
      </c>
      <c r="M554" s="90" t="s">
        <v>119</v>
      </c>
      <c r="N554" s="24" t="s">
        <v>1492</v>
      </c>
      <c r="O554" s="24" t="str">
        <f>IF(ISNUMBER(SEARCH("Cancer",N554)),"Cancer",IF(ISNUMBER(SEARCH("health",N554)),"Public health",IF(ISNUMBER(SEARCH("disabilities",N554)),"Disabilities","Other")))</f>
        <v>Other</v>
      </c>
      <c r="P554" s="126">
        <v>2726599</v>
      </c>
      <c r="Q554" s="90" t="s">
        <v>85</v>
      </c>
      <c r="R554" s="90" t="str">
        <f>IF(P554&gt;20000000,"B","A")</f>
        <v>A</v>
      </c>
      <c r="S554" s="90" t="s">
        <v>90</v>
      </c>
      <c r="T554" s="90" t="s">
        <v>119</v>
      </c>
      <c r="U554" s="90" t="s">
        <v>119</v>
      </c>
      <c r="V554" s="90" t="s">
        <v>119</v>
      </c>
      <c r="W554" s="90" t="s">
        <v>119</v>
      </c>
      <c r="X554" s="90" t="s">
        <v>119</v>
      </c>
      <c r="Y554" s="90" t="s">
        <v>119</v>
      </c>
      <c r="Z554" s="90" t="s">
        <v>119</v>
      </c>
      <c r="AA554" s="90" t="s">
        <v>119</v>
      </c>
      <c r="AB554" s="90" t="s">
        <v>119</v>
      </c>
      <c r="AC554" s="90" t="s">
        <v>119</v>
      </c>
      <c r="AD554" s="90" t="s">
        <v>119</v>
      </c>
      <c r="AE554" s="24">
        <v>0</v>
      </c>
      <c r="AF554" s="90">
        <v>0</v>
      </c>
      <c r="AG554" s="24">
        <v>0</v>
      </c>
      <c r="AH554" s="90">
        <v>86674</v>
      </c>
      <c r="AI554" s="24" t="s">
        <v>102</v>
      </c>
      <c r="AJ554" s="24" t="s">
        <v>1494</v>
      </c>
      <c r="AK554" s="90" t="s">
        <v>85</v>
      </c>
      <c r="AL554" s="90">
        <v>233878</v>
      </c>
      <c r="AM554" s="90" t="s">
        <v>81</v>
      </c>
      <c r="AN554" s="90" t="s">
        <v>1489</v>
      </c>
      <c r="AO554" s="125" t="s">
        <v>790</v>
      </c>
      <c r="AP554" s="24" t="s">
        <v>1492</v>
      </c>
      <c r="AQ554" s="90" t="s">
        <v>1491</v>
      </c>
      <c r="AR554" s="24" t="s">
        <v>1492</v>
      </c>
      <c r="AS554" s="90" t="s">
        <v>119</v>
      </c>
      <c r="AT554" s="24" t="s">
        <v>102</v>
      </c>
      <c r="AU554" s="90" t="s">
        <v>119</v>
      </c>
      <c r="AV554" s="90" t="str">
        <f>IF(ISNUMBER(SEARCH("disagree",AE554)),"N","Y")</f>
        <v>Y</v>
      </c>
      <c r="AW554" s="90" t="s">
        <v>119</v>
      </c>
      <c r="AX554" s="24" t="s">
        <v>119</v>
      </c>
      <c r="AY554" s="90" t="str">
        <f>CONCATENATE(AZ554,BA554,BB554,BC554)</f>
        <v/>
      </c>
      <c r="AZ554" s="90" t="str">
        <f>IF(ISNUMBER(SEARCH("Y",AC554)),"R","")</f>
        <v/>
      </c>
      <c r="BA554" s="90" t="str">
        <f>IF(ISNUMBER(SEARCH("Y",Y554)),"M","")</f>
        <v/>
      </c>
      <c r="BB554" s="90" t="str">
        <f>IF(ISNUMBER(SEARCH("Y",AB554)),"QC","")</f>
        <v/>
      </c>
      <c r="BC554" s="90" t="str">
        <f>IF(ISNUMBER(SEARCH("Y",Z554)),"S","")</f>
        <v/>
      </c>
      <c r="BD554" s="90"/>
      <c r="BE554" s="24" t="s">
        <v>119</v>
      </c>
      <c r="BF554" s="125" t="str">
        <f>IF(AND(AW554&gt;=56543,AW554&lt;=76543,LEN(AW554)&gt;0),"3 Feb 2020",IF(AND(AW554&gt;=66544,AW554&lt;=99999,LEN(AW554)&gt;0),"12 Sep 2020",""))</f>
        <v/>
      </c>
      <c r="BG554" s="125" t="str">
        <f>IF((AND(BF554="3 Feb 2020",LEN(BF554)&gt;0)),"Completed",IF((AND(BF554="12 Sep 2020",LEN(BF554)&gt;0)),"Pending",""))</f>
        <v/>
      </c>
      <c r="BH554" s="90" t="str">
        <f>IF((AND(BF554="3 Feb 2020",LEN(BF554)&gt;0)),"3 Feb 2020","")</f>
        <v/>
      </c>
      <c r="BI554" s="90">
        <v>233878</v>
      </c>
      <c r="BJ554" s="90" t="str">
        <f>L554</f>
        <v>7D60GT843334-29</v>
      </c>
      <c r="BK554" s="127">
        <v>43508</v>
      </c>
      <c r="BL554" s="127">
        <v>44239</v>
      </c>
      <c r="BM554" s="128">
        <f>P554*1.1</f>
        <v>2999258.9000000004</v>
      </c>
      <c r="BN554" s="129">
        <f>P554*0.9</f>
        <v>2453939.1</v>
      </c>
      <c r="BO554" s="130">
        <f>P554*0.8</f>
        <v>2181279.2000000002</v>
      </c>
      <c r="BP554" s="90">
        <f>IF(Z554="Y",BM554*0.4,BM554*1.05)</f>
        <v>3149221.8450000007</v>
      </c>
      <c r="BQ554" s="90">
        <f>BP554*0.8</f>
        <v>2519377.4760000007</v>
      </c>
      <c r="BR554" s="90">
        <f>IF(ISNUMBER(SEARCH("subrecipient",AI550)),P554*0.6,"")</f>
        <v>1635959.4</v>
      </c>
      <c r="BS554" s="90">
        <v>233878</v>
      </c>
      <c r="BT554" s="90" t="str">
        <f>BJ554</f>
        <v>7D60GT843334-29</v>
      </c>
      <c r="BU554" s="127">
        <f>BK554</f>
        <v>43508</v>
      </c>
      <c r="BV554" s="127">
        <f>BL554</f>
        <v>44239</v>
      </c>
      <c r="BW554" s="90" t="str">
        <f>H554</f>
        <v>ACF</v>
      </c>
      <c r="BX554" s="90" t="str">
        <f>IF(H554="NATIONAL HEMOPHILIA FOUNDATION","Non Federal","Federal")</f>
        <v>Federal</v>
      </c>
      <c r="BY554" s="128">
        <f>BM554</f>
        <v>2999258.9000000004</v>
      </c>
      <c r="BZ554" s="90">
        <f>IF(LEN(BR554)&gt;0,1,"")</f>
        <v>1</v>
      </c>
      <c r="CA554" s="90" t="str">
        <f>IF(LEN(BR554)&gt;0,"VIRAL HEPATITIS PROJECT","")</f>
        <v>VIRAL HEPATITIS PROJECT</v>
      </c>
      <c r="CB554" s="129">
        <f>IF(LEN(BR554)&gt;0,BM554*0.7,"")</f>
        <v>2099481.23</v>
      </c>
      <c r="CC554" s="90">
        <f>BP554</f>
        <v>3149221.8450000007</v>
      </c>
      <c r="CD554" s="90" t="str">
        <f>IF(LEN(BR554)&gt;0,"70%","")</f>
        <v>70%</v>
      </c>
      <c r="CE554" s="90">
        <f>BS554</f>
        <v>233878</v>
      </c>
      <c r="CF554" s="90" t="str">
        <f>CA554</f>
        <v>VIRAL HEPATITIS PROJECT</v>
      </c>
      <c r="CG554" s="90" t="s">
        <v>1495</v>
      </c>
      <c r="CH554" s="24" t="s">
        <v>1496</v>
      </c>
      <c r="CI554" s="129">
        <f>CB554</f>
        <v>2099481.23</v>
      </c>
      <c r="CJ554" s="125" t="s">
        <v>157</v>
      </c>
      <c r="CK554" s="90" t="s">
        <v>158</v>
      </c>
      <c r="CL554" s="90" t="s">
        <v>160</v>
      </c>
      <c r="CM554" s="90" t="s">
        <v>160</v>
      </c>
      <c r="CN554" s="90" t="s">
        <v>160</v>
      </c>
      <c r="CO554" s="24" t="s">
        <v>193</v>
      </c>
      <c r="CP554" s="24" t="s">
        <v>162</v>
      </c>
      <c r="CQ554" s="132">
        <v>0.6</v>
      </c>
      <c r="CR554" s="127">
        <f>BU554+50</f>
        <v>43558</v>
      </c>
      <c r="CS554" s="127">
        <f>BV554-50</f>
        <v>44189</v>
      </c>
      <c r="CT554" s="138">
        <f>CI554*0.4</f>
        <v>839792.49200000009</v>
      </c>
    </row>
    <row r="555" spans="1:98" ht="150">
      <c r="A555" s="89">
        <v>233878</v>
      </c>
      <c r="B555" s="90">
        <v>2020</v>
      </c>
      <c r="C555" s="90" t="s">
        <v>81</v>
      </c>
      <c r="D555" s="90" t="s">
        <v>1489</v>
      </c>
      <c r="E555" s="125" t="s">
        <v>791</v>
      </c>
      <c r="F555" s="24" t="s">
        <v>1490</v>
      </c>
      <c r="G555" s="90" t="s">
        <v>85</v>
      </c>
      <c r="H555" s="90" t="s">
        <v>150</v>
      </c>
      <c r="I555" s="90">
        <v>93</v>
      </c>
      <c r="J555" s="90">
        <v>157</v>
      </c>
      <c r="K555" s="90" t="s">
        <v>85</v>
      </c>
      <c r="L555" s="90" t="s">
        <v>1491</v>
      </c>
      <c r="M555" s="90" t="s">
        <v>119</v>
      </c>
      <c r="N555" s="24" t="s">
        <v>1492</v>
      </c>
      <c r="O555" s="24" t="str">
        <f>IF(ISNUMBER(SEARCH("Cancer",N555)),"Cancer",IF(ISNUMBER(SEARCH("health",N555)),"Public health",IF(ISNUMBER(SEARCH("disabilities",N555)),"Disabilities","Other")))</f>
        <v>Other</v>
      </c>
      <c r="P555" s="126">
        <v>2726599</v>
      </c>
      <c r="Q555" s="90" t="s">
        <v>85</v>
      </c>
      <c r="R555" s="90" t="str">
        <f>IF(P555&gt;20000000,"B","A")</f>
        <v>A</v>
      </c>
      <c r="S555" s="90" t="s">
        <v>90</v>
      </c>
      <c r="T555" s="90" t="s">
        <v>119</v>
      </c>
      <c r="U555" s="90" t="s">
        <v>119</v>
      </c>
      <c r="V555" s="90" t="s">
        <v>119</v>
      </c>
      <c r="W555" s="90" t="s">
        <v>119</v>
      </c>
      <c r="X555" s="90" t="s">
        <v>119</v>
      </c>
      <c r="Y555" s="90" t="s">
        <v>119</v>
      </c>
      <c r="Z555" s="90" t="s">
        <v>119</v>
      </c>
      <c r="AA555" s="90" t="s">
        <v>119</v>
      </c>
      <c r="AB555" s="90" t="s">
        <v>119</v>
      </c>
      <c r="AC555" s="90" t="s">
        <v>119</v>
      </c>
      <c r="AD555" s="90" t="s">
        <v>119</v>
      </c>
      <c r="AE555" s="24">
        <v>0</v>
      </c>
      <c r="AF555" s="90">
        <v>0</v>
      </c>
      <c r="AG555" s="24">
        <v>0</v>
      </c>
      <c r="AH555" s="90">
        <v>86672</v>
      </c>
      <c r="AI555" s="24" t="s">
        <v>269</v>
      </c>
      <c r="AJ555" s="24" t="s">
        <v>1497</v>
      </c>
      <c r="AK555" s="90" t="s">
        <v>85</v>
      </c>
      <c r="AL555" s="90">
        <v>233878</v>
      </c>
      <c r="AM555" s="90" t="s">
        <v>81</v>
      </c>
      <c r="AN555" s="90" t="s">
        <v>1489</v>
      </c>
      <c r="AO555" s="125" t="s">
        <v>791</v>
      </c>
      <c r="AP555" s="24" t="s">
        <v>1492</v>
      </c>
      <c r="AQ555" s="90" t="s">
        <v>1491</v>
      </c>
      <c r="AR555" s="24" t="s">
        <v>1492</v>
      </c>
      <c r="AS555" s="90" t="s">
        <v>119</v>
      </c>
      <c r="AT555" s="24" t="s">
        <v>269</v>
      </c>
      <c r="AU555" s="90" t="s">
        <v>119</v>
      </c>
      <c r="AV555" s="90" t="str">
        <f>IF(ISNUMBER(SEARCH("disagree",AE555)),"N","Y")</f>
        <v>Y</v>
      </c>
      <c r="AW555" s="90" t="s">
        <v>119</v>
      </c>
      <c r="AX555" s="24" t="s">
        <v>119</v>
      </c>
      <c r="AY555" s="90" t="str">
        <f>CONCATENATE(AZ555,BA555,BB555,BC555)</f>
        <v/>
      </c>
      <c r="AZ555" s="90" t="str">
        <f>IF(ISNUMBER(SEARCH("Y",AC555)),"R","")</f>
        <v/>
      </c>
      <c r="BA555" s="90" t="str">
        <f>IF(ISNUMBER(SEARCH("Y",Y555)),"M","")</f>
        <v/>
      </c>
      <c r="BB555" s="90" t="str">
        <f>IF(ISNUMBER(SEARCH("Y",AB555)),"QC","")</f>
        <v/>
      </c>
      <c r="BC555" s="90" t="str">
        <f>IF(ISNUMBER(SEARCH("Y",Z555)),"S","")</f>
        <v/>
      </c>
      <c r="BD555" s="90"/>
      <c r="BE555" s="24" t="s">
        <v>119</v>
      </c>
      <c r="BF555" s="125" t="str">
        <f>IF(AND(AW555&gt;=56543,AW555&lt;=76543,LEN(AW555)&gt;0),"3 Feb 2020",IF(AND(AW555&gt;=66544,AW555&lt;=99999,LEN(AW555)&gt;0),"12 Sep 2020",""))</f>
        <v/>
      </c>
      <c r="BG555" s="125" t="str">
        <f>IF((AND(BF555="3 Feb 2020",LEN(BF555)&gt;0)),"Completed",IF((AND(BF555="12 Sep 2020",LEN(BF555)&gt;0)),"Pending",""))</f>
        <v/>
      </c>
      <c r="BH555" s="90" t="str">
        <f>IF((AND(BF555="3 Feb 2020",LEN(BF555)&gt;0)),"3 Feb 2020","")</f>
        <v/>
      </c>
      <c r="BI555" s="90">
        <v>233878</v>
      </c>
      <c r="BJ555" s="90" t="str">
        <f>L555</f>
        <v>7D60GT843334-29</v>
      </c>
      <c r="BK555" s="127">
        <v>43508</v>
      </c>
      <c r="BL555" s="127">
        <v>44239</v>
      </c>
      <c r="BM555" s="128">
        <f>P555*1.1</f>
        <v>2999258.9000000004</v>
      </c>
      <c r="BN555" s="129">
        <f>P555*0.9</f>
        <v>2453939.1</v>
      </c>
      <c r="BO555" s="130">
        <f>P555*0.8</f>
        <v>2181279.2000000002</v>
      </c>
      <c r="BP555" s="90">
        <f>IF(Z555="Y",BM555*0.4,BM555*1.05)</f>
        <v>3149221.8450000007</v>
      </c>
      <c r="BQ555" s="90">
        <f>BP555*0.8</f>
        <v>2519377.4760000007</v>
      </c>
      <c r="BR555" s="90" t="str">
        <f>IF(ISNUMBER(SEARCH("subrecipient",AI551)),P555*0.6,"")</f>
        <v/>
      </c>
      <c r="BS555" s="90">
        <v>233878</v>
      </c>
      <c r="BT555" s="90" t="str">
        <f>BJ555</f>
        <v>7D60GT843334-29</v>
      </c>
      <c r="BU555" s="127">
        <f>BK555</f>
        <v>43508</v>
      </c>
      <c r="BV555" s="127">
        <f>BL555</f>
        <v>44239</v>
      </c>
      <c r="BW555" s="90" t="str">
        <f>H555</f>
        <v>ACF</v>
      </c>
      <c r="BX555" s="90" t="str">
        <f>IF(H555="NATIONAL HEMOPHILIA FOUNDATION","Non Federal","Federal")</f>
        <v>Federal</v>
      </c>
      <c r="BY555" s="128">
        <f>BM555</f>
        <v>2999258.9000000004</v>
      </c>
      <c r="BZ555" s="90" t="str">
        <f>IF(LEN(BR555)&gt;0,1,"")</f>
        <v/>
      </c>
      <c r="CA555" s="90" t="str">
        <f>IF(LEN(BR555)&gt;0,"VIRAL HEPATITIS PROJECT","")</f>
        <v/>
      </c>
      <c r="CB555" s="129" t="str">
        <f>IF(LEN(BR555)&gt;0,BM555*0.7,"")</f>
        <v/>
      </c>
      <c r="CC555" s="90">
        <f>BP555</f>
        <v>3149221.8450000007</v>
      </c>
      <c r="CD555" s="90" t="str">
        <f>IF(LEN(BR555)&gt;0,"70%","")</f>
        <v/>
      </c>
      <c r="CE555" s="90">
        <f>BS555</f>
        <v>233878</v>
      </c>
      <c r="CF555" s="90" t="str">
        <f>CA555</f>
        <v/>
      </c>
      <c r="CG555" s="90"/>
      <c r="CH555" s="90"/>
      <c r="CI555" s="90"/>
      <c r="CJ555" s="90"/>
      <c r="CK555" s="90"/>
      <c r="CL555" s="90"/>
      <c r="CM555" s="90"/>
      <c r="CN555" s="90"/>
      <c r="CO555" s="90"/>
      <c r="CP555" s="90"/>
      <c r="CQ555" s="90"/>
      <c r="CR555" s="90"/>
      <c r="CS555" s="90"/>
      <c r="CT555" s="137"/>
    </row>
    <row r="556" spans="1:98" ht="180">
      <c r="A556" s="89">
        <v>234203</v>
      </c>
      <c r="B556" s="90">
        <v>2020</v>
      </c>
      <c r="C556" s="90" t="s">
        <v>81</v>
      </c>
      <c r="D556" s="90" t="s">
        <v>1498</v>
      </c>
      <c r="E556" s="125" t="s">
        <v>793</v>
      </c>
      <c r="F556" s="24" t="s">
        <v>1499</v>
      </c>
      <c r="G556" s="90" t="s">
        <v>85</v>
      </c>
      <c r="H556" s="90" t="s">
        <v>86</v>
      </c>
      <c r="I556" s="90">
        <v>93</v>
      </c>
      <c r="J556" s="90">
        <v>157</v>
      </c>
      <c r="K556" s="90" t="s">
        <v>85</v>
      </c>
      <c r="L556" s="90" t="s">
        <v>1500</v>
      </c>
      <c r="M556" s="90" t="s">
        <v>85</v>
      </c>
      <c r="N556" s="24" t="s">
        <v>1381</v>
      </c>
      <c r="O556" s="24" t="str">
        <f>IF(ISNUMBER(SEARCH("Cancer",N556)),"Cancer",IF(ISNUMBER(SEARCH("health",N556)),"Public health",IF(ISNUMBER(SEARCH("disabilities",N556)),"Disabilities","Other")))</f>
        <v>Other</v>
      </c>
      <c r="P556" s="126">
        <v>250280100</v>
      </c>
      <c r="Q556" s="90" t="s">
        <v>87</v>
      </c>
      <c r="R556" s="90" t="str">
        <f>IF(P556&gt;20000000,"B","A")</f>
        <v>B</v>
      </c>
      <c r="S556" s="90" t="s">
        <v>90</v>
      </c>
      <c r="T556" s="90">
        <v>2568747</v>
      </c>
      <c r="U556" s="90" t="s">
        <v>91</v>
      </c>
      <c r="V556" s="90" t="s">
        <v>85</v>
      </c>
      <c r="W556" s="90" t="s">
        <v>85</v>
      </c>
      <c r="X556" s="90" t="s">
        <v>87</v>
      </c>
      <c r="Y556" s="90" t="s">
        <v>85</v>
      </c>
      <c r="Z556" s="90" t="s">
        <v>87</v>
      </c>
      <c r="AA556" s="90" t="s">
        <v>85</v>
      </c>
      <c r="AB556" s="90" t="s">
        <v>85</v>
      </c>
      <c r="AC556" s="90" t="s">
        <v>85</v>
      </c>
      <c r="AD556" s="90">
        <v>0</v>
      </c>
      <c r="AE556" s="24" t="s">
        <v>1501</v>
      </c>
      <c r="AF556" s="90" t="s">
        <v>91</v>
      </c>
      <c r="AG556" s="24" t="s">
        <v>1502</v>
      </c>
      <c r="AH556" s="90">
        <v>89019</v>
      </c>
      <c r="AI556" s="24" t="s">
        <v>94</v>
      </c>
      <c r="AJ556" s="24" t="s">
        <v>1503</v>
      </c>
      <c r="AK556" s="90" t="s">
        <v>85</v>
      </c>
      <c r="AL556" s="90">
        <v>234203</v>
      </c>
      <c r="AM556" s="90" t="s">
        <v>81</v>
      </c>
      <c r="AN556" s="90" t="s">
        <v>1498</v>
      </c>
      <c r="AO556" s="125" t="s">
        <v>793</v>
      </c>
      <c r="AP556" s="24" t="s">
        <v>1381</v>
      </c>
      <c r="AQ556" s="90" t="s">
        <v>1500</v>
      </c>
      <c r="AR556" s="24" t="s">
        <v>1381</v>
      </c>
      <c r="AS556" s="90">
        <v>2568747</v>
      </c>
      <c r="AT556" s="24" t="s">
        <v>94</v>
      </c>
      <c r="AU556" s="90" t="s">
        <v>85</v>
      </c>
      <c r="AV556" s="90" t="str">
        <f>IF(ISNUMBER(SEARCH("disagree",AE556)),"N","Y")</f>
        <v>Y</v>
      </c>
      <c r="AW556" s="90">
        <v>79240</v>
      </c>
      <c r="AX556" s="24" t="s">
        <v>96</v>
      </c>
      <c r="AY556" s="90" t="str">
        <f>CONCATENATE(AZ556,BA556,BB556,BC556)</f>
        <v>S</v>
      </c>
      <c r="AZ556" s="90" t="str">
        <f>IF(ISNUMBER(SEARCH("Y",AC556)),"R","")</f>
        <v/>
      </c>
      <c r="BA556" s="90" t="str">
        <f>IF(ISNUMBER(SEARCH("Y",Y556)),"M","")</f>
        <v/>
      </c>
      <c r="BB556" s="90" t="str">
        <f>IF(ISNUMBER(SEARCH("Y",AB556)),"QC","")</f>
        <v/>
      </c>
      <c r="BC556" s="90" t="str">
        <f>IF(ISNUMBER(SEARCH("Y",Z556)),"S","")</f>
        <v>S</v>
      </c>
      <c r="BD556" s="90"/>
      <c r="BE556" s="24" t="s">
        <v>97</v>
      </c>
      <c r="BF556" s="125" t="str">
        <f>IF(AND(AW556&gt;=56543,AW556&lt;=76543,LEN(AW556)&gt;0),"3 Feb 2020",IF(AND(AW556&gt;=66544,AW556&lt;=99999,LEN(AW556)&gt;0),"12 Sep 2020",""))</f>
        <v>12 Sep 2020</v>
      </c>
      <c r="BG556" s="125" t="str">
        <f>IF((AND(BF556="3 Feb 2020",LEN(BF556)&gt;0)),"Completed",IF((AND(BF556="12 Sep 2020",LEN(BF556)&gt;0)),"Pending",""))</f>
        <v>Pending</v>
      </c>
      <c r="BH556" s="90" t="str">
        <f>IF((AND(BF556="3 Feb 2020",LEN(BF556)&gt;0)),"3 Feb 2020","")</f>
        <v/>
      </c>
      <c r="BI556" s="90">
        <v>234203</v>
      </c>
      <c r="BJ556" s="90" t="str">
        <f>L556</f>
        <v>6D55GT844554-36</v>
      </c>
      <c r="BK556" s="127">
        <v>43508</v>
      </c>
      <c r="BL556" s="127">
        <v>44239</v>
      </c>
      <c r="BM556" s="128">
        <f>P556*1.1</f>
        <v>275308110</v>
      </c>
      <c r="BN556" s="129">
        <f>P556*0.9</f>
        <v>225252090</v>
      </c>
      <c r="BO556" s="130">
        <f>P556*0.8</f>
        <v>200224080</v>
      </c>
      <c r="BP556" s="90">
        <f>IF(Z556="Y",BM556*0.4,BM556*1.05)</f>
        <v>110123244</v>
      </c>
      <c r="BQ556" s="90">
        <f>BP556*0.8</f>
        <v>88098595.200000003</v>
      </c>
      <c r="BR556" s="90" t="str">
        <f>IF(ISNUMBER(SEARCH("subrecipient",AI552)),P556*0.6,"")</f>
        <v/>
      </c>
      <c r="BS556" s="90">
        <v>234203</v>
      </c>
      <c r="BT556" s="90" t="str">
        <f>BJ556</f>
        <v>6D55GT844554-36</v>
      </c>
      <c r="BU556" s="127">
        <f>BK556</f>
        <v>43508</v>
      </c>
      <c r="BV556" s="127">
        <f>BL556</f>
        <v>44239</v>
      </c>
      <c r="BW556" s="90" t="str">
        <f>H556</f>
        <v>CDC</v>
      </c>
      <c r="BX556" s="90" t="str">
        <f>IF(H556="NATIONAL HEMOPHILIA FOUNDATION","Non Federal","Federal")</f>
        <v>Federal</v>
      </c>
      <c r="BY556" s="128">
        <f>BM556</f>
        <v>275308110</v>
      </c>
      <c r="BZ556" s="90" t="str">
        <f>IF(LEN(BR556)&gt;0,1,"")</f>
        <v/>
      </c>
      <c r="CA556" s="90" t="str">
        <f>IF(LEN(BR556)&gt;0,"VIRAL HEPATITIS PROJECT","")</f>
        <v/>
      </c>
      <c r="CB556" s="129" t="str">
        <f>IF(LEN(BR556)&gt;0,BM556*0.7,"")</f>
        <v/>
      </c>
      <c r="CC556" s="90">
        <f>BP556</f>
        <v>110123244</v>
      </c>
      <c r="CD556" s="90" t="str">
        <f>IF(LEN(BR556)&gt;0,"70%","")</f>
        <v/>
      </c>
      <c r="CE556" s="90">
        <f>BS556</f>
        <v>234203</v>
      </c>
      <c r="CF556" s="90" t="str">
        <f>CA556</f>
        <v/>
      </c>
      <c r="CG556" s="90"/>
      <c r="CH556" s="90"/>
      <c r="CI556" s="90"/>
      <c r="CJ556" s="90"/>
      <c r="CK556" s="90"/>
      <c r="CL556" s="90"/>
      <c r="CM556" s="90"/>
      <c r="CN556" s="90"/>
      <c r="CO556" s="90"/>
      <c r="CP556" s="90"/>
      <c r="CQ556" s="90"/>
      <c r="CR556" s="90"/>
      <c r="CS556" s="90"/>
      <c r="CT556" s="137"/>
    </row>
    <row r="557" spans="1:98" ht="90">
      <c r="A557" s="89">
        <v>234203</v>
      </c>
      <c r="B557" s="90">
        <v>2020</v>
      </c>
      <c r="C557" s="90" t="s">
        <v>81</v>
      </c>
      <c r="D557" s="90" t="s">
        <v>1498</v>
      </c>
      <c r="E557" s="125" t="s">
        <v>780</v>
      </c>
      <c r="F557" s="24" t="s">
        <v>1499</v>
      </c>
      <c r="G557" s="90" t="s">
        <v>85</v>
      </c>
      <c r="H557" s="90" t="s">
        <v>86</v>
      </c>
      <c r="I557" s="90">
        <v>93</v>
      </c>
      <c r="J557" s="90">
        <v>157</v>
      </c>
      <c r="K557" s="90" t="s">
        <v>85</v>
      </c>
      <c r="L557" s="90" t="s">
        <v>1500</v>
      </c>
      <c r="M557" s="90" t="s">
        <v>85</v>
      </c>
      <c r="N557" s="24" t="s">
        <v>1381</v>
      </c>
      <c r="O557" s="24" t="str">
        <f>IF(ISNUMBER(SEARCH("Cancer",N557)),"Cancer",IF(ISNUMBER(SEARCH("health",N557)),"Public health",IF(ISNUMBER(SEARCH("disabilities",N557)),"Disabilities","Other")))</f>
        <v>Other</v>
      </c>
      <c r="P557" s="126">
        <v>250280100</v>
      </c>
      <c r="Q557" s="90" t="s">
        <v>85</v>
      </c>
      <c r="R557" s="90" t="str">
        <f>IF(P557&gt;20000000,"B","A")</f>
        <v>B</v>
      </c>
      <c r="S557" s="90" t="s">
        <v>90</v>
      </c>
      <c r="T557" s="90">
        <v>2568747</v>
      </c>
      <c r="U557" s="90" t="s">
        <v>91</v>
      </c>
      <c r="V557" s="90" t="s">
        <v>85</v>
      </c>
      <c r="W557" s="90" t="s">
        <v>85</v>
      </c>
      <c r="X557" s="90" t="s">
        <v>87</v>
      </c>
      <c r="Y557" s="90" t="s">
        <v>85</v>
      </c>
      <c r="Z557" s="90" t="s">
        <v>87</v>
      </c>
      <c r="AA557" s="90" t="s">
        <v>85</v>
      </c>
      <c r="AB557" s="90" t="s">
        <v>85</v>
      </c>
      <c r="AC557" s="90" t="s">
        <v>85</v>
      </c>
      <c r="AD557" s="90">
        <v>0</v>
      </c>
      <c r="AE557" s="24">
        <v>0</v>
      </c>
      <c r="AF557" s="90">
        <v>0</v>
      </c>
      <c r="AG557" s="24">
        <v>0</v>
      </c>
      <c r="AH557" s="90">
        <v>89018</v>
      </c>
      <c r="AI557" s="24" t="s">
        <v>102</v>
      </c>
      <c r="AJ557" s="24" t="s">
        <v>103</v>
      </c>
      <c r="AK557" s="90" t="s">
        <v>85</v>
      </c>
      <c r="AL557" s="90">
        <v>234203</v>
      </c>
      <c r="AM557" s="90" t="s">
        <v>81</v>
      </c>
      <c r="AN557" s="90" t="s">
        <v>1498</v>
      </c>
      <c r="AO557" s="125" t="s">
        <v>780</v>
      </c>
      <c r="AP557" s="24" t="s">
        <v>1381</v>
      </c>
      <c r="AQ557" s="90" t="s">
        <v>1500</v>
      </c>
      <c r="AR557" s="24" t="s">
        <v>1381</v>
      </c>
      <c r="AS557" s="90">
        <v>2568747</v>
      </c>
      <c r="AT557" s="24" t="s">
        <v>102</v>
      </c>
      <c r="AU557" s="90" t="s">
        <v>85</v>
      </c>
      <c r="AV557" s="90" t="str">
        <f>IF(ISNUMBER(SEARCH("disagree",AE557)),"N","Y")</f>
        <v>Y</v>
      </c>
      <c r="AW557" s="90">
        <v>88047</v>
      </c>
      <c r="AX557" s="24" t="s">
        <v>104</v>
      </c>
      <c r="AY557" s="90" t="str">
        <f>CONCATENATE(AZ557,BA557,BB557,BC557)</f>
        <v>S</v>
      </c>
      <c r="AZ557" s="90" t="str">
        <f>IF(ISNUMBER(SEARCH("Y",AC557)),"R","")</f>
        <v/>
      </c>
      <c r="BA557" s="90" t="str">
        <f>IF(ISNUMBER(SEARCH("Y",Y557)),"M","")</f>
        <v/>
      </c>
      <c r="BB557" s="90" t="str">
        <f>IF(ISNUMBER(SEARCH("Y",AB557)),"QC","")</f>
        <v/>
      </c>
      <c r="BC557" s="90" t="str">
        <f>IF(ISNUMBER(SEARCH("Y",Z557)),"S","")</f>
        <v>S</v>
      </c>
      <c r="BD557" s="90"/>
      <c r="BE557" s="24" t="s">
        <v>327</v>
      </c>
      <c r="BF557" s="125" t="str">
        <f>IF(AND(AW557&gt;=56543,AW557&lt;=76543,LEN(AW557)&gt;0),"3 Feb 2020",IF(AND(AW557&gt;=66544,AW557&lt;=99999,LEN(AW557)&gt;0),"12 Sep 2020",""))</f>
        <v>12 Sep 2020</v>
      </c>
      <c r="BG557" s="125" t="str">
        <f>IF((AND(BF557="3 Feb 2020",LEN(BF557)&gt;0)),"Completed",IF((AND(BF557="12 Sep 2020",LEN(BF557)&gt;0)),"Pending",""))</f>
        <v>Pending</v>
      </c>
      <c r="BH557" s="90" t="str">
        <f>IF((AND(BF557="3 Feb 2020",LEN(BF557)&gt;0)),"3 Feb 2020","")</f>
        <v/>
      </c>
      <c r="BI557" s="90">
        <v>234203</v>
      </c>
      <c r="BJ557" s="90" t="str">
        <f>L557</f>
        <v>6D55GT844554-36</v>
      </c>
      <c r="BK557" s="127">
        <v>43508</v>
      </c>
      <c r="BL557" s="127">
        <v>44239</v>
      </c>
      <c r="BM557" s="128">
        <f>P557*1.1</f>
        <v>275308110</v>
      </c>
      <c r="BN557" s="129">
        <f>P557*0.9</f>
        <v>225252090</v>
      </c>
      <c r="BO557" s="130">
        <f>P557*0.8</f>
        <v>200224080</v>
      </c>
      <c r="BP557" s="90">
        <f>IF(Z557="Y",BM557*0.4,BM557*1.05)</f>
        <v>110123244</v>
      </c>
      <c r="BQ557" s="90">
        <f>BP557*0.8</f>
        <v>88098595.200000003</v>
      </c>
      <c r="BR557" s="90" t="str">
        <f>IF(ISNUMBER(SEARCH("subrecipient",AI553)),P557*0.6,"")</f>
        <v/>
      </c>
      <c r="BS557" s="90">
        <v>234203</v>
      </c>
      <c r="BT557" s="90" t="str">
        <f>BJ557</f>
        <v>6D55GT844554-36</v>
      </c>
      <c r="BU557" s="127">
        <f>BK557</f>
        <v>43508</v>
      </c>
      <c r="BV557" s="127">
        <f>BL557</f>
        <v>44239</v>
      </c>
      <c r="BW557" s="90" t="str">
        <f>H557</f>
        <v>CDC</v>
      </c>
      <c r="BX557" s="90" t="str">
        <f>IF(H557="NATIONAL HEMOPHILIA FOUNDATION","Non Federal","Federal")</f>
        <v>Federal</v>
      </c>
      <c r="BY557" s="128">
        <f>BM557</f>
        <v>275308110</v>
      </c>
      <c r="BZ557" s="90" t="str">
        <f>IF(LEN(BR557)&gt;0,1,"")</f>
        <v/>
      </c>
      <c r="CA557" s="90" t="str">
        <f>IF(LEN(BR557)&gt;0,"VIRAL HEPATITIS PROJECT","")</f>
        <v/>
      </c>
      <c r="CB557" s="129" t="str">
        <f>IF(LEN(BR557)&gt;0,BM557*0.7,"")</f>
        <v/>
      </c>
      <c r="CC557" s="90">
        <f>BP557</f>
        <v>110123244</v>
      </c>
      <c r="CD557" s="90" t="str">
        <f>IF(LEN(BR557)&gt;0,"70%","")</f>
        <v/>
      </c>
      <c r="CE557" s="90">
        <f>BS557</f>
        <v>234203</v>
      </c>
      <c r="CF557" s="90" t="str">
        <f>CA557</f>
        <v/>
      </c>
      <c r="CG557" s="90"/>
      <c r="CH557" s="90"/>
      <c r="CI557" s="90"/>
      <c r="CJ557" s="90"/>
      <c r="CK557" s="90"/>
      <c r="CL557" s="90"/>
      <c r="CM557" s="90"/>
      <c r="CN557" s="90"/>
      <c r="CO557" s="90"/>
      <c r="CP557" s="90"/>
      <c r="CQ557" s="90"/>
      <c r="CR557" s="90"/>
      <c r="CS557" s="90"/>
      <c r="CT557" s="137"/>
    </row>
    <row r="558" spans="1:98" ht="90">
      <c r="A558" s="89">
        <v>234203</v>
      </c>
      <c r="B558" s="90">
        <v>2020</v>
      </c>
      <c r="C558" s="90" t="s">
        <v>81</v>
      </c>
      <c r="D558" s="90" t="s">
        <v>1498</v>
      </c>
      <c r="E558" s="125" t="s">
        <v>781</v>
      </c>
      <c r="F558" s="24" t="s">
        <v>1499</v>
      </c>
      <c r="G558" s="90" t="s">
        <v>85</v>
      </c>
      <c r="H558" s="90" t="s">
        <v>86</v>
      </c>
      <c r="I558" s="90">
        <v>93</v>
      </c>
      <c r="J558" s="90">
        <v>157</v>
      </c>
      <c r="K558" s="90" t="s">
        <v>85</v>
      </c>
      <c r="L558" s="90" t="s">
        <v>1500</v>
      </c>
      <c r="M558" s="90" t="s">
        <v>85</v>
      </c>
      <c r="N558" s="24" t="s">
        <v>1381</v>
      </c>
      <c r="O558" s="24" t="str">
        <f>IF(ISNUMBER(SEARCH("Cancer",N558)),"Cancer",IF(ISNUMBER(SEARCH("health",N558)),"Public health",IF(ISNUMBER(SEARCH("disabilities",N558)),"Disabilities","Other")))</f>
        <v>Other</v>
      </c>
      <c r="P558" s="126">
        <v>250280100</v>
      </c>
      <c r="Q558" s="90" t="s">
        <v>85</v>
      </c>
      <c r="R558" s="90" t="str">
        <f>IF(P558&gt;20000000,"B","A")</f>
        <v>B</v>
      </c>
      <c r="S558" s="90" t="s">
        <v>90</v>
      </c>
      <c r="T558" s="90">
        <v>2568747</v>
      </c>
      <c r="U558" s="90" t="s">
        <v>91</v>
      </c>
      <c r="V558" s="90" t="s">
        <v>85</v>
      </c>
      <c r="W558" s="90" t="s">
        <v>85</v>
      </c>
      <c r="X558" s="90" t="s">
        <v>87</v>
      </c>
      <c r="Y558" s="90" t="s">
        <v>85</v>
      </c>
      <c r="Z558" s="90" t="s">
        <v>87</v>
      </c>
      <c r="AA558" s="90" t="s">
        <v>85</v>
      </c>
      <c r="AB558" s="90" t="s">
        <v>85</v>
      </c>
      <c r="AC558" s="90" t="s">
        <v>85</v>
      </c>
      <c r="AD558" s="90">
        <v>0</v>
      </c>
      <c r="AE558" s="24">
        <v>0</v>
      </c>
      <c r="AF558" s="90">
        <v>0</v>
      </c>
      <c r="AG558" s="24">
        <v>0</v>
      </c>
      <c r="AH558" s="90">
        <v>89020</v>
      </c>
      <c r="AI558" s="24" t="s">
        <v>235</v>
      </c>
      <c r="AJ558" s="24" t="s">
        <v>1504</v>
      </c>
      <c r="AK558" s="90" t="s">
        <v>85</v>
      </c>
      <c r="AL558" s="90">
        <v>234203</v>
      </c>
      <c r="AM558" s="90" t="s">
        <v>81</v>
      </c>
      <c r="AN558" s="90" t="s">
        <v>1498</v>
      </c>
      <c r="AO558" s="125" t="s">
        <v>781</v>
      </c>
      <c r="AP558" s="24" t="s">
        <v>1381</v>
      </c>
      <c r="AQ558" s="90" t="s">
        <v>1500</v>
      </c>
      <c r="AR558" s="24" t="s">
        <v>1381</v>
      </c>
      <c r="AS558" s="90">
        <v>2568747</v>
      </c>
      <c r="AT558" s="24" t="s">
        <v>235</v>
      </c>
      <c r="AU558" s="90" t="s">
        <v>85</v>
      </c>
      <c r="AV558" s="90" t="str">
        <f>IF(ISNUMBER(SEARCH("disagree",AE558)),"N","Y")</f>
        <v>Y</v>
      </c>
      <c r="AW558" s="90">
        <v>92804</v>
      </c>
      <c r="AX558" s="24" t="s">
        <v>811</v>
      </c>
      <c r="AY558" s="90" t="str">
        <f>CONCATENATE(AZ558,BA558,BB558,BC558)</f>
        <v>S</v>
      </c>
      <c r="AZ558" s="90" t="str">
        <f>IF(ISNUMBER(SEARCH("Y",AC558)),"R","")</f>
        <v/>
      </c>
      <c r="BA558" s="90" t="str">
        <f>IF(ISNUMBER(SEARCH("Y",Y558)),"M","")</f>
        <v/>
      </c>
      <c r="BB558" s="90" t="str">
        <f>IF(ISNUMBER(SEARCH("Y",AB558)),"QC","")</f>
        <v/>
      </c>
      <c r="BC558" s="90" t="str">
        <f>IF(ISNUMBER(SEARCH("Y",Z558)),"S","")</f>
        <v>S</v>
      </c>
      <c r="BD558" s="90"/>
      <c r="BE558" s="24" t="s">
        <v>812</v>
      </c>
      <c r="BF558" s="125" t="str">
        <f>IF(AND(AW558&gt;=56543,AW558&lt;=76543,LEN(AW558)&gt;0),"3 Feb 2020",IF(AND(AW558&gt;=66544,AW558&lt;=99999,LEN(AW558)&gt;0),"12 Sep 2020",""))</f>
        <v>12 Sep 2020</v>
      </c>
      <c r="BG558" s="125" t="str">
        <f>IF((AND(BF558="3 Feb 2020",LEN(BF558)&gt;0)),"Completed",IF((AND(BF558="12 Sep 2020",LEN(BF558)&gt;0)),"Pending",""))</f>
        <v>Pending</v>
      </c>
      <c r="BH558" s="90" t="str">
        <f>IF((AND(BF558="3 Feb 2020",LEN(BF558)&gt;0)),"3 Feb 2020","")</f>
        <v/>
      </c>
      <c r="BI558" s="90">
        <v>234203</v>
      </c>
      <c r="BJ558" s="90" t="str">
        <f>L558</f>
        <v>6D55GT844554-36</v>
      </c>
      <c r="BK558" s="127">
        <v>43508</v>
      </c>
      <c r="BL558" s="127">
        <v>44239</v>
      </c>
      <c r="BM558" s="128">
        <f>P558*1.1</f>
        <v>275308110</v>
      </c>
      <c r="BN558" s="129">
        <f>P558*0.9</f>
        <v>225252090</v>
      </c>
      <c r="BO558" s="130">
        <f>P558*0.8</f>
        <v>200224080</v>
      </c>
      <c r="BP558" s="90">
        <f>IF(Z558="Y",BM558*0.4,BM558*1.05)</f>
        <v>110123244</v>
      </c>
      <c r="BQ558" s="90">
        <f>BP558*0.8</f>
        <v>88098595.200000003</v>
      </c>
      <c r="BR558" s="90" t="str">
        <f>IF(ISNUMBER(SEARCH("subrecipient",AI554)),P558*0.6,"")</f>
        <v/>
      </c>
      <c r="BS558" s="90">
        <v>234203</v>
      </c>
      <c r="BT558" s="90" t="str">
        <f>BJ558</f>
        <v>6D55GT844554-36</v>
      </c>
      <c r="BU558" s="127">
        <f>BK558</f>
        <v>43508</v>
      </c>
      <c r="BV558" s="127">
        <f>BL558</f>
        <v>44239</v>
      </c>
      <c r="BW558" s="90" t="str">
        <f>H558</f>
        <v>CDC</v>
      </c>
      <c r="BX558" s="90" t="str">
        <f>IF(H558="NATIONAL HEMOPHILIA FOUNDATION","Non Federal","Federal")</f>
        <v>Federal</v>
      </c>
      <c r="BY558" s="128">
        <f>BM558</f>
        <v>275308110</v>
      </c>
      <c r="BZ558" s="90" t="str">
        <f>IF(LEN(BR558)&gt;0,1,"")</f>
        <v/>
      </c>
      <c r="CA558" s="90" t="str">
        <f>IF(LEN(BR558)&gt;0,"VIRAL HEPATITIS PROJECT","")</f>
        <v/>
      </c>
      <c r="CB558" s="129" t="str">
        <f>IF(LEN(BR558)&gt;0,BM558*0.7,"")</f>
        <v/>
      </c>
      <c r="CC558" s="90">
        <f>BP558</f>
        <v>110123244</v>
      </c>
      <c r="CD558" s="90" t="str">
        <f>IF(LEN(BR558)&gt;0,"70%","")</f>
        <v/>
      </c>
      <c r="CE558" s="90">
        <f>BS558</f>
        <v>234203</v>
      </c>
      <c r="CF558" s="90" t="str">
        <f>CA558</f>
        <v/>
      </c>
      <c r="CG558" s="90"/>
      <c r="CH558" s="90"/>
      <c r="CI558" s="90"/>
      <c r="CJ558" s="90"/>
      <c r="CK558" s="90"/>
      <c r="CL558" s="90"/>
      <c r="CM558" s="90"/>
      <c r="CN558" s="90"/>
      <c r="CO558" s="90"/>
      <c r="CP558" s="90"/>
      <c r="CQ558" s="90"/>
      <c r="CR558" s="90"/>
      <c r="CS558" s="90"/>
      <c r="CT558" s="137"/>
    </row>
    <row r="559" spans="1:98" ht="90">
      <c r="A559" s="89">
        <v>234203</v>
      </c>
      <c r="B559" s="90">
        <v>2020</v>
      </c>
      <c r="C559" s="90" t="s">
        <v>81</v>
      </c>
      <c r="D559" s="90" t="s">
        <v>1498</v>
      </c>
      <c r="E559" s="125" t="s">
        <v>784</v>
      </c>
      <c r="F559" s="24" t="s">
        <v>1499</v>
      </c>
      <c r="G559" s="90" t="s">
        <v>85</v>
      </c>
      <c r="H559" s="90" t="s">
        <v>86</v>
      </c>
      <c r="I559" s="90">
        <v>93</v>
      </c>
      <c r="J559" s="90">
        <v>157</v>
      </c>
      <c r="K559" s="90" t="s">
        <v>85</v>
      </c>
      <c r="L559" s="90" t="s">
        <v>1500</v>
      </c>
      <c r="M559" s="90" t="s">
        <v>85</v>
      </c>
      <c r="N559" s="24" t="s">
        <v>1381</v>
      </c>
      <c r="O559" s="24" t="str">
        <f>IF(ISNUMBER(SEARCH("Cancer",N559)),"Cancer",IF(ISNUMBER(SEARCH("health",N559)),"Public health",IF(ISNUMBER(SEARCH("disabilities",N559)),"Disabilities","Other")))</f>
        <v>Other</v>
      </c>
      <c r="P559" s="126">
        <v>250280100</v>
      </c>
      <c r="Q559" s="90" t="s">
        <v>85</v>
      </c>
      <c r="R559" s="90" t="str">
        <f>IF(P559&gt;20000000,"B","A")</f>
        <v>B</v>
      </c>
      <c r="S559" s="90" t="s">
        <v>90</v>
      </c>
      <c r="T559" s="90">
        <v>2568747</v>
      </c>
      <c r="U559" s="90" t="s">
        <v>91</v>
      </c>
      <c r="V559" s="90" t="s">
        <v>85</v>
      </c>
      <c r="W559" s="90" t="s">
        <v>85</v>
      </c>
      <c r="X559" s="90" t="s">
        <v>87</v>
      </c>
      <c r="Y559" s="90" t="s">
        <v>85</v>
      </c>
      <c r="Z559" s="90" t="s">
        <v>87</v>
      </c>
      <c r="AA559" s="90" t="s">
        <v>85</v>
      </c>
      <c r="AB559" s="90" t="s">
        <v>85</v>
      </c>
      <c r="AC559" s="90" t="s">
        <v>85</v>
      </c>
      <c r="AD559" s="90">
        <v>0</v>
      </c>
      <c r="AE559" s="24">
        <v>0</v>
      </c>
      <c r="AF559" s="90">
        <v>0</v>
      </c>
      <c r="AG559" s="24">
        <v>0</v>
      </c>
      <c r="AH559" s="90">
        <v>89021</v>
      </c>
      <c r="AI559" s="24" t="s">
        <v>124</v>
      </c>
      <c r="AJ559" s="24" t="s">
        <v>1505</v>
      </c>
      <c r="AK559" s="90" t="s">
        <v>85</v>
      </c>
      <c r="AL559" s="90">
        <v>234203</v>
      </c>
      <c r="AM559" s="90" t="s">
        <v>81</v>
      </c>
      <c r="AN559" s="90" t="s">
        <v>1498</v>
      </c>
      <c r="AO559" s="125" t="s">
        <v>784</v>
      </c>
      <c r="AP559" s="24" t="s">
        <v>1381</v>
      </c>
      <c r="AQ559" s="90" t="s">
        <v>1500</v>
      </c>
      <c r="AR559" s="24" t="s">
        <v>1381</v>
      </c>
      <c r="AS559" s="90">
        <v>2568747</v>
      </c>
      <c r="AT559" s="24" t="s">
        <v>124</v>
      </c>
      <c r="AU559" s="90" t="s">
        <v>85</v>
      </c>
      <c r="AV559" s="90" t="str">
        <f>IF(ISNUMBER(SEARCH("disagree",AE559)),"N","Y")</f>
        <v>Y</v>
      </c>
      <c r="AW559" s="90">
        <v>67582</v>
      </c>
      <c r="AX559" s="24" t="s">
        <v>811</v>
      </c>
      <c r="AY559" s="90" t="str">
        <f>CONCATENATE(AZ559,BA559,BB559,BC559)</f>
        <v>S</v>
      </c>
      <c r="AZ559" s="90" t="str">
        <f>IF(ISNUMBER(SEARCH("Y",AC559)),"R","")</f>
        <v/>
      </c>
      <c r="BA559" s="90" t="str">
        <f>IF(ISNUMBER(SEARCH("Y",Y559)),"M","")</f>
        <v/>
      </c>
      <c r="BB559" s="90" t="str">
        <f>IF(ISNUMBER(SEARCH("Y",AB559)),"QC","")</f>
        <v/>
      </c>
      <c r="BC559" s="90" t="str">
        <f>IF(ISNUMBER(SEARCH("Y",Z559)),"S","")</f>
        <v>S</v>
      </c>
      <c r="BD559" s="90"/>
      <c r="BE559" s="24" t="s">
        <v>812</v>
      </c>
      <c r="BF559" s="125" t="str">
        <f>IF(AND(AW559&gt;=56543,AW559&lt;=76543,LEN(AW559)&gt;0),"3 Feb 2020",IF(AND(AW559&gt;=66544,AW559&lt;=99999,LEN(AW559)&gt;0),"12 Sep 2020",""))</f>
        <v>3 Feb 2020</v>
      </c>
      <c r="BG559" s="125" t="str">
        <f>IF((AND(BF559="3 Feb 2020",LEN(BF559)&gt;0)),"Completed",IF((AND(BF559="12 Sep 2020",LEN(BF559)&gt;0)),"Pending",""))</f>
        <v>Completed</v>
      </c>
      <c r="BH559" s="90" t="str">
        <f>IF((AND(BF559="3 Feb 2020",LEN(BF559)&gt;0)),"3 Feb 2020","")</f>
        <v>3 Feb 2020</v>
      </c>
      <c r="BI559" s="90">
        <v>234203</v>
      </c>
      <c r="BJ559" s="90" t="str">
        <f>L559</f>
        <v>6D55GT844554-36</v>
      </c>
      <c r="BK559" s="127">
        <v>43508</v>
      </c>
      <c r="BL559" s="127">
        <v>44239</v>
      </c>
      <c r="BM559" s="128">
        <f>P559*1.1</f>
        <v>275308110</v>
      </c>
      <c r="BN559" s="129">
        <f>P559*0.9</f>
        <v>225252090</v>
      </c>
      <c r="BO559" s="130">
        <f>P559*0.8</f>
        <v>200224080</v>
      </c>
      <c r="BP559" s="90">
        <f>IF(Z559="Y",BM559*0.4,BM559*1.05)</f>
        <v>110123244</v>
      </c>
      <c r="BQ559" s="90">
        <f>BP559*0.8</f>
        <v>88098595.200000003</v>
      </c>
      <c r="BR559" s="90" t="str">
        <f>IF(ISNUMBER(SEARCH("subrecipient",AI555)),P559*0.6,"")</f>
        <v/>
      </c>
      <c r="BS559" s="90">
        <v>234203</v>
      </c>
      <c r="BT559" s="90" t="str">
        <f>BJ559</f>
        <v>6D55GT844554-36</v>
      </c>
      <c r="BU559" s="127">
        <f>BK559</f>
        <v>43508</v>
      </c>
      <c r="BV559" s="127">
        <f>BL559</f>
        <v>44239</v>
      </c>
      <c r="BW559" s="90" t="str">
        <f>H559</f>
        <v>CDC</v>
      </c>
      <c r="BX559" s="90" t="str">
        <f>IF(H559="NATIONAL HEMOPHILIA FOUNDATION","Non Federal","Federal")</f>
        <v>Federal</v>
      </c>
      <c r="BY559" s="128">
        <f>BM559</f>
        <v>275308110</v>
      </c>
      <c r="BZ559" s="90" t="str">
        <f>IF(LEN(BR559)&gt;0,1,"")</f>
        <v/>
      </c>
      <c r="CA559" s="90" t="str">
        <f>IF(LEN(BR559)&gt;0,"VIRAL HEPATITIS PROJECT","")</f>
        <v/>
      </c>
      <c r="CB559" s="129" t="str">
        <f>IF(LEN(BR559)&gt;0,BM559*0.7,"")</f>
        <v/>
      </c>
      <c r="CC559" s="90">
        <f>BP559</f>
        <v>110123244</v>
      </c>
      <c r="CD559" s="90" t="str">
        <f>IF(LEN(BR559)&gt;0,"70%","")</f>
        <v/>
      </c>
      <c r="CE559" s="90">
        <f>BS559</f>
        <v>234203</v>
      </c>
      <c r="CF559" s="90" t="str">
        <f>CA559</f>
        <v/>
      </c>
      <c r="CG559" s="90"/>
      <c r="CH559" s="90"/>
      <c r="CI559" s="90"/>
      <c r="CJ559" s="90"/>
      <c r="CK559" s="90"/>
      <c r="CL559" s="90"/>
      <c r="CM559" s="90"/>
      <c r="CN559" s="90"/>
      <c r="CO559" s="90"/>
      <c r="CP559" s="90"/>
      <c r="CQ559" s="90"/>
      <c r="CR559" s="90"/>
      <c r="CS559" s="90"/>
      <c r="CT559" s="137"/>
    </row>
    <row r="560" spans="1:98" ht="105">
      <c r="A560" s="89">
        <v>234417</v>
      </c>
      <c r="B560" s="90">
        <v>2020</v>
      </c>
      <c r="C560" s="90" t="s">
        <v>81</v>
      </c>
      <c r="D560" s="90" t="s">
        <v>1506</v>
      </c>
      <c r="E560" s="125" t="s">
        <v>790</v>
      </c>
      <c r="F560" s="24" t="s">
        <v>1507</v>
      </c>
      <c r="G560" s="90" t="s">
        <v>85</v>
      </c>
      <c r="H560" s="90" t="s">
        <v>117</v>
      </c>
      <c r="I560" s="90">
        <v>93</v>
      </c>
      <c r="J560" s="90">
        <v>157</v>
      </c>
      <c r="K560" s="90" t="s">
        <v>85</v>
      </c>
      <c r="L560" s="90" t="s">
        <v>1508</v>
      </c>
      <c r="M560" s="90" t="s">
        <v>119</v>
      </c>
      <c r="N560" s="24" t="s">
        <v>1509</v>
      </c>
      <c r="O560" s="24" t="str">
        <f>IF(ISNUMBER(SEARCH("Cancer",N560)),"Cancer",IF(ISNUMBER(SEARCH("health",N560)),"Public health",IF(ISNUMBER(SEARCH("disabilities",N560)),"Disabilities","Other")))</f>
        <v>Other</v>
      </c>
      <c r="P560" s="126">
        <v>2274331</v>
      </c>
      <c r="Q560" s="90" t="s">
        <v>85</v>
      </c>
      <c r="R560" s="90" t="str">
        <f>IF(P560&gt;20000000,"B","A")</f>
        <v>A</v>
      </c>
      <c r="S560" s="90" t="s">
        <v>90</v>
      </c>
      <c r="T560" s="90" t="s">
        <v>119</v>
      </c>
      <c r="U560" s="90" t="s">
        <v>119</v>
      </c>
      <c r="V560" s="90" t="s">
        <v>119</v>
      </c>
      <c r="W560" s="90" t="s">
        <v>119</v>
      </c>
      <c r="X560" s="90" t="s">
        <v>119</v>
      </c>
      <c r="Y560" s="90" t="s">
        <v>119</v>
      </c>
      <c r="Z560" s="90" t="s">
        <v>119</v>
      </c>
      <c r="AA560" s="90" t="s">
        <v>119</v>
      </c>
      <c r="AB560" s="90" t="s">
        <v>119</v>
      </c>
      <c r="AC560" s="90" t="s">
        <v>119</v>
      </c>
      <c r="AD560" s="90" t="s">
        <v>119</v>
      </c>
      <c r="AE560" s="24">
        <v>0</v>
      </c>
      <c r="AF560" s="90">
        <v>0</v>
      </c>
      <c r="AG560" s="24">
        <v>0</v>
      </c>
      <c r="AH560" s="90">
        <v>89462</v>
      </c>
      <c r="AI560" s="24" t="s">
        <v>94</v>
      </c>
      <c r="AJ560" s="24" t="s">
        <v>95</v>
      </c>
      <c r="AK560" s="90" t="s">
        <v>85</v>
      </c>
      <c r="AL560" s="90">
        <v>234417</v>
      </c>
      <c r="AM560" s="90" t="s">
        <v>81</v>
      </c>
      <c r="AN560" s="90" t="s">
        <v>1506</v>
      </c>
      <c r="AO560" s="125" t="s">
        <v>790</v>
      </c>
      <c r="AP560" s="24" t="s">
        <v>1509</v>
      </c>
      <c r="AQ560" s="90" t="s">
        <v>1508</v>
      </c>
      <c r="AR560" s="24" t="s">
        <v>1509</v>
      </c>
      <c r="AS560" s="90" t="s">
        <v>119</v>
      </c>
      <c r="AT560" s="24" t="s">
        <v>94</v>
      </c>
      <c r="AU560" s="90" t="s">
        <v>119</v>
      </c>
      <c r="AV560" s="90" t="str">
        <f>IF(ISNUMBER(SEARCH("disagree",AE560)),"N","Y")</f>
        <v>Y</v>
      </c>
      <c r="AW560" s="90" t="s">
        <v>119</v>
      </c>
      <c r="AX560" s="24" t="s">
        <v>119</v>
      </c>
      <c r="AY560" s="90" t="str">
        <f>CONCATENATE(AZ560,BA560,BB560,BC560)</f>
        <v/>
      </c>
      <c r="AZ560" s="90" t="str">
        <f>IF(ISNUMBER(SEARCH("Y",AC560)),"R","")</f>
        <v/>
      </c>
      <c r="BA560" s="90" t="str">
        <f>IF(ISNUMBER(SEARCH("Y",Y560)),"M","")</f>
        <v/>
      </c>
      <c r="BB560" s="90" t="str">
        <f>IF(ISNUMBER(SEARCH("Y",AB560)),"QC","")</f>
        <v/>
      </c>
      <c r="BC560" s="90" t="str">
        <f>IF(ISNUMBER(SEARCH("Y",Z560)),"S","")</f>
        <v/>
      </c>
      <c r="BD560" s="90"/>
      <c r="BE560" s="24" t="s">
        <v>119</v>
      </c>
      <c r="BF560" s="125" t="str">
        <f>IF(AND(AW560&gt;=56543,AW560&lt;=76543,LEN(AW560)&gt;0),"3 Feb 2020",IF(AND(AW560&gt;=66544,AW560&lt;=99999,LEN(AW560)&gt;0),"12 Sep 2020",""))</f>
        <v/>
      </c>
      <c r="BG560" s="125" t="str">
        <f>IF((AND(BF560="3 Feb 2020",LEN(BF560)&gt;0)),"Completed",IF((AND(BF560="12 Sep 2020",LEN(BF560)&gt;0)),"Pending",""))</f>
        <v/>
      </c>
      <c r="BH560" s="90" t="str">
        <f>IF((AND(BF560="3 Feb 2020",LEN(BF560)&gt;0)),"3 Feb 2020","")</f>
        <v/>
      </c>
      <c r="BI560" s="90">
        <v>234417</v>
      </c>
      <c r="BJ560" s="90" t="str">
        <f>L560</f>
        <v>1D81DT842266-85</v>
      </c>
      <c r="BK560" s="127">
        <v>43508</v>
      </c>
      <c r="BL560" s="127">
        <v>44239</v>
      </c>
      <c r="BM560" s="128">
        <f>P560*1.1</f>
        <v>2501764.1</v>
      </c>
      <c r="BN560" s="129">
        <f>P560*0.9</f>
        <v>2046897.9000000001</v>
      </c>
      <c r="BO560" s="130">
        <f>P560*0.8</f>
        <v>1819464.8</v>
      </c>
      <c r="BP560" s="90">
        <f>IF(Z560="Y",BM560*0.4,BM560*1.05)</f>
        <v>2626852.3050000002</v>
      </c>
      <c r="BQ560" s="90">
        <f>BP560*0.8</f>
        <v>2101481.844</v>
      </c>
      <c r="BR560" s="90" t="str">
        <f>IF(ISNUMBER(SEARCH("subrecipient",AI556)),P560*0.6,"")</f>
        <v/>
      </c>
      <c r="BS560" s="90">
        <v>234417</v>
      </c>
      <c r="BT560" s="90" t="str">
        <f>BJ560</f>
        <v>1D81DT842266-85</v>
      </c>
      <c r="BU560" s="127">
        <f>BK560</f>
        <v>43508</v>
      </c>
      <c r="BV560" s="127">
        <f>BL560</f>
        <v>44239</v>
      </c>
      <c r="BW560" s="90" t="str">
        <f>H560</f>
        <v>NIH</v>
      </c>
      <c r="BX560" s="90" t="str">
        <f>IF(H560="NATIONAL HEMOPHILIA FOUNDATION","Non Federal","Federal")</f>
        <v>Federal</v>
      </c>
      <c r="BY560" s="128">
        <f>BM560</f>
        <v>2501764.1</v>
      </c>
      <c r="BZ560" s="90" t="str">
        <f>IF(LEN(BR560)&gt;0,1,"")</f>
        <v/>
      </c>
      <c r="CA560" s="90" t="str">
        <f>IF(LEN(BR560)&gt;0,"VIRAL HEPATITIS PROJECT","")</f>
        <v/>
      </c>
      <c r="CB560" s="129" t="str">
        <f>IF(LEN(BR560)&gt;0,BM560*0.7,"")</f>
        <v/>
      </c>
      <c r="CC560" s="90">
        <f>BP560</f>
        <v>2626852.3050000002</v>
      </c>
      <c r="CD560" s="90" t="str">
        <f>IF(LEN(BR560)&gt;0,"70%","")</f>
        <v/>
      </c>
      <c r="CE560" s="90">
        <f>BS560</f>
        <v>234417</v>
      </c>
      <c r="CF560" s="90" t="str">
        <f>CA560</f>
        <v/>
      </c>
      <c r="CG560" s="90"/>
      <c r="CH560" s="90"/>
      <c r="CI560" s="90"/>
      <c r="CJ560" s="90"/>
      <c r="CK560" s="90"/>
      <c r="CL560" s="90"/>
      <c r="CM560" s="90"/>
      <c r="CN560" s="90"/>
      <c r="CO560" s="90"/>
      <c r="CP560" s="90"/>
      <c r="CQ560" s="90"/>
      <c r="CR560" s="90"/>
      <c r="CS560" s="90"/>
      <c r="CT560" s="137"/>
    </row>
    <row r="561" spans="1:98" ht="105">
      <c r="A561" s="89">
        <v>234417</v>
      </c>
      <c r="B561" s="90">
        <v>2020</v>
      </c>
      <c r="C561" s="90" t="s">
        <v>81</v>
      </c>
      <c r="D561" s="90" t="s">
        <v>1506</v>
      </c>
      <c r="E561" s="125" t="s">
        <v>791</v>
      </c>
      <c r="F561" s="24" t="s">
        <v>1507</v>
      </c>
      <c r="G561" s="90" t="s">
        <v>85</v>
      </c>
      <c r="H561" s="90" t="s">
        <v>117</v>
      </c>
      <c r="I561" s="90">
        <v>93</v>
      </c>
      <c r="J561" s="90">
        <v>157</v>
      </c>
      <c r="K561" s="90" t="s">
        <v>85</v>
      </c>
      <c r="L561" s="90" t="s">
        <v>1508</v>
      </c>
      <c r="M561" s="90" t="s">
        <v>119</v>
      </c>
      <c r="N561" s="24" t="s">
        <v>1509</v>
      </c>
      <c r="O561" s="24" t="str">
        <f>IF(ISNUMBER(SEARCH("Cancer",N561)),"Cancer",IF(ISNUMBER(SEARCH("health",N561)),"Public health",IF(ISNUMBER(SEARCH("disabilities",N561)),"Disabilities","Other")))</f>
        <v>Other</v>
      </c>
      <c r="P561" s="126">
        <v>2274331</v>
      </c>
      <c r="Q561" s="90" t="s">
        <v>85</v>
      </c>
      <c r="R561" s="90" t="str">
        <f>IF(P561&gt;20000000,"B","A")</f>
        <v>A</v>
      </c>
      <c r="S561" s="90" t="s">
        <v>90</v>
      </c>
      <c r="T561" s="90" t="s">
        <v>119</v>
      </c>
      <c r="U561" s="90" t="s">
        <v>119</v>
      </c>
      <c r="V561" s="90" t="s">
        <v>119</v>
      </c>
      <c r="W561" s="90" t="s">
        <v>119</v>
      </c>
      <c r="X561" s="90" t="s">
        <v>119</v>
      </c>
      <c r="Y561" s="90" t="s">
        <v>119</v>
      </c>
      <c r="Z561" s="90" t="s">
        <v>119</v>
      </c>
      <c r="AA561" s="90" t="s">
        <v>119</v>
      </c>
      <c r="AB561" s="90" t="s">
        <v>119</v>
      </c>
      <c r="AC561" s="90" t="s">
        <v>119</v>
      </c>
      <c r="AD561" s="90" t="s">
        <v>119</v>
      </c>
      <c r="AE561" s="24">
        <v>0</v>
      </c>
      <c r="AF561" s="90">
        <v>0</v>
      </c>
      <c r="AG561" s="24">
        <v>0</v>
      </c>
      <c r="AH561" s="90">
        <v>89460</v>
      </c>
      <c r="AI561" s="24" t="s">
        <v>102</v>
      </c>
      <c r="AJ561" s="24" t="s">
        <v>103</v>
      </c>
      <c r="AK561" s="90" t="s">
        <v>85</v>
      </c>
      <c r="AL561" s="90">
        <v>234417</v>
      </c>
      <c r="AM561" s="90" t="s">
        <v>81</v>
      </c>
      <c r="AN561" s="90" t="s">
        <v>1506</v>
      </c>
      <c r="AO561" s="125" t="s">
        <v>791</v>
      </c>
      <c r="AP561" s="24" t="s">
        <v>1509</v>
      </c>
      <c r="AQ561" s="90" t="s">
        <v>1508</v>
      </c>
      <c r="AR561" s="24" t="s">
        <v>1509</v>
      </c>
      <c r="AS561" s="90" t="s">
        <v>119</v>
      </c>
      <c r="AT561" s="24" t="s">
        <v>102</v>
      </c>
      <c r="AU561" s="90" t="s">
        <v>119</v>
      </c>
      <c r="AV561" s="90" t="str">
        <f>IF(ISNUMBER(SEARCH("disagree",AE561)),"N","Y")</f>
        <v>Y</v>
      </c>
      <c r="AW561" s="90" t="s">
        <v>119</v>
      </c>
      <c r="AX561" s="24" t="s">
        <v>119</v>
      </c>
      <c r="AY561" s="90" t="str">
        <f>CONCATENATE(AZ561,BA561,BB561,BC561)</f>
        <v/>
      </c>
      <c r="AZ561" s="90" t="str">
        <f>IF(ISNUMBER(SEARCH("Y",AC561)),"R","")</f>
        <v/>
      </c>
      <c r="BA561" s="90" t="str">
        <f>IF(ISNUMBER(SEARCH("Y",Y561)),"M","")</f>
        <v/>
      </c>
      <c r="BB561" s="90" t="str">
        <f>IF(ISNUMBER(SEARCH("Y",AB561)),"QC","")</f>
        <v/>
      </c>
      <c r="BC561" s="90" t="str">
        <f>IF(ISNUMBER(SEARCH("Y",Z561)),"S","")</f>
        <v/>
      </c>
      <c r="BD561" s="90"/>
      <c r="BE561" s="24" t="s">
        <v>119</v>
      </c>
      <c r="BF561" s="125" t="str">
        <f>IF(AND(AW561&gt;=56543,AW561&lt;=76543,LEN(AW561)&gt;0),"3 Feb 2020",IF(AND(AW561&gt;=66544,AW561&lt;=99999,LEN(AW561)&gt;0),"12 Sep 2020",""))</f>
        <v/>
      </c>
      <c r="BG561" s="125" t="str">
        <f>IF((AND(BF561="3 Feb 2020",LEN(BF561)&gt;0)),"Completed",IF((AND(BF561="12 Sep 2020",LEN(BF561)&gt;0)),"Pending",""))</f>
        <v/>
      </c>
      <c r="BH561" s="90" t="str">
        <f>IF((AND(BF561="3 Feb 2020",LEN(BF561)&gt;0)),"3 Feb 2020","")</f>
        <v/>
      </c>
      <c r="BI561" s="90">
        <v>234417</v>
      </c>
      <c r="BJ561" s="90" t="str">
        <f>L561</f>
        <v>1D81DT842266-85</v>
      </c>
      <c r="BK561" s="127">
        <v>43508</v>
      </c>
      <c r="BL561" s="127">
        <v>44239</v>
      </c>
      <c r="BM561" s="128">
        <f>P561*1.1</f>
        <v>2501764.1</v>
      </c>
      <c r="BN561" s="129">
        <f>P561*0.9</f>
        <v>2046897.9000000001</v>
      </c>
      <c r="BO561" s="130">
        <f>P561*0.8</f>
        <v>1819464.8</v>
      </c>
      <c r="BP561" s="90">
        <f>IF(Z561="Y",BM561*0.4,BM561*1.05)</f>
        <v>2626852.3050000002</v>
      </c>
      <c r="BQ561" s="90">
        <f>BP561*0.8</f>
        <v>2101481.844</v>
      </c>
      <c r="BR561" s="90" t="str">
        <f>IF(ISNUMBER(SEARCH("subrecipient",AI557)),P561*0.6,"")</f>
        <v/>
      </c>
      <c r="BS561" s="90">
        <v>234417</v>
      </c>
      <c r="BT561" s="90" t="str">
        <f>BJ561</f>
        <v>1D81DT842266-85</v>
      </c>
      <c r="BU561" s="127">
        <f>BK561</f>
        <v>43508</v>
      </c>
      <c r="BV561" s="127">
        <f>BL561</f>
        <v>44239</v>
      </c>
      <c r="BW561" s="90" t="str">
        <f>H561</f>
        <v>NIH</v>
      </c>
      <c r="BX561" s="90" t="str">
        <f>IF(H561="NATIONAL HEMOPHILIA FOUNDATION","Non Federal","Federal")</f>
        <v>Federal</v>
      </c>
      <c r="BY561" s="128">
        <f>BM561</f>
        <v>2501764.1</v>
      </c>
      <c r="BZ561" s="90" t="str">
        <f>IF(LEN(BR561)&gt;0,1,"")</f>
        <v/>
      </c>
      <c r="CA561" s="90" t="str">
        <f>IF(LEN(BR561)&gt;0,"VIRAL HEPATITIS PROJECT","")</f>
        <v/>
      </c>
      <c r="CB561" s="129" t="str">
        <f>IF(LEN(BR561)&gt;0,BM561*0.7,"")</f>
        <v/>
      </c>
      <c r="CC561" s="90">
        <f>BP561</f>
        <v>2626852.3050000002</v>
      </c>
      <c r="CD561" s="90" t="str">
        <f>IF(LEN(BR561)&gt;0,"70%","")</f>
        <v/>
      </c>
      <c r="CE561" s="90">
        <f>BS561</f>
        <v>234417</v>
      </c>
      <c r="CF561" s="90" t="str">
        <f>CA561</f>
        <v/>
      </c>
      <c r="CG561" s="90"/>
      <c r="CH561" s="90"/>
      <c r="CI561" s="90"/>
      <c r="CJ561" s="90"/>
      <c r="CK561" s="90"/>
      <c r="CL561" s="90"/>
      <c r="CM561" s="90"/>
      <c r="CN561" s="90"/>
      <c r="CO561" s="90"/>
      <c r="CP561" s="90"/>
      <c r="CQ561" s="90"/>
      <c r="CR561" s="90"/>
      <c r="CS561" s="90"/>
      <c r="CT561" s="137"/>
    </row>
    <row r="562" spans="1:98" ht="105">
      <c r="A562" s="89">
        <v>234417</v>
      </c>
      <c r="B562" s="90">
        <v>2020</v>
      </c>
      <c r="C562" s="90" t="s">
        <v>81</v>
      </c>
      <c r="D562" s="90" t="s">
        <v>1506</v>
      </c>
      <c r="E562" s="125" t="s">
        <v>793</v>
      </c>
      <c r="F562" s="24" t="s">
        <v>1507</v>
      </c>
      <c r="G562" s="90" t="s">
        <v>85</v>
      </c>
      <c r="H562" s="90" t="s">
        <v>117</v>
      </c>
      <c r="I562" s="90">
        <v>93</v>
      </c>
      <c r="J562" s="90">
        <v>157</v>
      </c>
      <c r="K562" s="90" t="s">
        <v>85</v>
      </c>
      <c r="L562" s="90" t="s">
        <v>1508</v>
      </c>
      <c r="M562" s="90" t="s">
        <v>119</v>
      </c>
      <c r="N562" s="24" t="s">
        <v>1509</v>
      </c>
      <c r="O562" s="24" t="str">
        <f>IF(ISNUMBER(SEARCH("Cancer",N562)),"Cancer",IF(ISNUMBER(SEARCH("health",N562)),"Public health",IF(ISNUMBER(SEARCH("disabilities",N562)),"Disabilities","Other")))</f>
        <v>Other</v>
      </c>
      <c r="P562" s="126">
        <v>2274331</v>
      </c>
      <c r="Q562" s="90" t="s">
        <v>85</v>
      </c>
      <c r="R562" s="90" t="str">
        <f>IF(P562&gt;20000000,"B","A")</f>
        <v>A</v>
      </c>
      <c r="S562" s="90" t="s">
        <v>90</v>
      </c>
      <c r="T562" s="90" t="s">
        <v>119</v>
      </c>
      <c r="U562" s="90" t="s">
        <v>119</v>
      </c>
      <c r="V562" s="90" t="s">
        <v>119</v>
      </c>
      <c r="W562" s="90" t="s">
        <v>119</v>
      </c>
      <c r="X562" s="90" t="s">
        <v>119</v>
      </c>
      <c r="Y562" s="90" t="s">
        <v>119</v>
      </c>
      <c r="Z562" s="90" t="s">
        <v>119</v>
      </c>
      <c r="AA562" s="90" t="s">
        <v>119</v>
      </c>
      <c r="AB562" s="90" t="s">
        <v>119</v>
      </c>
      <c r="AC562" s="90" t="s">
        <v>119</v>
      </c>
      <c r="AD562" s="90" t="s">
        <v>119</v>
      </c>
      <c r="AE562" s="24">
        <v>0</v>
      </c>
      <c r="AF562" s="90">
        <v>0</v>
      </c>
      <c r="AG562" s="24">
        <v>0</v>
      </c>
      <c r="AH562" s="90">
        <v>89461</v>
      </c>
      <c r="AI562" s="24" t="s">
        <v>110</v>
      </c>
      <c r="AJ562" s="24" t="s">
        <v>1510</v>
      </c>
      <c r="AK562" s="90" t="s">
        <v>85</v>
      </c>
      <c r="AL562" s="90">
        <v>234417</v>
      </c>
      <c r="AM562" s="90" t="s">
        <v>81</v>
      </c>
      <c r="AN562" s="90" t="s">
        <v>1506</v>
      </c>
      <c r="AO562" s="125" t="s">
        <v>793</v>
      </c>
      <c r="AP562" s="24" t="s">
        <v>1509</v>
      </c>
      <c r="AQ562" s="90" t="s">
        <v>1508</v>
      </c>
      <c r="AR562" s="24" t="s">
        <v>1509</v>
      </c>
      <c r="AS562" s="90" t="s">
        <v>119</v>
      </c>
      <c r="AT562" s="24" t="s">
        <v>110</v>
      </c>
      <c r="AU562" s="90" t="s">
        <v>119</v>
      </c>
      <c r="AV562" s="90" t="str">
        <f>IF(ISNUMBER(SEARCH("disagree",AE562)),"N","Y")</f>
        <v>Y</v>
      </c>
      <c r="AW562" s="90" t="s">
        <v>119</v>
      </c>
      <c r="AX562" s="24" t="s">
        <v>119</v>
      </c>
      <c r="AY562" s="90" t="str">
        <f>CONCATENATE(AZ562,BA562,BB562,BC562)</f>
        <v/>
      </c>
      <c r="AZ562" s="90" t="str">
        <f>IF(ISNUMBER(SEARCH("Y",AC562)),"R","")</f>
        <v/>
      </c>
      <c r="BA562" s="90" t="str">
        <f>IF(ISNUMBER(SEARCH("Y",Y562)),"M","")</f>
        <v/>
      </c>
      <c r="BB562" s="90" t="str">
        <f>IF(ISNUMBER(SEARCH("Y",AB562)),"QC","")</f>
        <v/>
      </c>
      <c r="BC562" s="90" t="str">
        <f>IF(ISNUMBER(SEARCH("Y",Z562)),"S","")</f>
        <v/>
      </c>
      <c r="BD562" s="90"/>
      <c r="BE562" s="24" t="s">
        <v>119</v>
      </c>
      <c r="BF562" s="125" t="str">
        <f>IF(AND(AW562&gt;=56543,AW562&lt;=76543,LEN(AW562)&gt;0),"3 Feb 2020",IF(AND(AW562&gt;=66544,AW562&lt;=99999,LEN(AW562)&gt;0),"12 Sep 2020",""))</f>
        <v/>
      </c>
      <c r="BG562" s="125" t="str">
        <f>IF((AND(BF562="3 Feb 2020",LEN(BF562)&gt;0)),"Completed",IF((AND(BF562="12 Sep 2020",LEN(BF562)&gt;0)),"Pending",""))</f>
        <v/>
      </c>
      <c r="BH562" s="90" t="str">
        <f>IF((AND(BF562="3 Feb 2020",LEN(BF562)&gt;0)),"3 Feb 2020","")</f>
        <v/>
      </c>
      <c r="BI562" s="90">
        <v>234417</v>
      </c>
      <c r="BJ562" s="90" t="str">
        <f>L562</f>
        <v>1D81DT842266-85</v>
      </c>
      <c r="BK562" s="127">
        <v>43508</v>
      </c>
      <c r="BL562" s="127">
        <v>44239</v>
      </c>
      <c r="BM562" s="128">
        <f>P562*1.1</f>
        <v>2501764.1</v>
      </c>
      <c r="BN562" s="129">
        <f>P562*0.9</f>
        <v>2046897.9000000001</v>
      </c>
      <c r="BO562" s="130">
        <f>P562*0.8</f>
        <v>1819464.8</v>
      </c>
      <c r="BP562" s="90">
        <f>IF(Z562="Y",BM562*0.4,BM562*1.05)</f>
        <v>2626852.3050000002</v>
      </c>
      <c r="BQ562" s="90">
        <f>BP562*0.8</f>
        <v>2101481.844</v>
      </c>
      <c r="BR562" s="90" t="str">
        <f>IF(ISNUMBER(SEARCH("subrecipient",AI558)),P562*0.6,"")</f>
        <v/>
      </c>
      <c r="BS562" s="90">
        <v>234417</v>
      </c>
      <c r="BT562" s="90" t="str">
        <f>BJ562</f>
        <v>1D81DT842266-85</v>
      </c>
      <c r="BU562" s="127">
        <f>BK562</f>
        <v>43508</v>
      </c>
      <c r="BV562" s="127">
        <f>BL562</f>
        <v>44239</v>
      </c>
      <c r="BW562" s="90" t="str">
        <f>H562</f>
        <v>NIH</v>
      </c>
      <c r="BX562" s="90" t="str">
        <f>IF(H562="NATIONAL HEMOPHILIA FOUNDATION","Non Federal","Federal")</f>
        <v>Federal</v>
      </c>
      <c r="BY562" s="128">
        <f>BM562</f>
        <v>2501764.1</v>
      </c>
      <c r="BZ562" s="90" t="str">
        <f>IF(LEN(BR562)&gt;0,1,"")</f>
        <v/>
      </c>
      <c r="CA562" s="90" t="str">
        <f>IF(LEN(BR562)&gt;0,"VIRAL HEPATITIS PROJECT","")</f>
        <v/>
      </c>
      <c r="CB562" s="129" t="str">
        <f>IF(LEN(BR562)&gt;0,BM562*0.7,"")</f>
        <v/>
      </c>
      <c r="CC562" s="90">
        <f>BP562</f>
        <v>2626852.3050000002</v>
      </c>
      <c r="CD562" s="90" t="str">
        <f>IF(LEN(BR562)&gt;0,"70%","")</f>
        <v/>
      </c>
      <c r="CE562" s="90">
        <f>BS562</f>
        <v>234417</v>
      </c>
      <c r="CF562" s="90" t="str">
        <f>CA562</f>
        <v/>
      </c>
      <c r="CG562" s="90"/>
      <c r="CH562" s="90"/>
      <c r="CI562" s="90"/>
      <c r="CJ562" s="90"/>
      <c r="CK562" s="90"/>
      <c r="CL562" s="90"/>
      <c r="CM562" s="90"/>
      <c r="CN562" s="90"/>
      <c r="CO562" s="90"/>
      <c r="CP562" s="90"/>
      <c r="CQ562" s="90"/>
      <c r="CR562" s="90"/>
      <c r="CS562" s="90"/>
      <c r="CT562" s="137"/>
    </row>
    <row r="563" spans="1:98" ht="90">
      <c r="A563" s="89">
        <v>236764</v>
      </c>
      <c r="B563" s="90">
        <v>2020</v>
      </c>
      <c r="C563" s="90" t="s">
        <v>81</v>
      </c>
      <c r="D563" s="90" t="s">
        <v>1511</v>
      </c>
      <c r="E563" s="125" t="s">
        <v>780</v>
      </c>
      <c r="F563" s="24" t="s">
        <v>1512</v>
      </c>
      <c r="G563" s="90" t="s">
        <v>85</v>
      </c>
      <c r="H563" s="90" t="s">
        <v>132</v>
      </c>
      <c r="I563" s="90">
        <v>93</v>
      </c>
      <c r="J563" s="90">
        <v>157</v>
      </c>
      <c r="K563" s="90" t="s">
        <v>85</v>
      </c>
      <c r="L563" s="90" t="s">
        <v>1513</v>
      </c>
      <c r="M563" s="90" t="s">
        <v>119</v>
      </c>
      <c r="N563" s="24" t="s">
        <v>1371</v>
      </c>
      <c r="O563" s="24" t="str">
        <f>IF(ISNUMBER(SEARCH("Cancer",N563)),"Cancer",IF(ISNUMBER(SEARCH("health",N563)),"Public health",IF(ISNUMBER(SEARCH("disabilities",N563)),"Disabilities","Other")))</f>
        <v>Other</v>
      </c>
      <c r="P563" s="126">
        <v>2087530</v>
      </c>
      <c r="Q563" s="90" t="s">
        <v>85</v>
      </c>
      <c r="R563" s="90" t="str">
        <f>IF(P563&gt;20000000,"B","A")</f>
        <v>A</v>
      </c>
      <c r="S563" s="90" t="s">
        <v>90</v>
      </c>
      <c r="T563" s="90" t="s">
        <v>119</v>
      </c>
      <c r="U563" s="90" t="s">
        <v>119</v>
      </c>
      <c r="V563" s="90" t="s">
        <v>119</v>
      </c>
      <c r="W563" s="90" t="s">
        <v>119</v>
      </c>
      <c r="X563" s="90" t="s">
        <v>119</v>
      </c>
      <c r="Y563" s="90" t="s">
        <v>119</v>
      </c>
      <c r="Z563" s="90" t="s">
        <v>119</v>
      </c>
      <c r="AA563" s="90" t="s">
        <v>119</v>
      </c>
      <c r="AB563" s="90" t="s">
        <v>119</v>
      </c>
      <c r="AC563" s="90" t="s">
        <v>119</v>
      </c>
      <c r="AD563" s="90" t="s">
        <v>119</v>
      </c>
      <c r="AE563" s="24">
        <v>0</v>
      </c>
      <c r="AF563" s="90">
        <v>0</v>
      </c>
      <c r="AG563" s="24">
        <v>0</v>
      </c>
      <c r="AH563" s="90">
        <v>88247</v>
      </c>
      <c r="AI563" s="24" t="s">
        <v>94</v>
      </c>
      <c r="AJ563" s="24" t="s">
        <v>95</v>
      </c>
      <c r="AK563" s="90" t="s">
        <v>85</v>
      </c>
      <c r="AL563" s="90">
        <v>236764</v>
      </c>
      <c r="AM563" s="90" t="s">
        <v>81</v>
      </c>
      <c r="AN563" s="90" t="s">
        <v>1511</v>
      </c>
      <c r="AO563" s="125" t="s">
        <v>780</v>
      </c>
      <c r="AP563" s="24" t="s">
        <v>1371</v>
      </c>
      <c r="AQ563" s="90" t="s">
        <v>1513</v>
      </c>
      <c r="AR563" s="24" t="s">
        <v>1371</v>
      </c>
      <c r="AS563" s="90" t="s">
        <v>119</v>
      </c>
      <c r="AT563" s="24" t="s">
        <v>94</v>
      </c>
      <c r="AU563" s="90" t="s">
        <v>119</v>
      </c>
      <c r="AV563" s="90" t="str">
        <f>IF(ISNUMBER(SEARCH("disagree",AE563)),"N","Y")</f>
        <v>Y</v>
      </c>
      <c r="AW563" s="90" t="s">
        <v>119</v>
      </c>
      <c r="AX563" s="24" t="s">
        <v>119</v>
      </c>
      <c r="AY563" s="90" t="str">
        <f>CONCATENATE(AZ563,BA563,BB563,BC563)</f>
        <v/>
      </c>
      <c r="AZ563" s="90" t="str">
        <f>IF(ISNUMBER(SEARCH("Y",AC563)),"R","")</f>
        <v/>
      </c>
      <c r="BA563" s="90" t="str">
        <f>IF(ISNUMBER(SEARCH("Y",Y563)),"M","")</f>
        <v/>
      </c>
      <c r="BB563" s="90" t="str">
        <f>IF(ISNUMBER(SEARCH("Y",AB563)),"QC","")</f>
        <v/>
      </c>
      <c r="BC563" s="90" t="str">
        <f>IF(ISNUMBER(SEARCH("Y",Z563)),"S","")</f>
        <v/>
      </c>
      <c r="BD563" s="90"/>
      <c r="BE563" s="24" t="s">
        <v>119</v>
      </c>
      <c r="BF563" s="125" t="str">
        <f>IF(AND(AW563&gt;=56543,AW563&lt;=76543,LEN(AW563)&gt;0),"3 Feb 2020",IF(AND(AW563&gt;=66544,AW563&lt;=99999,LEN(AW563)&gt;0),"12 Sep 2020",""))</f>
        <v/>
      </c>
      <c r="BG563" s="125" t="str">
        <f>IF((AND(BF563="3 Feb 2020",LEN(BF563)&gt;0)),"Completed",IF((AND(BF563="12 Sep 2020",LEN(BF563)&gt;0)),"Pending",""))</f>
        <v/>
      </c>
      <c r="BH563" s="90" t="str">
        <f>IF((AND(BF563="3 Feb 2020",LEN(BF563)&gt;0)),"3 Feb 2020","")</f>
        <v/>
      </c>
      <c r="BI563" s="90">
        <v>236764</v>
      </c>
      <c r="BJ563" s="90" t="str">
        <f>L563</f>
        <v>2C82BS842766-40</v>
      </c>
      <c r="BK563" s="127">
        <v>43508</v>
      </c>
      <c r="BL563" s="127">
        <v>44239</v>
      </c>
      <c r="BM563" s="128">
        <f>P563*1.1</f>
        <v>2296283</v>
      </c>
      <c r="BN563" s="129">
        <f>P563*0.9</f>
        <v>1878777</v>
      </c>
      <c r="BO563" s="130">
        <f>P563*0.8</f>
        <v>1670024</v>
      </c>
      <c r="BP563" s="90">
        <f>IF(Z563="Y",BM563*0.4,BM563*1.05)</f>
        <v>2411097.15</v>
      </c>
      <c r="BQ563" s="90">
        <f>BP563*0.8</f>
        <v>1928877.72</v>
      </c>
      <c r="BR563" s="90" t="str">
        <f>IF(ISNUMBER(SEARCH("subrecipient",AI559)),P563*0.6,"")</f>
        <v/>
      </c>
      <c r="BS563" s="90">
        <v>236764</v>
      </c>
      <c r="BT563" s="90" t="str">
        <f>BJ563</f>
        <v>2C82BS842766-40</v>
      </c>
      <c r="BU563" s="127">
        <f>BK563</f>
        <v>43508</v>
      </c>
      <c r="BV563" s="127">
        <f>BL563</f>
        <v>44239</v>
      </c>
      <c r="BW563" s="90" t="str">
        <f>H563</f>
        <v>FDA</v>
      </c>
      <c r="BX563" s="90" t="str">
        <f>IF(H563="NATIONAL HEMOPHILIA FOUNDATION","Non Federal","Federal")</f>
        <v>Federal</v>
      </c>
      <c r="BY563" s="128">
        <f>BM563</f>
        <v>2296283</v>
      </c>
      <c r="BZ563" s="90" t="str">
        <f>IF(LEN(BR563)&gt;0,1,"")</f>
        <v/>
      </c>
      <c r="CA563" s="90" t="str">
        <f>IF(LEN(BR563)&gt;0,"VIRAL HEPATITIS PROJECT","")</f>
        <v/>
      </c>
      <c r="CB563" s="129" t="str">
        <f>IF(LEN(BR563)&gt;0,BM563*0.7,"")</f>
        <v/>
      </c>
      <c r="CC563" s="90">
        <f>BP563</f>
        <v>2411097.15</v>
      </c>
      <c r="CD563" s="90" t="str">
        <f>IF(LEN(BR563)&gt;0,"70%","")</f>
        <v/>
      </c>
      <c r="CE563" s="90">
        <f>BS563</f>
        <v>236764</v>
      </c>
      <c r="CF563" s="90" t="str">
        <f>CA563</f>
        <v/>
      </c>
      <c r="CG563" s="90"/>
      <c r="CH563" s="90"/>
      <c r="CI563" s="90"/>
      <c r="CJ563" s="90"/>
      <c r="CK563" s="90"/>
      <c r="CL563" s="90"/>
      <c r="CM563" s="90"/>
      <c r="CN563" s="90"/>
      <c r="CO563" s="90"/>
      <c r="CP563" s="90"/>
      <c r="CQ563" s="90"/>
      <c r="CR563" s="90"/>
      <c r="CS563" s="90"/>
      <c r="CT563" s="137"/>
    </row>
    <row r="564" spans="1:98" ht="90">
      <c r="A564" s="89">
        <v>236764</v>
      </c>
      <c r="B564" s="90">
        <v>2020</v>
      </c>
      <c r="C564" s="90" t="s">
        <v>81</v>
      </c>
      <c r="D564" s="90" t="s">
        <v>1511</v>
      </c>
      <c r="E564" s="125" t="s">
        <v>781</v>
      </c>
      <c r="F564" s="24" t="s">
        <v>1512</v>
      </c>
      <c r="G564" s="90" t="s">
        <v>85</v>
      </c>
      <c r="H564" s="90" t="s">
        <v>132</v>
      </c>
      <c r="I564" s="90">
        <v>93</v>
      </c>
      <c r="J564" s="90">
        <v>157</v>
      </c>
      <c r="K564" s="90" t="s">
        <v>85</v>
      </c>
      <c r="L564" s="90" t="s">
        <v>1513</v>
      </c>
      <c r="M564" s="90" t="s">
        <v>119</v>
      </c>
      <c r="N564" s="24" t="s">
        <v>1371</v>
      </c>
      <c r="O564" s="24" t="str">
        <f>IF(ISNUMBER(SEARCH("Cancer",N564)),"Cancer",IF(ISNUMBER(SEARCH("health",N564)),"Public health",IF(ISNUMBER(SEARCH("disabilities",N564)),"Disabilities","Other")))</f>
        <v>Other</v>
      </c>
      <c r="P564" s="126">
        <v>2087530</v>
      </c>
      <c r="Q564" s="90" t="s">
        <v>85</v>
      </c>
      <c r="R564" s="90" t="str">
        <f>IF(P564&gt;20000000,"B","A")</f>
        <v>A</v>
      </c>
      <c r="S564" s="90" t="s">
        <v>90</v>
      </c>
      <c r="T564" s="90" t="s">
        <v>119</v>
      </c>
      <c r="U564" s="90" t="s">
        <v>119</v>
      </c>
      <c r="V564" s="90" t="s">
        <v>119</v>
      </c>
      <c r="W564" s="90" t="s">
        <v>119</v>
      </c>
      <c r="X564" s="90" t="s">
        <v>119</v>
      </c>
      <c r="Y564" s="90" t="s">
        <v>119</v>
      </c>
      <c r="Z564" s="90" t="s">
        <v>119</v>
      </c>
      <c r="AA564" s="90" t="s">
        <v>119</v>
      </c>
      <c r="AB564" s="90" t="s">
        <v>119</v>
      </c>
      <c r="AC564" s="90" t="s">
        <v>119</v>
      </c>
      <c r="AD564" s="90" t="s">
        <v>119</v>
      </c>
      <c r="AE564" s="24">
        <v>0</v>
      </c>
      <c r="AF564" s="90">
        <v>0</v>
      </c>
      <c r="AG564" s="24">
        <v>0</v>
      </c>
      <c r="AH564" s="90">
        <v>88249</v>
      </c>
      <c r="AI564" s="24" t="s">
        <v>102</v>
      </c>
      <c r="AJ564" s="24" t="s">
        <v>103</v>
      </c>
      <c r="AK564" s="90" t="s">
        <v>85</v>
      </c>
      <c r="AL564" s="90">
        <v>236764</v>
      </c>
      <c r="AM564" s="90" t="s">
        <v>81</v>
      </c>
      <c r="AN564" s="90" t="s">
        <v>1511</v>
      </c>
      <c r="AO564" s="125" t="s">
        <v>781</v>
      </c>
      <c r="AP564" s="24" t="s">
        <v>1371</v>
      </c>
      <c r="AQ564" s="90" t="s">
        <v>1513</v>
      </c>
      <c r="AR564" s="24" t="s">
        <v>1371</v>
      </c>
      <c r="AS564" s="90" t="s">
        <v>119</v>
      </c>
      <c r="AT564" s="24" t="s">
        <v>102</v>
      </c>
      <c r="AU564" s="90" t="s">
        <v>119</v>
      </c>
      <c r="AV564" s="90" t="str">
        <f>IF(ISNUMBER(SEARCH("disagree",AE564)),"N","Y")</f>
        <v>Y</v>
      </c>
      <c r="AW564" s="90" t="s">
        <v>119</v>
      </c>
      <c r="AX564" s="24" t="s">
        <v>119</v>
      </c>
      <c r="AY564" s="90" t="str">
        <f>CONCATENATE(AZ564,BA564,BB564,BC564)</f>
        <v/>
      </c>
      <c r="AZ564" s="90" t="str">
        <f>IF(ISNUMBER(SEARCH("Y",AC564)),"R","")</f>
        <v/>
      </c>
      <c r="BA564" s="90" t="str">
        <f>IF(ISNUMBER(SEARCH("Y",Y564)),"M","")</f>
        <v/>
      </c>
      <c r="BB564" s="90" t="str">
        <f>IF(ISNUMBER(SEARCH("Y",AB564)),"QC","")</f>
        <v/>
      </c>
      <c r="BC564" s="90" t="str">
        <f>IF(ISNUMBER(SEARCH("Y",Z564)),"S","")</f>
        <v/>
      </c>
      <c r="BD564" s="90"/>
      <c r="BE564" s="24" t="s">
        <v>119</v>
      </c>
      <c r="BF564" s="125" t="str">
        <f>IF(AND(AW564&gt;=56543,AW564&lt;=76543,LEN(AW564)&gt;0),"3 Feb 2020",IF(AND(AW564&gt;=66544,AW564&lt;=99999,LEN(AW564)&gt;0),"12 Sep 2020",""))</f>
        <v/>
      </c>
      <c r="BG564" s="125" t="str">
        <f>IF((AND(BF564="3 Feb 2020",LEN(BF564)&gt;0)),"Completed",IF((AND(BF564="12 Sep 2020",LEN(BF564)&gt;0)),"Pending",""))</f>
        <v/>
      </c>
      <c r="BH564" s="90" t="str">
        <f>IF((AND(BF564="3 Feb 2020",LEN(BF564)&gt;0)),"3 Feb 2020","")</f>
        <v/>
      </c>
      <c r="BI564" s="90">
        <v>236764</v>
      </c>
      <c r="BJ564" s="90" t="str">
        <f>L564</f>
        <v>2C82BS842766-40</v>
      </c>
      <c r="BK564" s="127">
        <v>43508</v>
      </c>
      <c r="BL564" s="127">
        <v>44239</v>
      </c>
      <c r="BM564" s="128">
        <f>P564*1.1</f>
        <v>2296283</v>
      </c>
      <c r="BN564" s="129">
        <f>P564*0.9</f>
        <v>1878777</v>
      </c>
      <c r="BO564" s="130">
        <f>P564*0.8</f>
        <v>1670024</v>
      </c>
      <c r="BP564" s="90">
        <f>IF(Z564="Y",BM564*0.4,BM564*1.05)</f>
        <v>2411097.15</v>
      </c>
      <c r="BQ564" s="90">
        <f>BP564*0.8</f>
        <v>1928877.72</v>
      </c>
      <c r="BR564" s="90" t="str">
        <f>IF(ISNUMBER(SEARCH("subrecipient",AI560)),P564*0.6,"")</f>
        <v/>
      </c>
      <c r="BS564" s="90">
        <v>236764</v>
      </c>
      <c r="BT564" s="90" t="str">
        <f>BJ564</f>
        <v>2C82BS842766-40</v>
      </c>
      <c r="BU564" s="127">
        <f>BK564</f>
        <v>43508</v>
      </c>
      <c r="BV564" s="127">
        <f>BL564</f>
        <v>44239</v>
      </c>
      <c r="BW564" s="90" t="str">
        <f>H564</f>
        <v>FDA</v>
      </c>
      <c r="BX564" s="90" t="str">
        <f>IF(H564="NATIONAL HEMOPHILIA FOUNDATION","Non Federal","Federal")</f>
        <v>Federal</v>
      </c>
      <c r="BY564" s="128">
        <f>BM564</f>
        <v>2296283</v>
      </c>
      <c r="BZ564" s="90" t="str">
        <f>IF(LEN(BR564)&gt;0,1,"")</f>
        <v/>
      </c>
      <c r="CA564" s="90" t="str">
        <f>IF(LEN(BR564)&gt;0,"VIRAL HEPATITIS PROJECT","")</f>
        <v/>
      </c>
      <c r="CB564" s="129" t="str">
        <f>IF(LEN(BR564)&gt;0,BM564*0.7,"")</f>
        <v/>
      </c>
      <c r="CC564" s="90">
        <f>BP564</f>
        <v>2411097.15</v>
      </c>
      <c r="CD564" s="90" t="str">
        <f>IF(LEN(BR564)&gt;0,"70%","")</f>
        <v/>
      </c>
      <c r="CE564" s="90">
        <f>BS564</f>
        <v>236764</v>
      </c>
      <c r="CF564" s="90" t="str">
        <f>CA564</f>
        <v/>
      </c>
      <c r="CG564" s="90"/>
      <c r="CH564" s="90"/>
      <c r="CI564" s="90"/>
      <c r="CJ564" s="90"/>
      <c r="CK564" s="90"/>
      <c r="CL564" s="90"/>
      <c r="CM564" s="90"/>
      <c r="CN564" s="90"/>
      <c r="CO564" s="90"/>
      <c r="CP564" s="90"/>
      <c r="CQ564" s="90"/>
      <c r="CR564" s="90"/>
      <c r="CS564" s="90"/>
      <c r="CT564" s="137"/>
    </row>
    <row r="565" spans="1:98" ht="90">
      <c r="A565" s="89">
        <v>236764</v>
      </c>
      <c r="B565" s="90">
        <v>2020</v>
      </c>
      <c r="C565" s="90" t="s">
        <v>81</v>
      </c>
      <c r="D565" s="90" t="s">
        <v>1511</v>
      </c>
      <c r="E565" s="125" t="s">
        <v>784</v>
      </c>
      <c r="F565" s="24" t="s">
        <v>1512</v>
      </c>
      <c r="G565" s="90" t="s">
        <v>85</v>
      </c>
      <c r="H565" s="90" t="s">
        <v>132</v>
      </c>
      <c r="I565" s="90">
        <v>93</v>
      </c>
      <c r="J565" s="90">
        <v>157</v>
      </c>
      <c r="K565" s="90" t="s">
        <v>85</v>
      </c>
      <c r="L565" s="90" t="s">
        <v>1513</v>
      </c>
      <c r="M565" s="90" t="s">
        <v>119</v>
      </c>
      <c r="N565" s="24" t="s">
        <v>1371</v>
      </c>
      <c r="O565" s="24" t="str">
        <f>IF(ISNUMBER(SEARCH("Cancer",N565)),"Cancer",IF(ISNUMBER(SEARCH("health",N565)),"Public health",IF(ISNUMBER(SEARCH("disabilities",N565)),"Disabilities","Other")))</f>
        <v>Other</v>
      </c>
      <c r="P565" s="126">
        <v>2087530</v>
      </c>
      <c r="Q565" s="90" t="s">
        <v>85</v>
      </c>
      <c r="R565" s="90" t="str">
        <f>IF(P565&gt;20000000,"B","A")</f>
        <v>A</v>
      </c>
      <c r="S565" s="90" t="s">
        <v>90</v>
      </c>
      <c r="T565" s="90" t="s">
        <v>119</v>
      </c>
      <c r="U565" s="90" t="s">
        <v>119</v>
      </c>
      <c r="V565" s="90" t="s">
        <v>119</v>
      </c>
      <c r="W565" s="90" t="s">
        <v>119</v>
      </c>
      <c r="X565" s="90" t="s">
        <v>119</v>
      </c>
      <c r="Y565" s="90" t="s">
        <v>119</v>
      </c>
      <c r="Z565" s="90" t="s">
        <v>119</v>
      </c>
      <c r="AA565" s="90" t="s">
        <v>119</v>
      </c>
      <c r="AB565" s="90" t="s">
        <v>119</v>
      </c>
      <c r="AC565" s="90" t="s">
        <v>119</v>
      </c>
      <c r="AD565" s="90" t="s">
        <v>119</v>
      </c>
      <c r="AE565" s="24">
        <v>0</v>
      </c>
      <c r="AF565" s="90">
        <v>0</v>
      </c>
      <c r="AG565" s="24">
        <v>0</v>
      </c>
      <c r="AH565" s="90">
        <v>88248</v>
      </c>
      <c r="AI565" s="24" t="s">
        <v>110</v>
      </c>
      <c r="AJ565" s="24" t="s">
        <v>1514</v>
      </c>
      <c r="AK565" s="90" t="s">
        <v>85</v>
      </c>
      <c r="AL565" s="90">
        <v>236764</v>
      </c>
      <c r="AM565" s="90" t="s">
        <v>81</v>
      </c>
      <c r="AN565" s="90" t="s">
        <v>1511</v>
      </c>
      <c r="AO565" s="125" t="s">
        <v>784</v>
      </c>
      <c r="AP565" s="24" t="s">
        <v>1371</v>
      </c>
      <c r="AQ565" s="90" t="s">
        <v>1513</v>
      </c>
      <c r="AR565" s="24" t="s">
        <v>1371</v>
      </c>
      <c r="AS565" s="90" t="s">
        <v>119</v>
      </c>
      <c r="AT565" s="24" t="s">
        <v>110</v>
      </c>
      <c r="AU565" s="90" t="s">
        <v>119</v>
      </c>
      <c r="AV565" s="90" t="str">
        <f>IF(ISNUMBER(SEARCH("disagree",AE565)),"N","Y")</f>
        <v>Y</v>
      </c>
      <c r="AW565" s="90" t="s">
        <v>119</v>
      </c>
      <c r="AX565" s="24" t="s">
        <v>119</v>
      </c>
      <c r="AY565" s="90" t="str">
        <f>CONCATENATE(AZ565,BA565,BB565,BC565)</f>
        <v/>
      </c>
      <c r="AZ565" s="90" t="str">
        <f>IF(ISNUMBER(SEARCH("Y",AC565)),"R","")</f>
        <v/>
      </c>
      <c r="BA565" s="90" t="str">
        <f>IF(ISNUMBER(SEARCH("Y",Y565)),"M","")</f>
        <v/>
      </c>
      <c r="BB565" s="90" t="str">
        <f>IF(ISNUMBER(SEARCH("Y",AB565)),"QC","")</f>
        <v/>
      </c>
      <c r="BC565" s="90" t="str">
        <f>IF(ISNUMBER(SEARCH("Y",Z565)),"S","")</f>
        <v/>
      </c>
      <c r="BD565" s="90"/>
      <c r="BE565" s="24" t="s">
        <v>119</v>
      </c>
      <c r="BF565" s="125" t="str">
        <f>IF(AND(AW565&gt;=56543,AW565&lt;=76543,LEN(AW565)&gt;0),"3 Feb 2020",IF(AND(AW565&gt;=66544,AW565&lt;=99999,LEN(AW565)&gt;0),"12 Sep 2020",""))</f>
        <v/>
      </c>
      <c r="BG565" s="125" t="str">
        <f>IF((AND(BF565="3 Feb 2020",LEN(BF565)&gt;0)),"Completed",IF((AND(BF565="12 Sep 2020",LEN(BF565)&gt;0)),"Pending",""))</f>
        <v/>
      </c>
      <c r="BH565" s="90" t="str">
        <f>IF((AND(BF565="3 Feb 2020",LEN(BF565)&gt;0)),"3 Feb 2020","")</f>
        <v/>
      </c>
      <c r="BI565" s="90">
        <v>236764</v>
      </c>
      <c r="BJ565" s="90" t="str">
        <f>L565</f>
        <v>2C82BS842766-40</v>
      </c>
      <c r="BK565" s="127">
        <v>43508</v>
      </c>
      <c r="BL565" s="127">
        <v>44239</v>
      </c>
      <c r="BM565" s="128">
        <f>P565*1.1</f>
        <v>2296283</v>
      </c>
      <c r="BN565" s="129">
        <f>P565*0.9</f>
        <v>1878777</v>
      </c>
      <c r="BO565" s="130">
        <f>P565*0.8</f>
        <v>1670024</v>
      </c>
      <c r="BP565" s="90">
        <f>IF(Z565="Y",BM565*0.4,BM565*1.05)</f>
        <v>2411097.15</v>
      </c>
      <c r="BQ565" s="90">
        <f>BP565*0.8</f>
        <v>1928877.72</v>
      </c>
      <c r="BR565" s="90" t="str">
        <f>IF(ISNUMBER(SEARCH("subrecipient",AI561)),P565*0.6,"")</f>
        <v/>
      </c>
      <c r="BS565" s="90">
        <v>236764</v>
      </c>
      <c r="BT565" s="90" t="str">
        <f>BJ565</f>
        <v>2C82BS842766-40</v>
      </c>
      <c r="BU565" s="127">
        <f>BK565</f>
        <v>43508</v>
      </c>
      <c r="BV565" s="127">
        <f>BL565</f>
        <v>44239</v>
      </c>
      <c r="BW565" s="90" t="str">
        <f>H565</f>
        <v>FDA</v>
      </c>
      <c r="BX565" s="90" t="str">
        <f>IF(H565="NATIONAL HEMOPHILIA FOUNDATION","Non Federal","Federal")</f>
        <v>Federal</v>
      </c>
      <c r="BY565" s="128">
        <f>BM565</f>
        <v>2296283</v>
      </c>
      <c r="BZ565" s="90" t="str">
        <f>IF(LEN(BR565)&gt;0,1,"")</f>
        <v/>
      </c>
      <c r="CA565" s="90" t="str">
        <f>IF(LEN(BR565)&gt;0,"VIRAL HEPATITIS PROJECT","")</f>
        <v/>
      </c>
      <c r="CB565" s="129" t="str">
        <f>IF(LEN(BR565)&gt;0,BM565*0.7,"")</f>
        <v/>
      </c>
      <c r="CC565" s="90">
        <f>BP565</f>
        <v>2411097.15</v>
      </c>
      <c r="CD565" s="90" t="str">
        <f>IF(LEN(BR565)&gt;0,"70%","")</f>
        <v/>
      </c>
      <c r="CE565" s="90">
        <f>BS565</f>
        <v>236764</v>
      </c>
      <c r="CF565" s="90" t="str">
        <f>CA565</f>
        <v/>
      </c>
      <c r="CG565" s="90"/>
      <c r="CH565" s="90"/>
      <c r="CI565" s="90"/>
      <c r="CJ565" s="90"/>
      <c r="CK565" s="90"/>
      <c r="CL565" s="90"/>
      <c r="CM565" s="90"/>
      <c r="CN565" s="90"/>
      <c r="CO565" s="90"/>
      <c r="CP565" s="90"/>
      <c r="CQ565" s="90"/>
      <c r="CR565" s="90"/>
      <c r="CS565" s="90"/>
      <c r="CT565" s="137"/>
    </row>
    <row r="566" spans="1:98" ht="225">
      <c r="A566" s="89">
        <v>237082</v>
      </c>
      <c r="B566" s="90">
        <v>2020</v>
      </c>
      <c r="C566" s="90" t="s">
        <v>81</v>
      </c>
      <c r="D566" s="90" t="s">
        <v>1515</v>
      </c>
      <c r="E566" s="125" t="s">
        <v>790</v>
      </c>
      <c r="F566" s="24" t="s">
        <v>1516</v>
      </c>
      <c r="G566" s="90" t="s">
        <v>85</v>
      </c>
      <c r="H566" s="90" t="s">
        <v>150</v>
      </c>
      <c r="I566" s="90">
        <v>93</v>
      </c>
      <c r="J566" s="90">
        <v>157</v>
      </c>
      <c r="K566" s="90" t="s">
        <v>85</v>
      </c>
      <c r="L566" s="90" t="s">
        <v>1517</v>
      </c>
      <c r="M566" s="90" t="s">
        <v>119</v>
      </c>
      <c r="N566" s="24" t="s">
        <v>1518</v>
      </c>
      <c r="O566" s="24" t="str">
        <f>IF(ISNUMBER(SEARCH("Cancer",N566)),"Cancer",IF(ISNUMBER(SEARCH("health",N566)),"Public health",IF(ISNUMBER(SEARCH("disabilities",N566)),"Disabilities","Other")))</f>
        <v>Other</v>
      </c>
      <c r="P566" s="126">
        <v>2991971</v>
      </c>
      <c r="Q566" s="90" t="s">
        <v>85</v>
      </c>
      <c r="R566" s="90" t="str">
        <f>IF(P566&gt;20000000,"B","A")</f>
        <v>A</v>
      </c>
      <c r="S566" s="90" t="s">
        <v>90</v>
      </c>
      <c r="T566" s="90" t="s">
        <v>119</v>
      </c>
      <c r="U566" s="90" t="s">
        <v>119</v>
      </c>
      <c r="V566" s="90" t="s">
        <v>119</v>
      </c>
      <c r="W566" s="90" t="s">
        <v>119</v>
      </c>
      <c r="X566" s="90" t="s">
        <v>119</v>
      </c>
      <c r="Y566" s="90" t="s">
        <v>119</v>
      </c>
      <c r="Z566" s="90" t="s">
        <v>119</v>
      </c>
      <c r="AA566" s="90" t="s">
        <v>119</v>
      </c>
      <c r="AB566" s="90" t="s">
        <v>119</v>
      </c>
      <c r="AC566" s="90" t="s">
        <v>119</v>
      </c>
      <c r="AD566" s="90" t="s">
        <v>119</v>
      </c>
      <c r="AE566" s="24">
        <v>0</v>
      </c>
      <c r="AF566" s="90">
        <v>0</v>
      </c>
      <c r="AG566" s="24">
        <v>0</v>
      </c>
      <c r="AH566" s="90">
        <v>85245</v>
      </c>
      <c r="AI566" s="24" t="s">
        <v>94</v>
      </c>
      <c r="AJ566" s="24" t="s">
        <v>1519</v>
      </c>
      <c r="AK566" s="90" t="s">
        <v>85</v>
      </c>
      <c r="AL566" s="90">
        <v>237082</v>
      </c>
      <c r="AM566" s="90" t="s">
        <v>81</v>
      </c>
      <c r="AN566" s="90" t="s">
        <v>1515</v>
      </c>
      <c r="AO566" s="125" t="s">
        <v>790</v>
      </c>
      <c r="AP566" s="24" t="s">
        <v>1518</v>
      </c>
      <c r="AQ566" s="90" t="s">
        <v>1517</v>
      </c>
      <c r="AR566" s="24" t="s">
        <v>1518</v>
      </c>
      <c r="AS566" s="90" t="s">
        <v>119</v>
      </c>
      <c r="AT566" s="24" t="s">
        <v>94</v>
      </c>
      <c r="AU566" s="90" t="s">
        <v>119</v>
      </c>
      <c r="AV566" s="90" t="str">
        <f>IF(ISNUMBER(SEARCH("disagree",AE566)),"N","Y")</f>
        <v>Y</v>
      </c>
      <c r="AW566" s="90" t="s">
        <v>119</v>
      </c>
      <c r="AX566" s="24" t="s">
        <v>119</v>
      </c>
      <c r="AY566" s="90" t="str">
        <f>CONCATENATE(AZ566,BA566,BB566,BC566)</f>
        <v/>
      </c>
      <c r="AZ566" s="90" t="str">
        <f>IF(ISNUMBER(SEARCH("Y",AC566)),"R","")</f>
        <v/>
      </c>
      <c r="BA566" s="90" t="str">
        <f>IF(ISNUMBER(SEARCH("Y",Y566)),"M","")</f>
        <v/>
      </c>
      <c r="BB566" s="90" t="str">
        <f>IF(ISNUMBER(SEARCH("Y",AB566)),"QC","")</f>
        <v/>
      </c>
      <c r="BC566" s="90" t="str">
        <f>IF(ISNUMBER(SEARCH("Y",Z566)),"S","")</f>
        <v/>
      </c>
      <c r="BD566" s="90"/>
      <c r="BE566" s="24" t="s">
        <v>119</v>
      </c>
      <c r="BF566" s="125" t="str">
        <f>IF(AND(AW566&gt;=56543,AW566&lt;=76543,LEN(AW566)&gt;0),"3 Feb 2020",IF(AND(AW566&gt;=66544,AW566&lt;=99999,LEN(AW566)&gt;0),"12 Sep 2020",""))</f>
        <v/>
      </c>
      <c r="BG566" s="125" t="str">
        <f>IF((AND(BF566="3 Feb 2020",LEN(BF566)&gt;0)),"Completed",IF((AND(BF566="12 Sep 2020",LEN(BF566)&gt;0)),"Pending",""))</f>
        <v/>
      </c>
      <c r="BH566" s="90" t="str">
        <f>IF((AND(BF566="3 Feb 2020",LEN(BF566)&gt;0)),"3 Feb 2020","")</f>
        <v/>
      </c>
      <c r="BI566" s="90">
        <v>237082</v>
      </c>
      <c r="BJ566" s="90" t="str">
        <f>L566</f>
        <v>5R22ER842766-74</v>
      </c>
      <c r="BK566" s="127">
        <v>43508</v>
      </c>
      <c r="BL566" s="127">
        <v>44239</v>
      </c>
      <c r="BM566" s="128">
        <f>P566*1.1</f>
        <v>3291168.1</v>
      </c>
      <c r="BN566" s="129">
        <f>P566*0.9</f>
        <v>2692773.9</v>
      </c>
      <c r="BO566" s="130">
        <f>P566*0.8</f>
        <v>2393576.8000000003</v>
      </c>
      <c r="BP566" s="90">
        <f>IF(Z566="Y",BM566*0.4,BM566*1.05)</f>
        <v>3455726.5050000004</v>
      </c>
      <c r="BQ566" s="90">
        <f>BP566*0.8</f>
        <v>2764581.2040000004</v>
      </c>
      <c r="BR566" s="90" t="str">
        <f>IF(ISNUMBER(SEARCH("subrecipient",AI562)),P566*0.6,"")</f>
        <v/>
      </c>
      <c r="BS566" s="90">
        <v>237082</v>
      </c>
      <c r="BT566" s="90" t="str">
        <f>BJ566</f>
        <v>5R22ER842766-74</v>
      </c>
      <c r="BU566" s="127">
        <f>BK566</f>
        <v>43508</v>
      </c>
      <c r="BV566" s="127">
        <f>BL566</f>
        <v>44239</v>
      </c>
      <c r="BW566" s="90" t="str">
        <f>H566</f>
        <v>ACF</v>
      </c>
      <c r="BX566" s="90" t="str">
        <f>IF(H566="NATIONAL HEMOPHILIA FOUNDATION","Non Federal","Federal")</f>
        <v>Federal</v>
      </c>
      <c r="BY566" s="128">
        <f>BM566</f>
        <v>3291168.1</v>
      </c>
      <c r="BZ566" s="90" t="str">
        <f>IF(LEN(BR566)&gt;0,1,"")</f>
        <v/>
      </c>
      <c r="CA566" s="90" t="str">
        <f>IF(LEN(BR566)&gt;0,"VIRAL HEPATITIS PROJECT","")</f>
        <v/>
      </c>
      <c r="CB566" s="129" t="str">
        <f>IF(LEN(BR566)&gt;0,BM566*0.7,"")</f>
        <v/>
      </c>
      <c r="CC566" s="90">
        <f>BP566</f>
        <v>3455726.5050000004</v>
      </c>
      <c r="CD566" s="90" t="str">
        <f>IF(LEN(BR566)&gt;0,"70%","")</f>
        <v/>
      </c>
      <c r="CE566" s="90">
        <f>BS566</f>
        <v>237082</v>
      </c>
      <c r="CF566" s="90" t="str">
        <f>CA566</f>
        <v/>
      </c>
      <c r="CG566" s="90"/>
      <c r="CH566" s="90"/>
      <c r="CI566" s="90"/>
      <c r="CJ566" s="90"/>
      <c r="CK566" s="90"/>
      <c r="CL566" s="90"/>
      <c r="CM566" s="90"/>
      <c r="CN566" s="90"/>
      <c r="CO566" s="90"/>
      <c r="CP566" s="90"/>
      <c r="CQ566" s="90"/>
      <c r="CR566" s="90"/>
      <c r="CS566" s="90"/>
      <c r="CT566" s="137"/>
    </row>
    <row r="567" spans="1:98" ht="120">
      <c r="A567" s="89">
        <v>237082</v>
      </c>
      <c r="B567" s="90">
        <v>2020</v>
      </c>
      <c r="C567" s="90" t="s">
        <v>81</v>
      </c>
      <c r="D567" s="90" t="s">
        <v>1515</v>
      </c>
      <c r="E567" s="125" t="s">
        <v>791</v>
      </c>
      <c r="F567" s="24" t="s">
        <v>1516</v>
      </c>
      <c r="G567" s="90" t="s">
        <v>85</v>
      </c>
      <c r="H567" s="90" t="s">
        <v>150</v>
      </c>
      <c r="I567" s="90">
        <v>93</v>
      </c>
      <c r="J567" s="90">
        <v>157</v>
      </c>
      <c r="K567" s="90" t="s">
        <v>85</v>
      </c>
      <c r="L567" s="90" t="s">
        <v>1517</v>
      </c>
      <c r="M567" s="90" t="s">
        <v>119</v>
      </c>
      <c r="N567" s="24" t="s">
        <v>1518</v>
      </c>
      <c r="O567" s="24" t="str">
        <f>IF(ISNUMBER(SEARCH("Cancer",N567)),"Cancer",IF(ISNUMBER(SEARCH("health",N567)),"Public health",IF(ISNUMBER(SEARCH("disabilities",N567)),"Disabilities","Other")))</f>
        <v>Other</v>
      </c>
      <c r="P567" s="126">
        <v>2991971</v>
      </c>
      <c r="Q567" s="90" t="s">
        <v>85</v>
      </c>
      <c r="R567" s="90" t="str">
        <f>IF(P567&gt;20000000,"B","A")</f>
        <v>A</v>
      </c>
      <c r="S567" s="90" t="s">
        <v>90</v>
      </c>
      <c r="T567" s="90" t="s">
        <v>119</v>
      </c>
      <c r="U567" s="90" t="s">
        <v>119</v>
      </c>
      <c r="V567" s="90" t="s">
        <v>119</v>
      </c>
      <c r="W567" s="90" t="s">
        <v>119</v>
      </c>
      <c r="X567" s="90" t="s">
        <v>119</v>
      </c>
      <c r="Y567" s="90" t="s">
        <v>119</v>
      </c>
      <c r="Z567" s="90" t="s">
        <v>119</v>
      </c>
      <c r="AA567" s="90" t="s">
        <v>119</v>
      </c>
      <c r="AB567" s="90" t="s">
        <v>119</v>
      </c>
      <c r="AC567" s="90" t="s">
        <v>119</v>
      </c>
      <c r="AD567" s="90" t="s">
        <v>119</v>
      </c>
      <c r="AE567" s="24">
        <v>0</v>
      </c>
      <c r="AF567" s="90">
        <v>0</v>
      </c>
      <c r="AG567" s="24">
        <v>0</v>
      </c>
      <c r="AH567" s="90">
        <v>85243</v>
      </c>
      <c r="AI567" s="24" t="s">
        <v>102</v>
      </c>
      <c r="AJ567" s="24" t="s">
        <v>103</v>
      </c>
      <c r="AK567" s="90" t="s">
        <v>85</v>
      </c>
      <c r="AL567" s="90">
        <v>237082</v>
      </c>
      <c r="AM567" s="90" t="s">
        <v>81</v>
      </c>
      <c r="AN567" s="90" t="s">
        <v>1515</v>
      </c>
      <c r="AO567" s="125" t="s">
        <v>791</v>
      </c>
      <c r="AP567" s="24" t="s">
        <v>1518</v>
      </c>
      <c r="AQ567" s="90" t="s">
        <v>1517</v>
      </c>
      <c r="AR567" s="24" t="s">
        <v>1518</v>
      </c>
      <c r="AS567" s="90" t="s">
        <v>119</v>
      </c>
      <c r="AT567" s="24" t="s">
        <v>102</v>
      </c>
      <c r="AU567" s="90" t="s">
        <v>119</v>
      </c>
      <c r="AV567" s="90" t="str">
        <f>IF(ISNUMBER(SEARCH("disagree",AE567)),"N","Y")</f>
        <v>Y</v>
      </c>
      <c r="AW567" s="90" t="s">
        <v>119</v>
      </c>
      <c r="AX567" s="24" t="s">
        <v>119</v>
      </c>
      <c r="AY567" s="90" t="str">
        <f>CONCATENATE(AZ567,BA567,BB567,BC567)</f>
        <v/>
      </c>
      <c r="AZ567" s="90" t="str">
        <f>IF(ISNUMBER(SEARCH("Y",AC567)),"R","")</f>
        <v/>
      </c>
      <c r="BA567" s="90" t="str">
        <f>IF(ISNUMBER(SEARCH("Y",Y567)),"M","")</f>
        <v/>
      </c>
      <c r="BB567" s="90" t="str">
        <f>IF(ISNUMBER(SEARCH("Y",AB567)),"QC","")</f>
        <v/>
      </c>
      <c r="BC567" s="90" t="str">
        <f>IF(ISNUMBER(SEARCH("Y",Z567)),"S","")</f>
        <v/>
      </c>
      <c r="BD567" s="90"/>
      <c r="BE567" s="24" t="s">
        <v>119</v>
      </c>
      <c r="BF567" s="125" t="str">
        <f>IF(AND(AW567&gt;=56543,AW567&lt;=76543,LEN(AW567)&gt;0),"3 Feb 2020",IF(AND(AW567&gt;=66544,AW567&lt;=99999,LEN(AW567)&gt;0),"12 Sep 2020",""))</f>
        <v/>
      </c>
      <c r="BG567" s="125" t="str">
        <f>IF((AND(BF567="3 Feb 2020",LEN(BF567)&gt;0)),"Completed",IF((AND(BF567="12 Sep 2020",LEN(BF567)&gt;0)),"Pending",""))</f>
        <v/>
      </c>
      <c r="BH567" s="90" t="str">
        <f>IF((AND(BF567="3 Feb 2020",LEN(BF567)&gt;0)),"3 Feb 2020","")</f>
        <v/>
      </c>
      <c r="BI567" s="90">
        <v>237082</v>
      </c>
      <c r="BJ567" s="90" t="str">
        <f>L567</f>
        <v>5R22ER842766-74</v>
      </c>
      <c r="BK567" s="127">
        <v>43508</v>
      </c>
      <c r="BL567" s="127">
        <v>44239</v>
      </c>
      <c r="BM567" s="128">
        <f>P567*1.1</f>
        <v>3291168.1</v>
      </c>
      <c r="BN567" s="129">
        <f>P567*0.9</f>
        <v>2692773.9</v>
      </c>
      <c r="BO567" s="130">
        <f>P567*0.8</f>
        <v>2393576.8000000003</v>
      </c>
      <c r="BP567" s="90">
        <f>IF(Z567="Y",BM567*0.4,BM567*1.05)</f>
        <v>3455726.5050000004</v>
      </c>
      <c r="BQ567" s="90">
        <f>BP567*0.8</f>
        <v>2764581.2040000004</v>
      </c>
      <c r="BR567" s="90" t="str">
        <f>IF(ISNUMBER(SEARCH("subrecipient",AI563)),P567*0.6,"")</f>
        <v/>
      </c>
      <c r="BS567" s="90">
        <v>237082</v>
      </c>
      <c r="BT567" s="90" t="str">
        <f>BJ567</f>
        <v>5R22ER842766-74</v>
      </c>
      <c r="BU567" s="127">
        <f>BK567</f>
        <v>43508</v>
      </c>
      <c r="BV567" s="127">
        <f>BL567</f>
        <v>44239</v>
      </c>
      <c r="BW567" s="90" t="str">
        <f>H567</f>
        <v>ACF</v>
      </c>
      <c r="BX567" s="90" t="str">
        <f>IF(H567="NATIONAL HEMOPHILIA FOUNDATION","Non Federal","Federal")</f>
        <v>Federal</v>
      </c>
      <c r="BY567" s="128">
        <f>BM567</f>
        <v>3291168.1</v>
      </c>
      <c r="BZ567" s="90" t="str">
        <f>IF(LEN(BR567)&gt;0,1,"")</f>
        <v/>
      </c>
      <c r="CA567" s="90" t="str">
        <f>IF(LEN(BR567)&gt;0,"VIRAL HEPATITIS PROJECT","")</f>
        <v/>
      </c>
      <c r="CB567" s="129" t="str">
        <f>IF(LEN(BR567)&gt;0,BM567*0.7,"")</f>
        <v/>
      </c>
      <c r="CC567" s="90">
        <f>BP567</f>
        <v>3455726.5050000004</v>
      </c>
      <c r="CD567" s="90" t="str">
        <f>IF(LEN(BR567)&gt;0,"70%","")</f>
        <v/>
      </c>
      <c r="CE567" s="90">
        <f>BS567</f>
        <v>237082</v>
      </c>
      <c r="CF567" s="90" t="str">
        <f>CA567</f>
        <v/>
      </c>
      <c r="CG567" s="90"/>
      <c r="CH567" s="90"/>
      <c r="CI567" s="90"/>
      <c r="CJ567" s="90"/>
      <c r="CK567" s="90"/>
      <c r="CL567" s="90"/>
      <c r="CM567" s="90"/>
      <c r="CN567" s="90"/>
      <c r="CO567" s="90"/>
      <c r="CP567" s="90"/>
      <c r="CQ567" s="90"/>
      <c r="CR567" s="90"/>
      <c r="CS567" s="90"/>
      <c r="CT567" s="137"/>
    </row>
    <row r="568" spans="1:98" ht="120">
      <c r="A568" s="89">
        <v>237082</v>
      </c>
      <c r="B568" s="90">
        <v>2020</v>
      </c>
      <c r="C568" s="90" t="s">
        <v>81</v>
      </c>
      <c r="D568" s="90" t="s">
        <v>1515</v>
      </c>
      <c r="E568" s="125" t="s">
        <v>793</v>
      </c>
      <c r="F568" s="24" t="s">
        <v>1516</v>
      </c>
      <c r="G568" s="90" t="s">
        <v>85</v>
      </c>
      <c r="H568" s="90" t="s">
        <v>150</v>
      </c>
      <c r="I568" s="90">
        <v>93</v>
      </c>
      <c r="J568" s="90">
        <v>157</v>
      </c>
      <c r="K568" s="90" t="s">
        <v>85</v>
      </c>
      <c r="L568" s="90" t="s">
        <v>1517</v>
      </c>
      <c r="M568" s="90" t="s">
        <v>119</v>
      </c>
      <c r="N568" s="24" t="s">
        <v>1518</v>
      </c>
      <c r="O568" s="24" t="str">
        <f>IF(ISNUMBER(SEARCH("Cancer",N568)),"Cancer",IF(ISNUMBER(SEARCH("health",N568)),"Public health",IF(ISNUMBER(SEARCH("disabilities",N568)),"Disabilities","Other")))</f>
        <v>Other</v>
      </c>
      <c r="P568" s="126">
        <v>2991971</v>
      </c>
      <c r="Q568" s="90" t="s">
        <v>85</v>
      </c>
      <c r="R568" s="90" t="str">
        <f>IF(P568&gt;20000000,"B","A")</f>
        <v>A</v>
      </c>
      <c r="S568" s="90" t="s">
        <v>90</v>
      </c>
      <c r="T568" s="90" t="s">
        <v>119</v>
      </c>
      <c r="U568" s="90" t="s">
        <v>119</v>
      </c>
      <c r="V568" s="90" t="s">
        <v>119</v>
      </c>
      <c r="W568" s="90" t="s">
        <v>119</v>
      </c>
      <c r="X568" s="90" t="s">
        <v>119</v>
      </c>
      <c r="Y568" s="90" t="s">
        <v>119</v>
      </c>
      <c r="Z568" s="90" t="s">
        <v>119</v>
      </c>
      <c r="AA568" s="90" t="s">
        <v>119</v>
      </c>
      <c r="AB568" s="90" t="s">
        <v>119</v>
      </c>
      <c r="AC568" s="90" t="s">
        <v>119</v>
      </c>
      <c r="AD568" s="90" t="s">
        <v>119</v>
      </c>
      <c r="AE568" s="24">
        <v>0</v>
      </c>
      <c r="AF568" s="90">
        <v>0</v>
      </c>
      <c r="AG568" s="24">
        <v>0</v>
      </c>
      <c r="AH568" s="90">
        <v>85244</v>
      </c>
      <c r="AI568" s="24" t="s">
        <v>110</v>
      </c>
      <c r="AJ568" s="24" t="s">
        <v>1520</v>
      </c>
      <c r="AK568" s="90" t="s">
        <v>85</v>
      </c>
      <c r="AL568" s="90">
        <v>237082</v>
      </c>
      <c r="AM568" s="90" t="s">
        <v>81</v>
      </c>
      <c r="AN568" s="90" t="s">
        <v>1515</v>
      </c>
      <c r="AO568" s="125" t="s">
        <v>793</v>
      </c>
      <c r="AP568" s="24" t="s">
        <v>1518</v>
      </c>
      <c r="AQ568" s="90" t="s">
        <v>1517</v>
      </c>
      <c r="AR568" s="24" t="s">
        <v>1518</v>
      </c>
      <c r="AS568" s="90" t="s">
        <v>119</v>
      </c>
      <c r="AT568" s="24" t="s">
        <v>110</v>
      </c>
      <c r="AU568" s="90" t="s">
        <v>119</v>
      </c>
      <c r="AV568" s="90" t="str">
        <f>IF(ISNUMBER(SEARCH("disagree",AE568)),"N","Y")</f>
        <v>Y</v>
      </c>
      <c r="AW568" s="90" t="s">
        <v>119</v>
      </c>
      <c r="AX568" s="24" t="s">
        <v>119</v>
      </c>
      <c r="AY568" s="90" t="str">
        <f>CONCATENATE(AZ568,BA568,BB568,BC568)</f>
        <v/>
      </c>
      <c r="AZ568" s="90" t="str">
        <f>IF(ISNUMBER(SEARCH("Y",AC568)),"R","")</f>
        <v/>
      </c>
      <c r="BA568" s="90" t="str">
        <f>IF(ISNUMBER(SEARCH("Y",Y568)),"M","")</f>
        <v/>
      </c>
      <c r="BB568" s="90" t="str">
        <f>IF(ISNUMBER(SEARCH("Y",AB568)),"QC","")</f>
        <v/>
      </c>
      <c r="BC568" s="90" t="str">
        <f>IF(ISNUMBER(SEARCH("Y",Z568)),"S","")</f>
        <v/>
      </c>
      <c r="BD568" s="90"/>
      <c r="BE568" s="24" t="s">
        <v>119</v>
      </c>
      <c r="BF568" s="125" t="str">
        <f>IF(AND(AW568&gt;=56543,AW568&lt;=76543,LEN(AW568)&gt;0),"3 Feb 2020",IF(AND(AW568&gt;=66544,AW568&lt;=99999,LEN(AW568)&gt;0),"12 Sep 2020",""))</f>
        <v/>
      </c>
      <c r="BG568" s="125" t="str">
        <f>IF((AND(BF568="3 Feb 2020",LEN(BF568)&gt;0)),"Completed",IF((AND(BF568="12 Sep 2020",LEN(BF568)&gt;0)),"Pending",""))</f>
        <v/>
      </c>
      <c r="BH568" s="90" t="str">
        <f>IF((AND(BF568="3 Feb 2020",LEN(BF568)&gt;0)),"3 Feb 2020","")</f>
        <v/>
      </c>
      <c r="BI568" s="90">
        <v>237082</v>
      </c>
      <c r="BJ568" s="90" t="str">
        <f>L568</f>
        <v>5R22ER842766-74</v>
      </c>
      <c r="BK568" s="127">
        <v>43508</v>
      </c>
      <c r="BL568" s="127">
        <v>44239</v>
      </c>
      <c r="BM568" s="128">
        <f>P568*1.1</f>
        <v>3291168.1</v>
      </c>
      <c r="BN568" s="129">
        <f>P568*0.9</f>
        <v>2692773.9</v>
      </c>
      <c r="BO568" s="130">
        <f>P568*0.8</f>
        <v>2393576.8000000003</v>
      </c>
      <c r="BP568" s="90">
        <f>IF(Z568="Y",BM568*0.4,BM568*1.05)</f>
        <v>3455726.5050000004</v>
      </c>
      <c r="BQ568" s="90">
        <f>BP568*0.8</f>
        <v>2764581.2040000004</v>
      </c>
      <c r="BR568" s="90" t="str">
        <f>IF(ISNUMBER(SEARCH("subrecipient",AI564)),P568*0.6,"")</f>
        <v/>
      </c>
      <c r="BS568" s="90">
        <v>237082</v>
      </c>
      <c r="BT568" s="90" t="str">
        <f>BJ568</f>
        <v>5R22ER842766-74</v>
      </c>
      <c r="BU568" s="127">
        <f>BK568</f>
        <v>43508</v>
      </c>
      <c r="BV568" s="127">
        <f>BL568</f>
        <v>44239</v>
      </c>
      <c r="BW568" s="90" t="str">
        <f>H568</f>
        <v>ACF</v>
      </c>
      <c r="BX568" s="90" t="str">
        <f>IF(H568="NATIONAL HEMOPHILIA FOUNDATION","Non Federal","Federal")</f>
        <v>Federal</v>
      </c>
      <c r="BY568" s="128">
        <f>BM568</f>
        <v>3291168.1</v>
      </c>
      <c r="BZ568" s="90" t="str">
        <f>IF(LEN(BR568)&gt;0,1,"")</f>
        <v/>
      </c>
      <c r="CA568" s="90" t="str">
        <f>IF(LEN(BR568)&gt;0,"VIRAL HEPATITIS PROJECT","")</f>
        <v/>
      </c>
      <c r="CB568" s="129" t="str">
        <f>IF(LEN(BR568)&gt;0,BM568*0.7,"")</f>
        <v/>
      </c>
      <c r="CC568" s="90">
        <f>BP568</f>
        <v>3455726.5050000004</v>
      </c>
      <c r="CD568" s="90" t="str">
        <f>IF(LEN(BR568)&gt;0,"70%","")</f>
        <v/>
      </c>
      <c r="CE568" s="90">
        <f>BS568</f>
        <v>237082</v>
      </c>
      <c r="CF568" s="90" t="str">
        <f>CA568</f>
        <v/>
      </c>
      <c r="CG568" s="90"/>
      <c r="CH568" s="90"/>
      <c r="CI568" s="90"/>
      <c r="CJ568" s="90"/>
      <c r="CK568" s="90"/>
      <c r="CL568" s="90"/>
      <c r="CM568" s="90"/>
      <c r="CN568" s="90"/>
      <c r="CO568" s="90"/>
      <c r="CP568" s="90"/>
      <c r="CQ568" s="90"/>
      <c r="CR568" s="90"/>
      <c r="CS568" s="90"/>
      <c r="CT568" s="137"/>
    </row>
    <row r="569" spans="1:98" ht="120">
      <c r="A569" s="89">
        <v>237733</v>
      </c>
      <c r="B569" s="90">
        <v>2020</v>
      </c>
      <c r="C569" s="90" t="s">
        <v>81</v>
      </c>
      <c r="D569" s="90" t="s">
        <v>1521</v>
      </c>
      <c r="E569" s="125" t="s">
        <v>780</v>
      </c>
      <c r="F569" s="24" t="s">
        <v>1522</v>
      </c>
      <c r="G569" s="90" t="s">
        <v>85</v>
      </c>
      <c r="H569" s="90" t="s">
        <v>86</v>
      </c>
      <c r="I569" s="90">
        <v>93</v>
      </c>
      <c r="J569" s="90">
        <v>157</v>
      </c>
      <c r="K569" s="90" t="s">
        <v>85</v>
      </c>
      <c r="L569" s="90" t="s">
        <v>1523</v>
      </c>
      <c r="M569" s="90" t="s">
        <v>119</v>
      </c>
      <c r="N569" s="24" t="s">
        <v>1524</v>
      </c>
      <c r="O569" s="24" t="str">
        <f>IF(ISNUMBER(SEARCH("Cancer",N569)),"Cancer",IF(ISNUMBER(SEARCH("health",N569)),"Public health",IF(ISNUMBER(SEARCH("disabilities",N569)),"Disabilities","Other")))</f>
        <v>Public health</v>
      </c>
      <c r="P569" s="126">
        <v>2551896</v>
      </c>
      <c r="Q569" s="90" t="s">
        <v>85</v>
      </c>
      <c r="R569" s="90" t="str">
        <f>IF(P569&gt;20000000,"B","A")</f>
        <v>A</v>
      </c>
      <c r="S569" s="90" t="s">
        <v>90</v>
      </c>
      <c r="T569" s="90" t="s">
        <v>119</v>
      </c>
      <c r="U569" s="90" t="s">
        <v>119</v>
      </c>
      <c r="V569" s="90" t="s">
        <v>119</v>
      </c>
      <c r="W569" s="90" t="s">
        <v>119</v>
      </c>
      <c r="X569" s="90" t="s">
        <v>119</v>
      </c>
      <c r="Y569" s="90" t="s">
        <v>119</v>
      </c>
      <c r="Z569" s="90" t="s">
        <v>119</v>
      </c>
      <c r="AA569" s="90" t="s">
        <v>119</v>
      </c>
      <c r="AB569" s="90" t="s">
        <v>119</v>
      </c>
      <c r="AC569" s="90" t="s">
        <v>119</v>
      </c>
      <c r="AD569" s="90" t="s">
        <v>119</v>
      </c>
      <c r="AE569" s="24">
        <v>0</v>
      </c>
      <c r="AF569" s="90">
        <v>0</v>
      </c>
      <c r="AG569" s="24">
        <v>0</v>
      </c>
      <c r="AH569" s="90">
        <v>90968</v>
      </c>
      <c r="AI569" s="24" t="s">
        <v>94</v>
      </c>
      <c r="AJ569" s="24" t="s">
        <v>1525</v>
      </c>
      <c r="AK569" s="90" t="s">
        <v>85</v>
      </c>
      <c r="AL569" s="90">
        <v>237733</v>
      </c>
      <c r="AM569" s="90" t="s">
        <v>81</v>
      </c>
      <c r="AN569" s="90" t="s">
        <v>1521</v>
      </c>
      <c r="AO569" s="125" t="s">
        <v>780</v>
      </c>
      <c r="AP569" s="24" t="s">
        <v>1524</v>
      </c>
      <c r="AQ569" s="90" t="s">
        <v>1523</v>
      </c>
      <c r="AR569" s="24" t="s">
        <v>1524</v>
      </c>
      <c r="AS569" s="90" t="s">
        <v>119</v>
      </c>
      <c r="AT569" s="24" t="s">
        <v>94</v>
      </c>
      <c r="AU569" s="90" t="s">
        <v>119</v>
      </c>
      <c r="AV569" s="90" t="str">
        <f>IF(ISNUMBER(SEARCH("disagree",AE569)),"N","Y")</f>
        <v>Y</v>
      </c>
      <c r="AW569" s="90" t="s">
        <v>119</v>
      </c>
      <c r="AX569" s="24" t="s">
        <v>119</v>
      </c>
      <c r="AY569" s="90" t="str">
        <f>CONCATENATE(AZ569,BA569,BB569,BC569)</f>
        <v/>
      </c>
      <c r="AZ569" s="90" t="str">
        <f>IF(ISNUMBER(SEARCH("Y",AC569)),"R","")</f>
        <v/>
      </c>
      <c r="BA569" s="90" t="str">
        <f>IF(ISNUMBER(SEARCH("Y",Y569)),"M","")</f>
        <v/>
      </c>
      <c r="BB569" s="90" t="str">
        <f>IF(ISNUMBER(SEARCH("Y",AB569)),"QC","")</f>
        <v/>
      </c>
      <c r="BC569" s="90" t="str">
        <f>IF(ISNUMBER(SEARCH("Y",Z569)),"S","")</f>
        <v/>
      </c>
      <c r="BD569" s="90"/>
      <c r="BE569" s="24" t="s">
        <v>119</v>
      </c>
      <c r="BF569" s="125" t="str">
        <f>IF(AND(AW569&gt;=56543,AW569&lt;=76543,LEN(AW569)&gt;0),"3 Feb 2020",IF(AND(AW569&gt;=66544,AW569&lt;=99999,LEN(AW569)&gt;0),"12 Sep 2020",""))</f>
        <v/>
      </c>
      <c r="BG569" s="125" t="str">
        <f>IF((AND(BF569="3 Feb 2020",LEN(BF569)&gt;0)),"Completed",IF((AND(BF569="12 Sep 2020",LEN(BF569)&gt;0)),"Pending",""))</f>
        <v/>
      </c>
      <c r="BH569" s="90" t="str">
        <f>IF((AND(BF569="3 Feb 2020",LEN(BF569)&gt;0)),"3 Feb 2020","")</f>
        <v/>
      </c>
      <c r="BI569" s="90">
        <v>237733</v>
      </c>
      <c r="BJ569" s="90" t="str">
        <f>L569</f>
        <v>7R10ER843758-68</v>
      </c>
      <c r="BK569" s="127">
        <v>43508</v>
      </c>
      <c r="BL569" s="127">
        <v>44239</v>
      </c>
      <c r="BM569" s="128">
        <f>P569*1.1</f>
        <v>2807085.6</v>
      </c>
      <c r="BN569" s="129">
        <f>P569*0.9</f>
        <v>2296706.4</v>
      </c>
      <c r="BO569" s="130">
        <f>P569*0.8</f>
        <v>2041516.8</v>
      </c>
      <c r="BP569" s="90">
        <f>IF(Z569="Y",BM569*0.4,BM569*1.05)</f>
        <v>2947439.8800000004</v>
      </c>
      <c r="BQ569" s="90">
        <f>BP569*0.8</f>
        <v>2357951.9040000006</v>
      </c>
      <c r="BR569" s="90" t="str">
        <f>IF(ISNUMBER(SEARCH("subrecipient",AI565)),P569*0.6,"")</f>
        <v/>
      </c>
      <c r="BS569" s="90">
        <v>237733</v>
      </c>
      <c r="BT569" s="90" t="str">
        <f>BJ569</f>
        <v>7R10ER843758-68</v>
      </c>
      <c r="BU569" s="127">
        <f>BK569</f>
        <v>43508</v>
      </c>
      <c r="BV569" s="127">
        <f>BL569</f>
        <v>44239</v>
      </c>
      <c r="BW569" s="90" t="str">
        <f>H569</f>
        <v>CDC</v>
      </c>
      <c r="BX569" s="90" t="str">
        <f>IF(H569="NATIONAL HEMOPHILIA FOUNDATION","Non Federal","Federal")</f>
        <v>Federal</v>
      </c>
      <c r="BY569" s="128">
        <f>BM569</f>
        <v>2807085.6</v>
      </c>
      <c r="BZ569" s="90" t="str">
        <f>IF(LEN(BR569)&gt;0,1,"")</f>
        <v/>
      </c>
      <c r="CA569" s="90" t="str">
        <f>IF(LEN(BR569)&gt;0,"VIRAL HEPATITIS PROJECT","")</f>
        <v/>
      </c>
      <c r="CB569" s="129" t="str">
        <f>IF(LEN(BR569)&gt;0,BM569*0.7,"")</f>
        <v/>
      </c>
      <c r="CC569" s="90">
        <f>BP569</f>
        <v>2947439.8800000004</v>
      </c>
      <c r="CD569" s="90" t="str">
        <f>IF(LEN(BR569)&gt;0,"70%","")</f>
        <v/>
      </c>
      <c r="CE569" s="90">
        <f>BS569</f>
        <v>237733</v>
      </c>
      <c r="CF569" s="90" t="str">
        <f>CA569</f>
        <v/>
      </c>
      <c r="CG569" s="90"/>
      <c r="CH569" s="90"/>
      <c r="CI569" s="90"/>
      <c r="CJ569" s="90"/>
      <c r="CK569" s="90"/>
      <c r="CL569" s="90"/>
      <c r="CM569" s="90"/>
      <c r="CN569" s="90"/>
      <c r="CO569" s="90"/>
      <c r="CP569" s="90"/>
      <c r="CQ569" s="90"/>
      <c r="CR569" s="90"/>
      <c r="CS569" s="90"/>
      <c r="CT569" s="137"/>
    </row>
    <row r="570" spans="1:98" ht="90">
      <c r="A570" s="89">
        <v>237733</v>
      </c>
      <c r="B570" s="90">
        <v>2020</v>
      </c>
      <c r="C570" s="90" t="s">
        <v>81</v>
      </c>
      <c r="D570" s="90" t="s">
        <v>1521</v>
      </c>
      <c r="E570" s="125" t="s">
        <v>781</v>
      </c>
      <c r="F570" s="24" t="s">
        <v>1522</v>
      </c>
      <c r="G570" s="90" t="s">
        <v>85</v>
      </c>
      <c r="H570" s="90" t="s">
        <v>86</v>
      </c>
      <c r="I570" s="90">
        <v>93</v>
      </c>
      <c r="J570" s="90">
        <v>157</v>
      </c>
      <c r="K570" s="90" t="s">
        <v>85</v>
      </c>
      <c r="L570" s="90" t="s">
        <v>1523</v>
      </c>
      <c r="M570" s="90" t="s">
        <v>119</v>
      </c>
      <c r="N570" s="24" t="s">
        <v>1524</v>
      </c>
      <c r="O570" s="24" t="str">
        <f>IF(ISNUMBER(SEARCH("Cancer",N570)),"Cancer",IF(ISNUMBER(SEARCH("health",N570)),"Public health",IF(ISNUMBER(SEARCH("disabilities",N570)),"Disabilities","Other")))</f>
        <v>Public health</v>
      </c>
      <c r="P570" s="126">
        <v>2551896</v>
      </c>
      <c r="Q570" s="90" t="s">
        <v>85</v>
      </c>
      <c r="R570" s="90" t="str">
        <f>IF(P570&gt;20000000,"B","A")</f>
        <v>A</v>
      </c>
      <c r="S570" s="90" t="s">
        <v>90</v>
      </c>
      <c r="T570" s="90" t="s">
        <v>119</v>
      </c>
      <c r="U570" s="90" t="s">
        <v>119</v>
      </c>
      <c r="V570" s="90" t="s">
        <v>119</v>
      </c>
      <c r="W570" s="90" t="s">
        <v>119</v>
      </c>
      <c r="X570" s="90" t="s">
        <v>119</v>
      </c>
      <c r="Y570" s="90" t="s">
        <v>119</v>
      </c>
      <c r="Z570" s="90" t="s">
        <v>119</v>
      </c>
      <c r="AA570" s="90" t="s">
        <v>119</v>
      </c>
      <c r="AB570" s="90" t="s">
        <v>119</v>
      </c>
      <c r="AC570" s="90" t="s">
        <v>119</v>
      </c>
      <c r="AD570" s="90" t="s">
        <v>119</v>
      </c>
      <c r="AE570" s="24">
        <v>0</v>
      </c>
      <c r="AF570" s="90">
        <v>0</v>
      </c>
      <c r="AG570" s="24">
        <v>0</v>
      </c>
      <c r="AH570" s="90">
        <v>90967</v>
      </c>
      <c r="AI570" s="24" t="s">
        <v>102</v>
      </c>
      <c r="AJ570" s="24" t="s">
        <v>1526</v>
      </c>
      <c r="AK570" s="90" t="s">
        <v>85</v>
      </c>
      <c r="AL570" s="90">
        <v>237733</v>
      </c>
      <c r="AM570" s="90" t="s">
        <v>81</v>
      </c>
      <c r="AN570" s="90" t="s">
        <v>1521</v>
      </c>
      <c r="AO570" s="125" t="s">
        <v>781</v>
      </c>
      <c r="AP570" s="24" t="s">
        <v>1524</v>
      </c>
      <c r="AQ570" s="90" t="s">
        <v>1523</v>
      </c>
      <c r="AR570" s="24" t="s">
        <v>1524</v>
      </c>
      <c r="AS570" s="90" t="s">
        <v>119</v>
      </c>
      <c r="AT570" s="24" t="s">
        <v>102</v>
      </c>
      <c r="AU570" s="90" t="s">
        <v>119</v>
      </c>
      <c r="AV570" s="90" t="str">
        <f>IF(ISNUMBER(SEARCH("disagree",AE570)),"N","Y")</f>
        <v>Y</v>
      </c>
      <c r="AW570" s="90" t="s">
        <v>119</v>
      </c>
      <c r="AX570" s="24" t="s">
        <v>119</v>
      </c>
      <c r="AY570" s="90" t="str">
        <f>CONCATENATE(AZ570,BA570,BB570,BC570)</f>
        <v/>
      </c>
      <c r="AZ570" s="90" t="str">
        <f>IF(ISNUMBER(SEARCH("Y",AC570)),"R","")</f>
        <v/>
      </c>
      <c r="BA570" s="90" t="str">
        <f>IF(ISNUMBER(SEARCH("Y",Y570)),"M","")</f>
        <v/>
      </c>
      <c r="BB570" s="90" t="str">
        <f>IF(ISNUMBER(SEARCH("Y",AB570)),"QC","")</f>
        <v/>
      </c>
      <c r="BC570" s="90" t="str">
        <f>IF(ISNUMBER(SEARCH("Y",Z570)),"S","")</f>
        <v/>
      </c>
      <c r="BD570" s="90"/>
      <c r="BE570" s="24" t="s">
        <v>119</v>
      </c>
      <c r="BF570" s="125" t="str">
        <f>IF(AND(AW570&gt;=56543,AW570&lt;=76543,LEN(AW570)&gt;0),"3 Feb 2020",IF(AND(AW570&gt;=66544,AW570&lt;=99999,LEN(AW570)&gt;0),"12 Sep 2020",""))</f>
        <v/>
      </c>
      <c r="BG570" s="125" t="str">
        <f>IF((AND(BF570="3 Feb 2020",LEN(BF570)&gt;0)),"Completed",IF((AND(BF570="12 Sep 2020",LEN(BF570)&gt;0)),"Pending",""))</f>
        <v/>
      </c>
      <c r="BH570" s="90" t="str">
        <f>IF((AND(BF570="3 Feb 2020",LEN(BF570)&gt;0)),"3 Feb 2020","")</f>
        <v/>
      </c>
      <c r="BI570" s="90">
        <v>237733</v>
      </c>
      <c r="BJ570" s="90" t="str">
        <f>L570</f>
        <v>7R10ER843758-68</v>
      </c>
      <c r="BK570" s="127">
        <v>43508</v>
      </c>
      <c r="BL570" s="127">
        <v>44239</v>
      </c>
      <c r="BM570" s="128">
        <f>P570*1.1</f>
        <v>2807085.6</v>
      </c>
      <c r="BN570" s="129">
        <f>P570*0.9</f>
        <v>2296706.4</v>
      </c>
      <c r="BO570" s="130">
        <f>P570*0.8</f>
        <v>2041516.8</v>
      </c>
      <c r="BP570" s="90">
        <f>IF(Z570="Y",BM570*0.4,BM570*1.05)</f>
        <v>2947439.8800000004</v>
      </c>
      <c r="BQ570" s="90">
        <f>BP570*0.8</f>
        <v>2357951.9040000006</v>
      </c>
      <c r="BR570" s="90" t="str">
        <f>IF(ISNUMBER(SEARCH("subrecipient",AI566)),P570*0.6,"")</f>
        <v/>
      </c>
      <c r="BS570" s="90">
        <v>237733</v>
      </c>
      <c r="BT570" s="90" t="str">
        <f>BJ570</f>
        <v>7R10ER843758-68</v>
      </c>
      <c r="BU570" s="127">
        <f>BK570</f>
        <v>43508</v>
      </c>
      <c r="BV570" s="127">
        <f>BL570</f>
        <v>44239</v>
      </c>
      <c r="BW570" s="90" t="str">
        <f>H570</f>
        <v>CDC</v>
      </c>
      <c r="BX570" s="90" t="str">
        <f>IF(H570="NATIONAL HEMOPHILIA FOUNDATION","Non Federal","Federal")</f>
        <v>Federal</v>
      </c>
      <c r="BY570" s="128">
        <f>BM570</f>
        <v>2807085.6</v>
      </c>
      <c r="BZ570" s="90" t="str">
        <f>IF(LEN(BR570)&gt;0,1,"")</f>
        <v/>
      </c>
      <c r="CA570" s="90" t="str">
        <f>IF(LEN(BR570)&gt;0,"VIRAL HEPATITIS PROJECT","")</f>
        <v/>
      </c>
      <c r="CB570" s="129" t="str">
        <f>IF(LEN(BR570)&gt;0,BM570*0.7,"")</f>
        <v/>
      </c>
      <c r="CC570" s="90">
        <f>BP570</f>
        <v>2947439.8800000004</v>
      </c>
      <c r="CD570" s="90" t="str">
        <f>IF(LEN(BR570)&gt;0,"70%","")</f>
        <v/>
      </c>
      <c r="CE570" s="90">
        <f>BS570</f>
        <v>237733</v>
      </c>
      <c r="CF570" s="90" t="str">
        <f>CA570</f>
        <v/>
      </c>
      <c r="CG570" s="90"/>
      <c r="CH570" s="90"/>
      <c r="CI570" s="90"/>
      <c r="CJ570" s="90"/>
      <c r="CK570" s="90"/>
      <c r="CL570" s="90"/>
      <c r="CM570" s="90"/>
      <c r="CN570" s="90"/>
      <c r="CO570" s="90"/>
      <c r="CP570" s="90"/>
      <c r="CQ570" s="90"/>
      <c r="CR570" s="90"/>
      <c r="CS570" s="90"/>
      <c r="CT570" s="137"/>
    </row>
    <row r="571" spans="1:98" ht="90">
      <c r="A571" s="89">
        <v>237733</v>
      </c>
      <c r="B571" s="90">
        <v>2020</v>
      </c>
      <c r="C571" s="90" t="s">
        <v>81</v>
      </c>
      <c r="D571" s="90" t="s">
        <v>1521</v>
      </c>
      <c r="E571" s="125" t="s">
        <v>784</v>
      </c>
      <c r="F571" s="24" t="s">
        <v>1522</v>
      </c>
      <c r="G571" s="90" t="s">
        <v>85</v>
      </c>
      <c r="H571" s="90" t="s">
        <v>86</v>
      </c>
      <c r="I571" s="90">
        <v>93</v>
      </c>
      <c r="J571" s="90">
        <v>157</v>
      </c>
      <c r="K571" s="90" t="s">
        <v>85</v>
      </c>
      <c r="L571" s="90" t="s">
        <v>1523</v>
      </c>
      <c r="M571" s="90" t="s">
        <v>119</v>
      </c>
      <c r="N571" s="24" t="s">
        <v>1524</v>
      </c>
      <c r="O571" s="24" t="str">
        <f>IF(ISNUMBER(SEARCH("Cancer",N571)),"Cancer",IF(ISNUMBER(SEARCH("health",N571)),"Public health",IF(ISNUMBER(SEARCH("disabilities",N571)),"Disabilities","Other")))</f>
        <v>Public health</v>
      </c>
      <c r="P571" s="126">
        <v>2551896</v>
      </c>
      <c r="Q571" s="90" t="s">
        <v>85</v>
      </c>
      <c r="R571" s="90" t="str">
        <f>IF(P571&gt;20000000,"B","A")</f>
        <v>A</v>
      </c>
      <c r="S571" s="90" t="s">
        <v>90</v>
      </c>
      <c r="T571" s="90" t="s">
        <v>119</v>
      </c>
      <c r="U571" s="90" t="s">
        <v>119</v>
      </c>
      <c r="V571" s="90" t="s">
        <v>119</v>
      </c>
      <c r="W571" s="90" t="s">
        <v>119</v>
      </c>
      <c r="X571" s="90" t="s">
        <v>119</v>
      </c>
      <c r="Y571" s="90" t="s">
        <v>119</v>
      </c>
      <c r="Z571" s="90" t="s">
        <v>119</v>
      </c>
      <c r="AA571" s="90" t="s">
        <v>119</v>
      </c>
      <c r="AB571" s="90" t="s">
        <v>119</v>
      </c>
      <c r="AC571" s="90" t="s">
        <v>119</v>
      </c>
      <c r="AD571" s="90" t="s">
        <v>119</v>
      </c>
      <c r="AE571" s="24">
        <v>0</v>
      </c>
      <c r="AF571" s="90">
        <v>0</v>
      </c>
      <c r="AG571" s="24">
        <v>0</v>
      </c>
      <c r="AH571" s="90">
        <v>90969</v>
      </c>
      <c r="AI571" s="24" t="s">
        <v>1527</v>
      </c>
      <c r="AJ571" s="24" t="s">
        <v>1528</v>
      </c>
      <c r="AK571" s="90" t="s">
        <v>85</v>
      </c>
      <c r="AL571" s="90">
        <v>237733</v>
      </c>
      <c r="AM571" s="90" t="s">
        <v>81</v>
      </c>
      <c r="AN571" s="90" t="s">
        <v>1521</v>
      </c>
      <c r="AO571" s="125" t="s">
        <v>784</v>
      </c>
      <c r="AP571" s="24" t="s">
        <v>1524</v>
      </c>
      <c r="AQ571" s="90" t="s">
        <v>1523</v>
      </c>
      <c r="AR571" s="24" t="s">
        <v>1524</v>
      </c>
      <c r="AS571" s="90" t="s">
        <v>119</v>
      </c>
      <c r="AT571" s="24" t="s">
        <v>1527</v>
      </c>
      <c r="AU571" s="90" t="s">
        <v>119</v>
      </c>
      <c r="AV571" s="90" t="str">
        <f>IF(ISNUMBER(SEARCH("disagree",AE571)),"N","Y")</f>
        <v>Y</v>
      </c>
      <c r="AW571" s="90" t="s">
        <v>119</v>
      </c>
      <c r="AX571" s="24" t="s">
        <v>119</v>
      </c>
      <c r="AY571" s="90" t="str">
        <f>CONCATENATE(AZ571,BA571,BB571,BC571)</f>
        <v/>
      </c>
      <c r="AZ571" s="90" t="str">
        <f>IF(ISNUMBER(SEARCH("Y",AC571)),"R","")</f>
        <v/>
      </c>
      <c r="BA571" s="90" t="str">
        <f>IF(ISNUMBER(SEARCH("Y",Y571)),"M","")</f>
        <v/>
      </c>
      <c r="BB571" s="90" t="str">
        <f>IF(ISNUMBER(SEARCH("Y",AB571)),"QC","")</f>
        <v/>
      </c>
      <c r="BC571" s="90" t="str">
        <f>IF(ISNUMBER(SEARCH("Y",Z571)),"S","")</f>
        <v/>
      </c>
      <c r="BD571" s="90"/>
      <c r="BE571" s="24" t="s">
        <v>119</v>
      </c>
      <c r="BF571" s="125" t="str">
        <f>IF(AND(AW571&gt;=56543,AW571&lt;=76543,LEN(AW571)&gt;0),"3 Feb 2020",IF(AND(AW571&gt;=66544,AW571&lt;=99999,LEN(AW571)&gt;0),"12 Sep 2020",""))</f>
        <v/>
      </c>
      <c r="BG571" s="125" t="str">
        <f>IF((AND(BF571="3 Feb 2020",LEN(BF571)&gt;0)),"Completed",IF((AND(BF571="12 Sep 2020",LEN(BF571)&gt;0)),"Pending",""))</f>
        <v/>
      </c>
      <c r="BH571" s="90" t="str">
        <f>IF((AND(BF571="3 Feb 2020",LEN(BF571)&gt;0)),"3 Feb 2020","")</f>
        <v/>
      </c>
      <c r="BI571" s="90">
        <v>237733</v>
      </c>
      <c r="BJ571" s="90" t="str">
        <f>L571</f>
        <v>7R10ER843758-68</v>
      </c>
      <c r="BK571" s="127">
        <v>43508</v>
      </c>
      <c r="BL571" s="127">
        <v>44239</v>
      </c>
      <c r="BM571" s="128">
        <f>P571*1.1</f>
        <v>2807085.6</v>
      </c>
      <c r="BN571" s="129">
        <f>P571*0.9</f>
        <v>2296706.4</v>
      </c>
      <c r="BO571" s="130">
        <f>P571*0.8</f>
        <v>2041516.8</v>
      </c>
      <c r="BP571" s="90">
        <f>IF(Z571="Y",BM571*0.4,BM571*1.05)</f>
        <v>2947439.8800000004</v>
      </c>
      <c r="BQ571" s="90">
        <f>BP571*0.8</f>
        <v>2357951.9040000006</v>
      </c>
      <c r="BR571" s="90" t="str">
        <f>IF(ISNUMBER(SEARCH("subrecipient",AI567)),P571*0.6,"")</f>
        <v/>
      </c>
      <c r="BS571" s="90">
        <v>237733</v>
      </c>
      <c r="BT571" s="90" t="str">
        <f>BJ571</f>
        <v>7R10ER843758-68</v>
      </c>
      <c r="BU571" s="127">
        <f>BK571</f>
        <v>43508</v>
      </c>
      <c r="BV571" s="127">
        <f>BL571</f>
        <v>44239</v>
      </c>
      <c r="BW571" s="90" t="str">
        <f>H571</f>
        <v>CDC</v>
      </c>
      <c r="BX571" s="90" t="str">
        <f>IF(H571="NATIONAL HEMOPHILIA FOUNDATION","Non Federal","Federal")</f>
        <v>Federal</v>
      </c>
      <c r="BY571" s="128">
        <f>BM571</f>
        <v>2807085.6</v>
      </c>
      <c r="BZ571" s="90" t="str">
        <f>IF(LEN(BR571)&gt;0,1,"")</f>
        <v/>
      </c>
      <c r="CA571" s="90" t="str">
        <f>IF(LEN(BR571)&gt;0,"VIRAL HEPATITIS PROJECT","")</f>
        <v/>
      </c>
      <c r="CB571" s="129" t="str">
        <f>IF(LEN(BR571)&gt;0,BM571*0.7,"")</f>
        <v/>
      </c>
      <c r="CC571" s="90">
        <f>BP571</f>
        <v>2947439.8800000004</v>
      </c>
      <c r="CD571" s="90" t="str">
        <f>IF(LEN(BR571)&gt;0,"70%","")</f>
        <v/>
      </c>
      <c r="CE571" s="90">
        <f>BS571</f>
        <v>237733</v>
      </c>
      <c r="CF571" s="90" t="str">
        <f>CA571</f>
        <v/>
      </c>
      <c r="CG571" s="90"/>
      <c r="CH571" s="90"/>
      <c r="CI571" s="90"/>
      <c r="CJ571" s="90"/>
      <c r="CK571" s="90"/>
      <c r="CL571" s="90"/>
      <c r="CM571" s="90"/>
      <c r="CN571" s="90"/>
      <c r="CO571" s="90"/>
      <c r="CP571" s="90"/>
      <c r="CQ571" s="90"/>
      <c r="CR571" s="90"/>
      <c r="CS571" s="90"/>
      <c r="CT571" s="137"/>
    </row>
    <row r="572" spans="1:98" ht="225">
      <c r="A572" s="89">
        <v>239787</v>
      </c>
      <c r="B572" s="90">
        <v>2020</v>
      </c>
      <c r="C572" s="90" t="s">
        <v>81</v>
      </c>
      <c r="D572" s="90" t="s">
        <v>1529</v>
      </c>
      <c r="E572" s="125" t="s">
        <v>790</v>
      </c>
      <c r="F572" s="24" t="s">
        <v>1530</v>
      </c>
      <c r="G572" s="90" t="s">
        <v>85</v>
      </c>
      <c r="H572" s="90" t="s">
        <v>117</v>
      </c>
      <c r="I572" s="90">
        <v>93</v>
      </c>
      <c r="J572" s="90">
        <v>157</v>
      </c>
      <c r="K572" s="90" t="s">
        <v>85</v>
      </c>
      <c r="L572" s="90" t="s">
        <v>1531</v>
      </c>
      <c r="M572" s="90" t="s">
        <v>85</v>
      </c>
      <c r="N572" s="24" t="s">
        <v>1532</v>
      </c>
      <c r="O572" s="24" t="str">
        <f>IF(ISNUMBER(SEARCH("Cancer",N572)),"Cancer",IF(ISNUMBER(SEARCH("health",N572)),"Public health",IF(ISNUMBER(SEARCH("disabilities",N572)),"Disabilities","Other")))</f>
        <v>Other</v>
      </c>
      <c r="P572" s="126">
        <v>2024790</v>
      </c>
      <c r="Q572" s="90" t="s">
        <v>87</v>
      </c>
      <c r="R572" s="90" t="str">
        <f>IF(P572&gt;20000000,"B","A")</f>
        <v>A</v>
      </c>
      <c r="S572" s="90" t="s">
        <v>90</v>
      </c>
      <c r="T572" s="90">
        <v>2583070</v>
      </c>
      <c r="U572" s="90" t="s">
        <v>91</v>
      </c>
      <c r="V572" s="90" t="s">
        <v>584</v>
      </c>
      <c r="W572" s="90" t="s">
        <v>85</v>
      </c>
      <c r="X572" s="90" t="s">
        <v>85</v>
      </c>
      <c r="Y572" s="90" t="s">
        <v>85</v>
      </c>
      <c r="Z572" s="90" t="s">
        <v>87</v>
      </c>
      <c r="AA572" s="90" t="s">
        <v>85</v>
      </c>
      <c r="AB572" s="90" t="s">
        <v>85</v>
      </c>
      <c r="AC572" s="90" t="s">
        <v>85</v>
      </c>
      <c r="AD572" s="90">
        <v>0</v>
      </c>
      <c r="AE572" s="24" t="s">
        <v>1533</v>
      </c>
      <c r="AF572" s="90" t="s">
        <v>91</v>
      </c>
      <c r="AG572" s="24" t="s">
        <v>1534</v>
      </c>
      <c r="AH572" s="90">
        <v>88674</v>
      </c>
      <c r="AI572" s="24" t="s">
        <v>94</v>
      </c>
      <c r="AJ572" s="24" t="s">
        <v>1535</v>
      </c>
      <c r="AK572" s="90" t="s">
        <v>87</v>
      </c>
      <c r="AL572" s="90">
        <v>239787</v>
      </c>
      <c r="AM572" s="90" t="s">
        <v>81</v>
      </c>
      <c r="AN572" s="90" t="s">
        <v>1529</v>
      </c>
      <c r="AO572" s="125" t="s">
        <v>790</v>
      </c>
      <c r="AP572" s="24" t="s">
        <v>1532</v>
      </c>
      <c r="AQ572" s="90" t="s">
        <v>1531</v>
      </c>
      <c r="AR572" s="24" t="s">
        <v>1532</v>
      </c>
      <c r="AS572" s="90">
        <v>2583070</v>
      </c>
      <c r="AT572" s="24" t="s">
        <v>94</v>
      </c>
      <c r="AU572" s="90" t="s">
        <v>584</v>
      </c>
      <c r="AV572" s="90" t="str">
        <f>IF(ISNUMBER(SEARCH("disagree",AE572)),"N","Y")</f>
        <v>Y</v>
      </c>
      <c r="AW572" s="90">
        <v>62488</v>
      </c>
      <c r="AX572" s="24" t="s">
        <v>96</v>
      </c>
      <c r="AY572" s="90" t="str">
        <f>CONCATENATE(AZ572,BA572,BB572,BC572)</f>
        <v>S</v>
      </c>
      <c r="AZ572" s="90" t="str">
        <f>IF(ISNUMBER(SEARCH("Y",AC572)),"R","")</f>
        <v/>
      </c>
      <c r="BA572" s="90" t="str">
        <f>IF(ISNUMBER(SEARCH("Y",Y572)),"M","")</f>
        <v/>
      </c>
      <c r="BB572" s="90" t="str">
        <f>IF(ISNUMBER(SEARCH("Y",AB572)),"QC","")</f>
        <v/>
      </c>
      <c r="BC572" s="90" t="str">
        <f>IF(ISNUMBER(SEARCH("Y",Z572)),"S","")</f>
        <v>S</v>
      </c>
      <c r="BD572" s="90"/>
      <c r="BE572" s="24" t="s">
        <v>97</v>
      </c>
      <c r="BF572" s="125" t="str">
        <f>IF(AND(AW572&gt;=56543,AW572&lt;=76543,LEN(AW572)&gt;0),"3 Feb 2020",IF(AND(AW572&gt;=66544,AW572&lt;=99999,LEN(AW572)&gt;0),"12 Sep 2020",""))</f>
        <v>3 Feb 2020</v>
      </c>
      <c r="BG572" s="125" t="str">
        <f>IF((AND(BF572="3 Feb 2020",LEN(BF572)&gt;0)),"Completed",IF((AND(BF572="12 Sep 2020",LEN(BF572)&gt;0)),"Pending",""))</f>
        <v>Completed</v>
      </c>
      <c r="BH572" s="90" t="str">
        <f>IF((AND(BF572="3 Feb 2020",LEN(BF572)&gt;0)),"3 Feb 2020","")</f>
        <v>3 Feb 2020</v>
      </c>
      <c r="BI572" s="90">
        <v>239787</v>
      </c>
      <c r="BJ572" s="90" t="str">
        <f>L572</f>
        <v>2R23HR841859-37</v>
      </c>
      <c r="BK572" s="127">
        <v>43508</v>
      </c>
      <c r="BL572" s="127">
        <v>44239</v>
      </c>
      <c r="BM572" s="128">
        <f>P572*1.1</f>
        <v>2227269</v>
      </c>
      <c r="BN572" s="129">
        <f>P572*0.9</f>
        <v>1822311</v>
      </c>
      <c r="BO572" s="130">
        <f>P572*0.8</f>
        <v>1619832</v>
      </c>
      <c r="BP572" s="90">
        <f>IF(Z572="Y",BM572*0.4,BM572*1.05)</f>
        <v>890907.60000000009</v>
      </c>
      <c r="BQ572" s="90">
        <f>BP572*0.8</f>
        <v>712726.08000000007</v>
      </c>
      <c r="BR572" s="90" t="str">
        <f>IF(ISNUMBER(SEARCH("subrecipient",AI568)),P572*0.6,"")</f>
        <v/>
      </c>
      <c r="BS572" s="90">
        <v>239787</v>
      </c>
      <c r="BT572" s="90" t="str">
        <f>BJ572</f>
        <v>2R23HR841859-37</v>
      </c>
      <c r="BU572" s="127">
        <f>BK572</f>
        <v>43508</v>
      </c>
      <c r="BV572" s="127">
        <f>BL572</f>
        <v>44239</v>
      </c>
      <c r="BW572" s="90" t="str">
        <f>H572</f>
        <v>NIH</v>
      </c>
      <c r="BX572" s="90" t="str">
        <f>IF(H572="NATIONAL HEMOPHILIA FOUNDATION","Non Federal","Federal")</f>
        <v>Federal</v>
      </c>
      <c r="BY572" s="128">
        <f>BM572</f>
        <v>2227269</v>
      </c>
      <c r="BZ572" s="90" t="str">
        <f>IF(LEN(BR572)&gt;0,1,"")</f>
        <v/>
      </c>
      <c r="CA572" s="90" t="str">
        <f>IF(LEN(BR572)&gt;0,"VIRAL HEPATITIS PROJECT","")</f>
        <v/>
      </c>
      <c r="CB572" s="129" t="str">
        <f>IF(LEN(BR572)&gt;0,BM572*0.7,"")</f>
        <v/>
      </c>
      <c r="CC572" s="90">
        <f>BP572</f>
        <v>890907.60000000009</v>
      </c>
      <c r="CD572" s="90" t="str">
        <f>IF(LEN(BR572)&gt;0,"70%","")</f>
        <v/>
      </c>
      <c r="CE572" s="90">
        <f>BS572</f>
        <v>239787</v>
      </c>
      <c r="CF572" s="90" t="str">
        <f>CA572</f>
        <v/>
      </c>
      <c r="CG572" s="90"/>
      <c r="CH572" s="90"/>
      <c r="CI572" s="90"/>
      <c r="CJ572" s="90"/>
      <c r="CK572" s="90"/>
      <c r="CL572" s="90"/>
      <c r="CM572" s="90"/>
      <c r="CN572" s="90"/>
      <c r="CO572" s="90"/>
      <c r="CP572" s="90"/>
      <c r="CQ572" s="90"/>
      <c r="CR572" s="90"/>
      <c r="CS572" s="90"/>
      <c r="CT572" s="137"/>
    </row>
    <row r="573" spans="1:98" ht="75">
      <c r="A573" s="89">
        <v>239787</v>
      </c>
      <c r="B573" s="90">
        <v>2020</v>
      </c>
      <c r="C573" s="90" t="s">
        <v>81</v>
      </c>
      <c r="D573" s="90" t="s">
        <v>1529</v>
      </c>
      <c r="E573" s="125" t="s">
        <v>791</v>
      </c>
      <c r="F573" s="24" t="s">
        <v>1530</v>
      </c>
      <c r="G573" s="90" t="s">
        <v>85</v>
      </c>
      <c r="H573" s="90" t="s">
        <v>117</v>
      </c>
      <c r="I573" s="90">
        <v>93</v>
      </c>
      <c r="J573" s="90">
        <v>157</v>
      </c>
      <c r="K573" s="90" t="s">
        <v>85</v>
      </c>
      <c r="L573" s="90" t="s">
        <v>1531</v>
      </c>
      <c r="M573" s="90" t="s">
        <v>85</v>
      </c>
      <c r="N573" s="24" t="s">
        <v>1532</v>
      </c>
      <c r="O573" s="24" t="str">
        <f>IF(ISNUMBER(SEARCH("Cancer",N573)),"Cancer",IF(ISNUMBER(SEARCH("health",N573)),"Public health",IF(ISNUMBER(SEARCH("disabilities",N573)),"Disabilities","Other")))</f>
        <v>Other</v>
      </c>
      <c r="P573" s="126">
        <v>2024790</v>
      </c>
      <c r="Q573" s="90" t="s">
        <v>85</v>
      </c>
      <c r="R573" s="90" t="str">
        <f>IF(P573&gt;20000000,"B","A")</f>
        <v>A</v>
      </c>
      <c r="S573" s="90" t="s">
        <v>90</v>
      </c>
      <c r="T573" s="90">
        <v>2583070</v>
      </c>
      <c r="U573" s="90" t="s">
        <v>91</v>
      </c>
      <c r="V573" s="90" t="s">
        <v>584</v>
      </c>
      <c r="W573" s="90" t="s">
        <v>85</v>
      </c>
      <c r="X573" s="90" t="s">
        <v>85</v>
      </c>
      <c r="Y573" s="90" t="s">
        <v>85</v>
      </c>
      <c r="Z573" s="90" t="s">
        <v>87</v>
      </c>
      <c r="AA573" s="90" t="s">
        <v>85</v>
      </c>
      <c r="AB573" s="90" t="s">
        <v>85</v>
      </c>
      <c r="AC573" s="90" t="s">
        <v>85</v>
      </c>
      <c r="AD573" s="90">
        <v>0</v>
      </c>
      <c r="AE573" s="24">
        <v>0</v>
      </c>
      <c r="AF573" s="90">
        <v>0</v>
      </c>
      <c r="AG573" s="24">
        <v>0</v>
      </c>
      <c r="AH573" s="90">
        <v>88675</v>
      </c>
      <c r="AI573" s="24" t="s">
        <v>102</v>
      </c>
      <c r="AJ573" s="24" t="s">
        <v>103</v>
      </c>
      <c r="AK573" s="90" t="s">
        <v>85</v>
      </c>
      <c r="AL573" s="90">
        <v>239787</v>
      </c>
      <c r="AM573" s="90" t="s">
        <v>81</v>
      </c>
      <c r="AN573" s="90" t="s">
        <v>1529</v>
      </c>
      <c r="AO573" s="125" t="s">
        <v>791</v>
      </c>
      <c r="AP573" s="24" t="s">
        <v>1532</v>
      </c>
      <c r="AQ573" s="90" t="s">
        <v>1531</v>
      </c>
      <c r="AR573" s="24" t="s">
        <v>1532</v>
      </c>
      <c r="AS573" s="90">
        <v>2583070</v>
      </c>
      <c r="AT573" s="24" t="s">
        <v>102</v>
      </c>
      <c r="AU573" s="90" t="s">
        <v>584</v>
      </c>
      <c r="AV573" s="90" t="str">
        <f>IF(ISNUMBER(SEARCH("disagree",AE573)),"N","Y")</f>
        <v>Y</v>
      </c>
      <c r="AW573" s="90">
        <v>90423</v>
      </c>
      <c r="AX573" s="24" t="s">
        <v>104</v>
      </c>
      <c r="AY573" s="90" t="str">
        <f>CONCATENATE(AZ573,BA573,BB573,BC573)</f>
        <v>S</v>
      </c>
      <c r="AZ573" s="90" t="str">
        <f>IF(ISNUMBER(SEARCH("Y",AC573)),"R","")</f>
        <v/>
      </c>
      <c r="BA573" s="90" t="str">
        <f>IF(ISNUMBER(SEARCH("Y",Y573)),"M","")</f>
        <v/>
      </c>
      <c r="BB573" s="90" t="str">
        <f>IF(ISNUMBER(SEARCH("Y",AB573)),"QC","")</f>
        <v/>
      </c>
      <c r="BC573" s="90" t="str">
        <f>IF(ISNUMBER(SEARCH("Y",Z573)),"S","")</f>
        <v>S</v>
      </c>
      <c r="BD573" s="90"/>
      <c r="BE573" s="24" t="s">
        <v>327</v>
      </c>
      <c r="BF573" s="125" t="str">
        <f>IF(AND(AW573&gt;=56543,AW573&lt;=76543,LEN(AW573)&gt;0),"3 Feb 2020",IF(AND(AW573&gt;=66544,AW573&lt;=99999,LEN(AW573)&gt;0),"12 Sep 2020",""))</f>
        <v>12 Sep 2020</v>
      </c>
      <c r="BG573" s="125" t="str">
        <f>IF((AND(BF573="3 Feb 2020",LEN(BF573)&gt;0)),"Completed",IF((AND(BF573="12 Sep 2020",LEN(BF573)&gt;0)),"Pending",""))</f>
        <v>Pending</v>
      </c>
      <c r="BH573" s="90" t="str">
        <f>IF((AND(BF573="3 Feb 2020",LEN(BF573)&gt;0)),"3 Feb 2020","")</f>
        <v/>
      </c>
      <c r="BI573" s="90">
        <v>239787</v>
      </c>
      <c r="BJ573" s="90" t="str">
        <f>L573</f>
        <v>2R23HR841859-37</v>
      </c>
      <c r="BK573" s="127">
        <v>43508</v>
      </c>
      <c r="BL573" s="127">
        <v>44239</v>
      </c>
      <c r="BM573" s="128">
        <f>P573*1.1</f>
        <v>2227269</v>
      </c>
      <c r="BN573" s="129">
        <f>P573*0.9</f>
        <v>1822311</v>
      </c>
      <c r="BO573" s="130">
        <f>P573*0.8</f>
        <v>1619832</v>
      </c>
      <c r="BP573" s="90">
        <f>IF(Z573="Y",BM573*0.4,BM573*1.05)</f>
        <v>890907.60000000009</v>
      </c>
      <c r="BQ573" s="90">
        <f>BP573*0.8</f>
        <v>712726.08000000007</v>
      </c>
      <c r="BR573" s="90" t="str">
        <f>IF(ISNUMBER(SEARCH("subrecipient",AI569)),P573*0.6,"")</f>
        <v/>
      </c>
      <c r="BS573" s="90">
        <v>239787</v>
      </c>
      <c r="BT573" s="90" t="str">
        <f>BJ573</f>
        <v>2R23HR841859-37</v>
      </c>
      <c r="BU573" s="127">
        <f>BK573</f>
        <v>43508</v>
      </c>
      <c r="BV573" s="127">
        <f>BL573</f>
        <v>44239</v>
      </c>
      <c r="BW573" s="90" t="str">
        <f>H573</f>
        <v>NIH</v>
      </c>
      <c r="BX573" s="90" t="str">
        <f>IF(H573="NATIONAL HEMOPHILIA FOUNDATION","Non Federal","Federal")</f>
        <v>Federal</v>
      </c>
      <c r="BY573" s="128">
        <f>BM573</f>
        <v>2227269</v>
      </c>
      <c r="BZ573" s="90" t="str">
        <f>IF(LEN(BR573)&gt;0,1,"")</f>
        <v/>
      </c>
      <c r="CA573" s="90" t="str">
        <f>IF(LEN(BR573)&gt;0,"VIRAL HEPATITIS PROJECT","")</f>
        <v/>
      </c>
      <c r="CB573" s="129" t="str">
        <f>IF(LEN(BR573)&gt;0,BM573*0.7,"")</f>
        <v/>
      </c>
      <c r="CC573" s="90">
        <f>BP573</f>
        <v>890907.60000000009</v>
      </c>
      <c r="CD573" s="90" t="str">
        <f>IF(LEN(BR573)&gt;0,"70%","")</f>
        <v/>
      </c>
      <c r="CE573" s="90">
        <f>BS573</f>
        <v>239787</v>
      </c>
      <c r="CF573" s="90" t="str">
        <f>CA573</f>
        <v/>
      </c>
      <c r="CG573" s="90"/>
      <c r="CH573" s="90"/>
      <c r="CI573" s="90"/>
      <c r="CJ573" s="90"/>
      <c r="CK573" s="90"/>
      <c r="CL573" s="90"/>
      <c r="CM573" s="90"/>
      <c r="CN573" s="90"/>
      <c r="CO573" s="90"/>
      <c r="CP573" s="90"/>
      <c r="CQ573" s="90"/>
      <c r="CR573" s="90"/>
      <c r="CS573" s="90"/>
      <c r="CT573" s="137"/>
    </row>
    <row r="574" spans="1:98" ht="45">
      <c r="A574" s="89">
        <v>240008</v>
      </c>
      <c r="B574" s="90">
        <v>2020</v>
      </c>
      <c r="C574" s="90" t="s">
        <v>81</v>
      </c>
      <c r="D574" s="90" t="s">
        <v>1536</v>
      </c>
      <c r="E574" s="125" t="s">
        <v>793</v>
      </c>
      <c r="F574" s="24" t="s">
        <v>1537</v>
      </c>
      <c r="G574" s="90" t="s">
        <v>85</v>
      </c>
      <c r="H574" s="90" t="s">
        <v>132</v>
      </c>
      <c r="I574" s="90">
        <v>93</v>
      </c>
      <c r="J574" s="90">
        <v>157</v>
      </c>
      <c r="K574" s="90" t="s">
        <v>85</v>
      </c>
      <c r="L574" s="90" t="s">
        <v>1538</v>
      </c>
      <c r="M574" s="90" t="s">
        <v>119</v>
      </c>
      <c r="N574" s="24" t="s">
        <v>1539</v>
      </c>
      <c r="O574" s="24" t="str">
        <f>IF(ISNUMBER(SEARCH("Cancer",N574)),"Cancer",IF(ISNUMBER(SEARCH("health",N574)),"Public health",IF(ISNUMBER(SEARCH("disabilities",N574)),"Disabilities","Other")))</f>
        <v>Other</v>
      </c>
      <c r="P574" s="126">
        <v>2682398</v>
      </c>
      <c r="Q574" s="90" t="s">
        <v>85</v>
      </c>
      <c r="R574" s="90" t="str">
        <f>IF(P574&gt;20000000,"B","A")</f>
        <v>A</v>
      </c>
      <c r="S574" s="90" t="s">
        <v>90</v>
      </c>
      <c r="T574" s="90" t="s">
        <v>119</v>
      </c>
      <c r="U574" s="90" t="s">
        <v>119</v>
      </c>
      <c r="V574" s="90" t="s">
        <v>119</v>
      </c>
      <c r="W574" s="90" t="s">
        <v>119</v>
      </c>
      <c r="X574" s="90" t="s">
        <v>119</v>
      </c>
      <c r="Y574" s="90" t="s">
        <v>119</v>
      </c>
      <c r="Z574" s="90" t="s">
        <v>119</v>
      </c>
      <c r="AA574" s="90" t="s">
        <v>119</v>
      </c>
      <c r="AB574" s="90" t="s">
        <v>119</v>
      </c>
      <c r="AC574" s="90" t="s">
        <v>119</v>
      </c>
      <c r="AD574" s="90" t="s">
        <v>119</v>
      </c>
      <c r="AE574" s="24">
        <v>0</v>
      </c>
      <c r="AF574" s="90">
        <v>0</v>
      </c>
      <c r="AG574" s="24">
        <v>0</v>
      </c>
      <c r="AH574" s="90">
        <v>88432</v>
      </c>
      <c r="AI574" s="24" t="s">
        <v>94</v>
      </c>
      <c r="AJ574" s="24" t="s">
        <v>873</v>
      </c>
      <c r="AK574" s="90" t="s">
        <v>85</v>
      </c>
      <c r="AL574" s="90">
        <v>240008</v>
      </c>
      <c r="AM574" s="90" t="s">
        <v>81</v>
      </c>
      <c r="AN574" s="90" t="s">
        <v>1536</v>
      </c>
      <c r="AO574" s="125" t="s">
        <v>793</v>
      </c>
      <c r="AP574" s="24" t="s">
        <v>1539</v>
      </c>
      <c r="AQ574" s="90" t="s">
        <v>1538</v>
      </c>
      <c r="AR574" s="24" t="s">
        <v>1539</v>
      </c>
      <c r="AS574" s="90" t="s">
        <v>119</v>
      </c>
      <c r="AT574" s="24" t="s">
        <v>94</v>
      </c>
      <c r="AU574" s="90" t="s">
        <v>119</v>
      </c>
      <c r="AV574" s="90" t="str">
        <f>IF(ISNUMBER(SEARCH("disagree",AE574)),"N","Y")</f>
        <v>Y</v>
      </c>
      <c r="AW574" s="90" t="s">
        <v>119</v>
      </c>
      <c r="AX574" s="24" t="s">
        <v>119</v>
      </c>
      <c r="AY574" s="90" t="str">
        <f>CONCATENATE(AZ574,BA574,BB574,BC574)</f>
        <v/>
      </c>
      <c r="AZ574" s="90" t="str">
        <f>IF(ISNUMBER(SEARCH("Y",AC574)),"R","")</f>
        <v/>
      </c>
      <c r="BA574" s="90" t="str">
        <f>IF(ISNUMBER(SEARCH("Y",Y574)),"M","")</f>
        <v/>
      </c>
      <c r="BB574" s="90" t="str">
        <f>IF(ISNUMBER(SEARCH("Y",AB574)),"QC","")</f>
        <v/>
      </c>
      <c r="BC574" s="90" t="str">
        <f>IF(ISNUMBER(SEARCH("Y",Z574)),"S","")</f>
        <v/>
      </c>
      <c r="BD574" s="90"/>
      <c r="BE574" s="24" t="s">
        <v>119</v>
      </c>
      <c r="BF574" s="125" t="str">
        <f>IF(AND(AW574&gt;=56543,AW574&lt;=76543,LEN(AW574)&gt;0),"3 Feb 2020",IF(AND(AW574&gt;=66544,AW574&lt;=99999,LEN(AW574)&gt;0),"12 Sep 2020",""))</f>
        <v/>
      </c>
      <c r="BG574" s="125" t="str">
        <f>IF((AND(BF574="3 Feb 2020",LEN(BF574)&gt;0)),"Completed",IF((AND(BF574="12 Sep 2020",LEN(BF574)&gt;0)),"Pending",""))</f>
        <v/>
      </c>
      <c r="BH574" s="90" t="str">
        <f>IF((AND(BF574="3 Feb 2020",LEN(BF574)&gt;0)),"3 Feb 2020","")</f>
        <v/>
      </c>
      <c r="BI574" s="90">
        <v>240008</v>
      </c>
      <c r="BJ574" s="90" t="str">
        <f>L574</f>
        <v>3R74BR844489-74</v>
      </c>
      <c r="BK574" s="127">
        <v>43508</v>
      </c>
      <c r="BL574" s="127">
        <v>44239</v>
      </c>
      <c r="BM574" s="128">
        <f>P574*1.1</f>
        <v>2950637.8000000003</v>
      </c>
      <c r="BN574" s="129">
        <f>P574*0.9</f>
        <v>2414158.2000000002</v>
      </c>
      <c r="BO574" s="130">
        <f>P574*0.8</f>
        <v>2145918.4</v>
      </c>
      <c r="BP574" s="90">
        <f>IF(Z574="Y",BM574*0.4,BM574*1.05)</f>
        <v>3098169.6900000004</v>
      </c>
      <c r="BQ574" s="90">
        <f>BP574*0.8</f>
        <v>2478535.7520000003</v>
      </c>
      <c r="BR574" s="90" t="str">
        <f>IF(ISNUMBER(SEARCH("subrecipient",AI570)),P574*0.6,"")</f>
        <v/>
      </c>
      <c r="BS574" s="90">
        <v>240008</v>
      </c>
      <c r="BT574" s="90" t="str">
        <f>BJ574</f>
        <v>3R74BR844489-74</v>
      </c>
      <c r="BU574" s="127">
        <f>BK574</f>
        <v>43508</v>
      </c>
      <c r="BV574" s="127">
        <f>BL574</f>
        <v>44239</v>
      </c>
      <c r="BW574" s="90" t="str">
        <f>H574</f>
        <v>FDA</v>
      </c>
      <c r="BX574" s="90" t="str">
        <f>IF(H574="NATIONAL HEMOPHILIA FOUNDATION","Non Federal","Federal")</f>
        <v>Federal</v>
      </c>
      <c r="BY574" s="128">
        <f>BM574</f>
        <v>2950637.8000000003</v>
      </c>
      <c r="BZ574" s="90" t="str">
        <f>IF(LEN(BR574)&gt;0,1,"")</f>
        <v/>
      </c>
      <c r="CA574" s="90" t="str">
        <f>IF(LEN(BR574)&gt;0,"VIRAL HEPATITIS PROJECT","")</f>
        <v/>
      </c>
      <c r="CB574" s="129" t="str">
        <f>IF(LEN(BR574)&gt;0,BM574*0.7,"")</f>
        <v/>
      </c>
      <c r="CC574" s="90">
        <f>BP574</f>
        <v>3098169.6900000004</v>
      </c>
      <c r="CD574" s="90" t="str">
        <f>IF(LEN(BR574)&gt;0,"70%","")</f>
        <v/>
      </c>
      <c r="CE574" s="90">
        <f>BS574</f>
        <v>240008</v>
      </c>
      <c r="CF574" s="90" t="str">
        <f>CA574</f>
        <v/>
      </c>
      <c r="CG574" s="90"/>
      <c r="CH574" s="90"/>
      <c r="CI574" s="90"/>
      <c r="CJ574" s="90"/>
      <c r="CK574" s="90"/>
      <c r="CL574" s="90"/>
      <c r="CM574" s="90"/>
      <c r="CN574" s="90"/>
      <c r="CO574" s="90"/>
      <c r="CP574" s="90"/>
      <c r="CQ574" s="90"/>
      <c r="CR574" s="90"/>
      <c r="CS574" s="90"/>
      <c r="CT574" s="137"/>
    </row>
    <row r="575" spans="1:98" ht="45">
      <c r="A575" s="89">
        <v>240008</v>
      </c>
      <c r="B575" s="90">
        <v>2020</v>
      </c>
      <c r="C575" s="90" t="s">
        <v>81</v>
      </c>
      <c r="D575" s="90" t="s">
        <v>1536</v>
      </c>
      <c r="E575" s="125" t="s">
        <v>780</v>
      </c>
      <c r="F575" s="24" t="s">
        <v>1537</v>
      </c>
      <c r="G575" s="90" t="s">
        <v>85</v>
      </c>
      <c r="H575" s="90" t="s">
        <v>132</v>
      </c>
      <c r="I575" s="90">
        <v>93</v>
      </c>
      <c r="J575" s="90">
        <v>157</v>
      </c>
      <c r="K575" s="90" t="s">
        <v>85</v>
      </c>
      <c r="L575" s="90" t="s">
        <v>1538</v>
      </c>
      <c r="M575" s="90" t="s">
        <v>119</v>
      </c>
      <c r="N575" s="24" t="s">
        <v>1539</v>
      </c>
      <c r="O575" s="24" t="str">
        <f>IF(ISNUMBER(SEARCH("Cancer",N575)),"Cancer",IF(ISNUMBER(SEARCH("health",N575)),"Public health",IF(ISNUMBER(SEARCH("disabilities",N575)),"Disabilities","Other")))</f>
        <v>Other</v>
      </c>
      <c r="P575" s="126">
        <v>2682398</v>
      </c>
      <c r="Q575" s="90" t="s">
        <v>85</v>
      </c>
      <c r="R575" s="90" t="str">
        <f>IF(P575&gt;20000000,"B","A")</f>
        <v>A</v>
      </c>
      <c r="S575" s="90" t="s">
        <v>90</v>
      </c>
      <c r="T575" s="90" t="s">
        <v>119</v>
      </c>
      <c r="U575" s="90" t="s">
        <v>119</v>
      </c>
      <c r="V575" s="90" t="s">
        <v>119</v>
      </c>
      <c r="W575" s="90" t="s">
        <v>119</v>
      </c>
      <c r="X575" s="90" t="s">
        <v>119</v>
      </c>
      <c r="Y575" s="90" t="s">
        <v>119</v>
      </c>
      <c r="Z575" s="90" t="s">
        <v>119</v>
      </c>
      <c r="AA575" s="90" t="s">
        <v>119</v>
      </c>
      <c r="AB575" s="90" t="s">
        <v>119</v>
      </c>
      <c r="AC575" s="90" t="s">
        <v>119</v>
      </c>
      <c r="AD575" s="90" t="s">
        <v>119</v>
      </c>
      <c r="AE575" s="24">
        <v>0</v>
      </c>
      <c r="AF575" s="90">
        <v>0</v>
      </c>
      <c r="AG575" s="24">
        <v>0</v>
      </c>
      <c r="AH575" s="90">
        <v>88433</v>
      </c>
      <c r="AI575" s="24" t="s">
        <v>102</v>
      </c>
      <c r="AJ575" s="24" t="s">
        <v>103</v>
      </c>
      <c r="AK575" s="90" t="s">
        <v>85</v>
      </c>
      <c r="AL575" s="90">
        <v>240008</v>
      </c>
      <c r="AM575" s="90" t="s">
        <v>81</v>
      </c>
      <c r="AN575" s="90" t="s">
        <v>1536</v>
      </c>
      <c r="AO575" s="125" t="s">
        <v>780</v>
      </c>
      <c r="AP575" s="24" t="s">
        <v>1539</v>
      </c>
      <c r="AQ575" s="90" t="s">
        <v>1538</v>
      </c>
      <c r="AR575" s="24" t="s">
        <v>1539</v>
      </c>
      <c r="AS575" s="90" t="s">
        <v>119</v>
      </c>
      <c r="AT575" s="24" t="s">
        <v>102</v>
      </c>
      <c r="AU575" s="90" t="s">
        <v>119</v>
      </c>
      <c r="AV575" s="90" t="str">
        <f>IF(ISNUMBER(SEARCH("disagree",AE575)),"N","Y")</f>
        <v>Y</v>
      </c>
      <c r="AW575" s="90" t="s">
        <v>119</v>
      </c>
      <c r="AX575" s="24" t="s">
        <v>119</v>
      </c>
      <c r="AY575" s="90" t="str">
        <f>CONCATENATE(AZ575,BA575,BB575,BC575)</f>
        <v/>
      </c>
      <c r="AZ575" s="90" t="str">
        <f>IF(ISNUMBER(SEARCH("Y",AC575)),"R","")</f>
        <v/>
      </c>
      <c r="BA575" s="90" t="str">
        <f>IF(ISNUMBER(SEARCH("Y",Y575)),"M","")</f>
        <v/>
      </c>
      <c r="BB575" s="90" t="str">
        <f>IF(ISNUMBER(SEARCH("Y",AB575)),"QC","")</f>
        <v/>
      </c>
      <c r="BC575" s="90" t="str">
        <f>IF(ISNUMBER(SEARCH("Y",Z575)),"S","")</f>
        <v/>
      </c>
      <c r="BD575" s="90"/>
      <c r="BE575" s="24" t="s">
        <v>119</v>
      </c>
      <c r="BF575" s="125" t="str">
        <f>IF(AND(AW575&gt;=56543,AW575&lt;=76543,LEN(AW575)&gt;0),"3 Feb 2020",IF(AND(AW575&gt;=66544,AW575&lt;=99999,LEN(AW575)&gt;0),"12 Sep 2020",""))</f>
        <v/>
      </c>
      <c r="BG575" s="125" t="str">
        <f>IF((AND(BF575="3 Feb 2020",LEN(BF575)&gt;0)),"Completed",IF((AND(BF575="12 Sep 2020",LEN(BF575)&gt;0)),"Pending",""))</f>
        <v/>
      </c>
      <c r="BH575" s="90" t="str">
        <f>IF((AND(BF575="3 Feb 2020",LEN(BF575)&gt;0)),"3 Feb 2020","")</f>
        <v/>
      </c>
      <c r="BI575" s="90">
        <v>240008</v>
      </c>
      <c r="BJ575" s="90" t="str">
        <f>L575</f>
        <v>3R74BR844489-74</v>
      </c>
      <c r="BK575" s="127">
        <v>43508</v>
      </c>
      <c r="BL575" s="127">
        <v>44239</v>
      </c>
      <c r="BM575" s="128">
        <f>P575*1.1</f>
        <v>2950637.8000000003</v>
      </c>
      <c r="BN575" s="129">
        <f>P575*0.9</f>
        <v>2414158.2000000002</v>
      </c>
      <c r="BO575" s="130">
        <f>P575*0.8</f>
        <v>2145918.4</v>
      </c>
      <c r="BP575" s="90">
        <f>IF(Z575="Y",BM575*0.4,BM575*1.05)</f>
        <v>3098169.6900000004</v>
      </c>
      <c r="BQ575" s="90">
        <f>BP575*0.8</f>
        <v>2478535.7520000003</v>
      </c>
      <c r="BR575" s="90" t="str">
        <f>IF(ISNUMBER(SEARCH("subrecipient",AI571)),P575*0.6,"")</f>
        <v/>
      </c>
      <c r="BS575" s="90">
        <v>240008</v>
      </c>
      <c r="BT575" s="90" t="str">
        <f>BJ575</f>
        <v>3R74BR844489-74</v>
      </c>
      <c r="BU575" s="127">
        <f>BK575</f>
        <v>43508</v>
      </c>
      <c r="BV575" s="127">
        <f>BL575</f>
        <v>44239</v>
      </c>
      <c r="BW575" s="90" t="str">
        <f>H575</f>
        <v>FDA</v>
      </c>
      <c r="BX575" s="90" t="str">
        <f>IF(H575="NATIONAL HEMOPHILIA FOUNDATION","Non Federal","Federal")</f>
        <v>Federal</v>
      </c>
      <c r="BY575" s="128">
        <f>BM575</f>
        <v>2950637.8000000003</v>
      </c>
      <c r="BZ575" s="90" t="str">
        <f>IF(LEN(BR575)&gt;0,1,"")</f>
        <v/>
      </c>
      <c r="CA575" s="90" t="str">
        <f>IF(LEN(BR575)&gt;0,"VIRAL HEPATITIS PROJECT","")</f>
        <v/>
      </c>
      <c r="CB575" s="129" t="str">
        <f>IF(LEN(BR575)&gt;0,BM575*0.7,"")</f>
        <v/>
      </c>
      <c r="CC575" s="90">
        <f>BP575</f>
        <v>3098169.6900000004</v>
      </c>
      <c r="CD575" s="90" t="str">
        <f>IF(LEN(BR575)&gt;0,"70%","")</f>
        <v/>
      </c>
      <c r="CE575" s="90">
        <f>BS575</f>
        <v>240008</v>
      </c>
      <c r="CF575" s="90" t="str">
        <f>CA575</f>
        <v/>
      </c>
      <c r="CG575" s="90"/>
      <c r="CH575" s="90"/>
      <c r="CI575" s="90"/>
      <c r="CJ575" s="90"/>
      <c r="CK575" s="90"/>
      <c r="CL575" s="90"/>
      <c r="CM575" s="90"/>
      <c r="CN575" s="90"/>
      <c r="CO575" s="90"/>
      <c r="CP575" s="90"/>
      <c r="CQ575" s="90"/>
      <c r="CR575" s="90"/>
      <c r="CS575" s="90"/>
      <c r="CT575" s="137"/>
    </row>
    <row r="576" spans="1:98" ht="45">
      <c r="A576" s="89">
        <v>240008</v>
      </c>
      <c r="B576" s="90">
        <v>2020</v>
      </c>
      <c r="C576" s="90" t="s">
        <v>81</v>
      </c>
      <c r="D576" s="90" t="s">
        <v>1536</v>
      </c>
      <c r="E576" s="125" t="s">
        <v>781</v>
      </c>
      <c r="F576" s="24" t="s">
        <v>1537</v>
      </c>
      <c r="G576" s="90" t="s">
        <v>85</v>
      </c>
      <c r="H576" s="90" t="s">
        <v>132</v>
      </c>
      <c r="I576" s="90">
        <v>93</v>
      </c>
      <c r="J576" s="90">
        <v>157</v>
      </c>
      <c r="K576" s="90" t="s">
        <v>85</v>
      </c>
      <c r="L576" s="90" t="s">
        <v>1538</v>
      </c>
      <c r="M576" s="90" t="s">
        <v>119</v>
      </c>
      <c r="N576" s="24" t="s">
        <v>1539</v>
      </c>
      <c r="O576" s="24" t="str">
        <f>IF(ISNUMBER(SEARCH("Cancer",N576)),"Cancer",IF(ISNUMBER(SEARCH("health",N576)),"Public health",IF(ISNUMBER(SEARCH("disabilities",N576)),"Disabilities","Other")))</f>
        <v>Other</v>
      </c>
      <c r="P576" s="126">
        <v>2682398</v>
      </c>
      <c r="Q576" s="90" t="s">
        <v>85</v>
      </c>
      <c r="R576" s="90" t="str">
        <f>IF(P576&gt;20000000,"B","A")</f>
        <v>A</v>
      </c>
      <c r="S576" s="90" t="s">
        <v>90</v>
      </c>
      <c r="T576" s="90" t="s">
        <v>119</v>
      </c>
      <c r="U576" s="90" t="s">
        <v>119</v>
      </c>
      <c r="V576" s="90" t="s">
        <v>119</v>
      </c>
      <c r="W576" s="90" t="s">
        <v>119</v>
      </c>
      <c r="X576" s="90" t="s">
        <v>119</v>
      </c>
      <c r="Y576" s="90" t="s">
        <v>119</v>
      </c>
      <c r="Z576" s="90" t="s">
        <v>119</v>
      </c>
      <c r="AA576" s="90" t="s">
        <v>119</v>
      </c>
      <c r="AB576" s="90" t="s">
        <v>119</v>
      </c>
      <c r="AC576" s="90" t="s">
        <v>119</v>
      </c>
      <c r="AD576" s="90" t="s">
        <v>119</v>
      </c>
      <c r="AE576" s="24">
        <v>0</v>
      </c>
      <c r="AF576" s="90">
        <v>0</v>
      </c>
      <c r="AG576" s="24">
        <v>0</v>
      </c>
      <c r="AH576" s="90">
        <v>88430</v>
      </c>
      <c r="AI576" s="24" t="s">
        <v>110</v>
      </c>
      <c r="AJ576" s="24" t="s">
        <v>1540</v>
      </c>
      <c r="AK576" s="90" t="s">
        <v>85</v>
      </c>
      <c r="AL576" s="90">
        <v>240008</v>
      </c>
      <c r="AM576" s="90" t="s">
        <v>81</v>
      </c>
      <c r="AN576" s="90" t="s">
        <v>1536</v>
      </c>
      <c r="AO576" s="125" t="s">
        <v>781</v>
      </c>
      <c r="AP576" s="24" t="s">
        <v>1539</v>
      </c>
      <c r="AQ576" s="90" t="s">
        <v>1538</v>
      </c>
      <c r="AR576" s="24" t="s">
        <v>1539</v>
      </c>
      <c r="AS576" s="90" t="s">
        <v>119</v>
      </c>
      <c r="AT576" s="24" t="s">
        <v>110</v>
      </c>
      <c r="AU576" s="90" t="s">
        <v>119</v>
      </c>
      <c r="AV576" s="90" t="str">
        <f>IF(ISNUMBER(SEARCH("disagree",AE576)),"N","Y")</f>
        <v>Y</v>
      </c>
      <c r="AW576" s="90" t="s">
        <v>119</v>
      </c>
      <c r="AX576" s="24" t="s">
        <v>119</v>
      </c>
      <c r="AY576" s="90" t="str">
        <f>CONCATENATE(AZ576,BA576,BB576,BC576)</f>
        <v/>
      </c>
      <c r="AZ576" s="90" t="str">
        <f>IF(ISNUMBER(SEARCH("Y",AC576)),"R","")</f>
        <v/>
      </c>
      <c r="BA576" s="90" t="str">
        <f>IF(ISNUMBER(SEARCH("Y",Y576)),"M","")</f>
        <v/>
      </c>
      <c r="BB576" s="90" t="str">
        <f>IF(ISNUMBER(SEARCH("Y",AB576)),"QC","")</f>
        <v/>
      </c>
      <c r="BC576" s="90" t="str">
        <f>IF(ISNUMBER(SEARCH("Y",Z576)),"S","")</f>
        <v/>
      </c>
      <c r="BD576" s="90"/>
      <c r="BE576" s="24" t="s">
        <v>119</v>
      </c>
      <c r="BF576" s="125" t="str">
        <f>IF(AND(AW576&gt;=56543,AW576&lt;=76543,LEN(AW576)&gt;0),"3 Feb 2020",IF(AND(AW576&gt;=66544,AW576&lt;=99999,LEN(AW576)&gt;0),"12 Sep 2020",""))</f>
        <v/>
      </c>
      <c r="BG576" s="125" t="str">
        <f>IF((AND(BF576="3 Feb 2020",LEN(BF576)&gt;0)),"Completed",IF((AND(BF576="12 Sep 2020",LEN(BF576)&gt;0)),"Pending",""))</f>
        <v/>
      </c>
      <c r="BH576" s="90" t="str">
        <f>IF((AND(BF576="3 Feb 2020",LEN(BF576)&gt;0)),"3 Feb 2020","")</f>
        <v/>
      </c>
      <c r="BI576" s="90">
        <v>240008</v>
      </c>
      <c r="BJ576" s="90" t="str">
        <f>L576</f>
        <v>3R74BR844489-74</v>
      </c>
      <c r="BK576" s="127">
        <v>43508</v>
      </c>
      <c r="BL576" s="127">
        <v>44239</v>
      </c>
      <c r="BM576" s="128">
        <f>P576*1.1</f>
        <v>2950637.8000000003</v>
      </c>
      <c r="BN576" s="129">
        <f>P576*0.9</f>
        <v>2414158.2000000002</v>
      </c>
      <c r="BO576" s="130">
        <f>P576*0.8</f>
        <v>2145918.4</v>
      </c>
      <c r="BP576" s="90">
        <f>IF(Z576="Y",BM576*0.4,BM576*1.05)</f>
        <v>3098169.6900000004</v>
      </c>
      <c r="BQ576" s="90">
        <f>BP576*0.8</f>
        <v>2478535.7520000003</v>
      </c>
      <c r="BR576" s="90" t="str">
        <f>IF(ISNUMBER(SEARCH("subrecipient",AI572)),P576*0.6,"")</f>
        <v/>
      </c>
      <c r="BS576" s="90">
        <v>240008</v>
      </c>
      <c r="BT576" s="90" t="str">
        <f>BJ576</f>
        <v>3R74BR844489-74</v>
      </c>
      <c r="BU576" s="127">
        <f>BK576</f>
        <v>43508</v>
      </c>
      <c r="BV576" s="127">
        <f>BL576</f>
        <v>44239</v>
      </c>
      <c r="BW576" s="90" t="str">
        <f>H576</f>
        <v>FDA</v>
      </c>
      <c r="BX576" s="90" t="str">
        <f>IF(H576="NATIONAL HEMOPHILIA FOUNDATION","Non Federal","Federal")</f>
        <v>Federal</v>
      </c>
      <c r="BY576" s="128">
        <f>BM576</f>
        <v>2950637.8000000003</v>
      </c>
      <c r="BZ576" s="90" t="str">
        <f>IF(LEN(BR576)&gt;0,1,"")</f>
        <v/>
      </c>
      <c r="CA576" s="90" t="str">
        <f>IF(LEN(BR576)&gt;0,"VIRAL HEPATITIS PROJECT","")</f>
        <v/>
      </c>
      <c r="CB576" s="129" t="str">
        <f>IF(LEN(BR576)&gt;0,BM576*0.7,"")</f>
        <v/>
      </c>
      <c r="CC576" s="90">
        <f>BP576</f>
        <v>3098169.6900000004</v>
      </c>
      <c r="CD576" s="90" t="str">
        <f>IF(LEN(BR576)&gt;0,"70%","")</f>
        <v/>
      </c>
      <c r="CE576" s="90">
        <f>BS576</f>
        <v>240008</v>
      </c>
      <c r="CF576" s="90" t="str">
        <f>CA576</f>
        <v/>
      </c>
      <c r="CG576" s="90"/>
      <c r="CH576" s="90"/>
      <c r="CI576" s="90"/>
      <c r="CJ576" s="90"/>
      <c r="CK576" s="90"/>
      <c r="CL576" s="90"/>
      <c r="CM576" s="90"/>
      <c r="CN576" s="90"/>
      <c r="CO576" s="90"/>
      <c r="CP576" s="90"/>
      <c r="CQ576" s="90"/>
      <c r="CR576" s="90"/>
      <c r="CS576" s="90"/>
      <c r="CT576" s="137"/>
    </row>
    <row r="577" spans="1:98" ht="105">
      <c r="A577" s="89">
        <v>240008</v>
      </c>
      <c r="B577" s="90">
        <v>2020</v>
      </c>
      <c r="C577" s="90" t="s">
        <v>81</v>
      </c>
      <c r="D577" s="90" t="s">
        <v>1536</v>
      </c>
      <c r="E577" s="125" t="s">
        <v>784</v>
      </c>
      <c r="F577" s="24" t="s">
        <v>1537</v>
      </c>
      <c r="G577" s="90" t="s">
        <v>85</v>
      </c>
      <c r="H577" s="90" t="s">
        <v>132</v>
      </c>
      <c r="I577" s="90">
        <v>93</v>
      </c>
      <c r="J577" s="90">
        <v>157</v>
      </c>
      <c r="K577" s="90" t="s">
        <v>85</v>
      </c>
      <c r="L577" s="90" t="s">
        <v>1538</v>
      </c>
      <c r="M577" s="90" t="s">
        <v>119</v>
      </c>
      <c r="N577" s="24" t="s">
        <v>1539</v>
      </c>
      <c r="O577" s="24" t="str">
        <f>IF(ISNUMBER(SEARCH("Cancer",N577)),"Cancer",IF(ISNUMBER(SEARCH("health",N577)),"Public health",IF(ISNUMBER(SEARCH("disabilities",N577)),"Disabilities","Other")))</f>
        <v>Other</v>
      </c>
      <c r="P577" s="126">
        <v>2682398</v>
      </c>
      <c r="Q577" s="90" t="s">
        <v>85</v>
      </c>
      <c r="R577" s="90" t="str">
        <f>IF(P577&gt;20000000,"B","A")</f>
        <v>A</v>
      </c>
      <c r="S577" s="90" t="s">
        <v>90</v>
      </c>
      <c r="T577" s="90" t="s">
        <v>119</v>
      </c>
      <c r="U577" s="90" t="s">
        <v>119</v>
      </c>
      <c r="V577" s="90" t="s">
        <v>119</v>
      </c>
      <c r="W577" s="90" t="s">
        <v>119</v>
      </c>
      <c r="X577" s="90" t="s">
        <v>119</v>
      </c>
      <c r="Y577" s="90" t="s">
        <v>119</v>
      </c>
      <c r="Z577" s="90" t="s">
        <v>119</v>
      </c>
      <c r="AA577" s="90" t="s">
        <v>119</v>
      </c>
      <c r="AB577" s="90" t="s">
        <v>119</v>
      </c>
      <c r="AC577" s="90" t="s">
        <v>119</v>
      </c>
      <c r="AD577" s="90" t="s">
        <v>119</v>
      </c>
      <c r="AE577" s="24">
        <v>0</v>
      </c>
      <c r="AF577" s="90">
        <v>0</v>
      </c>
      <c r="AG577" s="24">
        <v>0</v>
      </c>
      <c r="AH577" s="90">
        <v>88431</v>
      </c>
      <c r="AI577" s="24" t="s">
        <v>269</v>
      </c>
      <c r="AJ577" s="24" t="s">
        <v>1541</v>
      </c>
      <c r="AK577" s="90" t="s">
        <v>85</v>
      </c>
      <c r="AL577" s="90">
        <v>240008</v>
      </c>
      <c r="AM577" s="90" t="s">
        <v>81</v>
      </c>
      <c r="AN577" s="90" t="s">
        <v>1536</v>
      </c>
      <c r="AO577" s="125" t="s">
        <v>784</v>
      </c>
      <c r="AP577" s="24" t="s">
        <v>1539</v>
      </c>
      <c r="AQ577" s="90" t="s">
        <v>1538</v>
      </c>
      <c r="AR577" s="24" t="s">
        <v>1539</v>
      </c>
      <c r="AS577" s="90" t="s">
        <v>119</v>
      </c>
      <c r="AT577" s="24" t="s">
        <v>269</v>
      </c>
      <c r="AU577" s="90" t="s">
        <v>119</v>
      </c>
      <c r="AV577" s="90" t="str">
        <f>IF(ISNUMBER(SEARCH("disagree",AE577)),"N","Y")</f>
        <v>Y</v>
      </c>
      <c r="AW577" s="90" t="s">
        <v>119</v>
      </c>
      <c r="AX577" s="24" t="s">
        <v>119</v>
      </c>
      <c r="AY577" s="90" t="str">
        <f>CONCATENATE(AZ577,BA577,BB577,BC577)</f>
        <v/>
      </c>
      <c r="AZ577" s="90" t="str">
        <f>IF(ISNUMBER(SEARCH("Y",AC577)),"R","")</f>
        <v/>
      </c>
      <c r="BA577" s="90" t="str">
        <f>IF(ISNUMBER(SEARCH("Y",Y577)),"M","")</f>
        <v/>
      </c>
      <c r="BB577" s="90" t="str">
        <f>IF(ISNUMBER(SEARCH("Y",AB577)),"QC","")</f>
        <v/>
      </c>
      <c r="BC577" s="90" t="str">
        <f>IF(ISNUMBER(SEARCH("Y",Z577)),"S","")</f>
        <v/>
      </c>
      <c r="BD577" s="90"/>
      <c r="BE577" s="24" t="s">
        <v>119</v>
      </c>
      <c r="BF577" s="125" t="str">
        <f>IF(AND(AW577&gt;=56543,AW577&lt;=76543,LEN(AW577)&gt;0),"3 Feb 2020",IF(AND(AW577&gt;=66544,AW577&lt;=99999,LEN(AW577)&gt;0),"12 Sep 2020",""))</f>
        <v/>
      </c>
      <c r="BG577" s="125" t="str">
        <f>IF((AND(BF577="3 Feb 2020",LEN(BF577)&gt;0)),"Completed",IF((AND(BF577="12 Sep 2020",LEN(BF577)&gt;0)),"Pending",""))</f>
        <v/>
      </c>
      <c r="BH577" s="90" t="str">
        <f>IF((AND(BF577="3 Feb 2020",LEN(BF577)&gt;0)),"3 Feb 2020","")</f>
        <v/>
      </c>
      <c r="BI577" s="90">
        <v>240008</v>
      </c>
      <c r="BJ577" s="90" t="str">
        <f>L577</f>
        <v>3R74BR844489-74</v>
      </c>
      <c r="BK577" s="127">
        <v>43508</v>
      </c>
      <c r="BL577" s="127">
        <v>44239</v>
      </c>
      <c r="BM577" s="128">
        <f>P577*1.1</f>
        <v>2950637.8000000003</v>
      </c>
      <c r="BN577" s="129">
        <f>P577*0.9</f>
        <v>2414158.2000000002</v>
      </c>
      <c r="BO577" s="130">
        <f>P577*0.8</f>
        <v>2145918.4</v>
      </c>
      <c r="BP577" s="90">
        <f>IF(Z577="Y",BM577*0.4,BM577*1.05)</f>
        <v>3098169.6900000004</v>
      </c>
      <c r="BQ577" s="90">
        <f>BP577*0.8</f>
        <v>2478535.7520000003</v>
      </c>
      <c r="BR577" s="90" t="str">
        <f>IF(ISNUMBER(SEARCH("subrecipient",AI573)),P577*0.6,"")</f>
        <v/>
      </c>
      <c r="BS577" s="90">
        <v>240008</v>
      </c>
      <c r="BT577" s="90" t="str">
        <f>BJ577</f>
        <v>3R74BR844489-74</v>
      </c>
      <c r="BU577" s="127">
        <f>BK577</f>
        <v>43508</v>
      </c>
      <c r="BV577" s="127">
        <f>BL577</f>
        <v>44239</v>
      </c>
      <c r="BW577" s="90" t="str">
        <f>H577</f>
        <v>FDA</v>
      </c>
      <c r="BX577" s="90" t="str">
        <f>IF(H577="NATIONAL HEMOPHILIA FOUNDATION","Non Federal","Federal")</f>
        <v>Federal</v>
      </c>
      <c r="BY577" s="128">
        <f>BM577</f>
        <v>2950637.8000000003</v>
      </c>
      <c r="BZ577" s="90" t="str">
        <f>IF(LEN(BR577)&gt;0,1,"")</f>
        <v/>
      </c>
      <c r="CA577" s="90" t="str">
        <f>IF(LEN(BR577)&gt;0,"VIRAL HEPATITIS PROJECT","")</f>
        <v/>
      </c>
      <c r="CB577" s="129" t="str">
        <f>IF(LEN(BR577)&gt;0,BM577*0.7,"")</f>
        <v/>
      </c>
      <c r="CC577" s="90">
        <f>BP577</f>
        <v>3098169.6900000004</v>
      </c>
      <c r="CD577" s="90" t="str">
        <f>IF(LEN(BR577)&gt;0,"70%","")</f>
        <v/>
      </c>
      <c r="CE577" s="90">
        <f>BS577</f>
        <v>240008</v>
      </c>
      <c r="CF577" s="90" t="str">
        <f>CA577</f>
        <v/>
      </c>
      <c r="CG577" s="90"/>
      <c r="CH577" s="90"/>
      <c r="CI577" s="90"/>
      <c r="CJ577" s="90"/>
      <c r="CK577" s="90"/>
      <c r="CL577" s="90"/>
      <c r="CM577" s="90"/>
      <c r="CN577" s="90"/>
      <c r="CO577" s="90"/>
      <c r="CP577" s="90"/>
      <c r="CQ577" s="90"/>
      <c r="CR577" s="90"/>
      <c r="CS577" s="90"/>
      <c r="CT577" s="137"/>
    </row>
    <row r="578" spans="1:98" ht="195">
      <c r="A578" s="89">
        <v>240086</v>
      </c>
      <c r="B578" s="90">
        <v>2020</v>
      </c>
      <c r="C578" s="90" t="s">
        <v>81</v>
      </c>
      <c r="D578" s="90" t="s">
        <v>1542</v>
      </c>
      <c r="E578" s="125" t="s">
        <v>790</v>
      </c>
      <c r="F578" s="24" t="s">
        <v>1543</v>
      </c>
      <c r="G578" s="90" t="s">
        <v>85</v>
      </c>
      <c r="H578" s="90" t="s">
        <v>150</v>
      </c>
      <c r="I578" s="90">
        <v>93</v>
      </c>
      <c r="J578" s="90">
        <v>157</v>
      </c>
      <c r="K578" s="90" t="s">
        <v>85</v>
      </c>
      <c r="L578" s="90" t="s">
        <v>1544</v>
      </c>
      <c r="M578" s="90" t="s">
        <v>119</v>
      </c>
      <c r="N578" s="24" t="s">
        <v>1545</v>
      </c>
      <c r="O578" s="24" t="str">
        <f>IF(ISNUMBER(SEARCH("Cancer",N578)),"Cancer",IF(ISNUMBER(SEARCH("health",N578)),"Public health",IF(ISNUMBER(SEARCH("disabilities",N578)),"Disabilities","Other")))</f>
        <v>Other</v>
      </c>
      <c r="P578" s="126">
        <v>2957483</v>
      </c>
      <c r="Q578" s="90" t="s">
        <v>85</v>
      </c>
      <c r="R578" s="90" t="str">
        <f>IF(P578&gt;20000000,"B","A")</f>
        <v>A</v>
      </c>
      <c r="S578" s="90" t="s">
        <v>90</v>
      </c>
      <c r="T578" s="90" t="s">
        <v>119</v>
      </c>
      <c r="U578" s="90" t="s">
        <v>119</v>
      </c>
      <c r="V578" s="90" t="s">
        <v>119</v>
      </c>
      <c r="W578" s="90" t="s">
        <v>119</v>
      </c>
      <c r="X578" s="90" t="s">
        <v>119</v>
      </c>
      <c r="Y578" s="90" t="s">
        <v>119</v>
      </c>
      <c r="Z578" s="90" t="s">
        <v>119</v>
      </c>
      <c r="AA578" s="90" t="s">
        <v>119</v>
      </c>
      <c r="AB578" s="90" t="s">
        <v>119</v>
      </c>
      <c r="AC578" s="90" t="s">
        <v>119</v>
      </c>
      <c r="AD578" s="90" t="s">
        <v>119</v>
      </c>
      <c r="AE578" s="24">
        <v>0</v>
      </c>
      <c r="AF578" s="90">
        <v>0</v>
      </c>
      <c r="AG578" s="24">
        <v>0</v>
      </c>
      <c r="AH578" s="90">
        <v>76414</v>
      </c>
      <c r="AI578" s="24" t="s">
        <v>94</v>
      </c>
      <c r="AJ578" s="24" t="s">
        <v>1546</v>
      </c>
      <c r="AK578" s="90" t="s">
        <v>85</v>
      </c>
      <c r="AL578" s="90">
        <v>240086</v>
      </c>
      <c r="AM578" s="90" t="s">
        <v>81</v>
      </c>
      <c r="AN578" s="90" t="s">
        <v>1542</v>
      </c>
      <c r="AO578" s="125" t="s">
        <v>790</v>
      </c>
      <c r="AP578" s="24" t="s">
        <v>1545</v>
      </c>
      <c r="AQ578" s="90" t="s">
        <v>1544</v>
      </c>
      <c r="AR578" s="24" t="s">
        <v>1545</v>
      </c>
      <c r="AS578" s="90" t="s">
        <v>119</v>
      </c>
      <c r="AT578" s="24" t="s">
        <v>94</v>
      </c>
      <c r="AU578" s="90" t="s">
        <v>119</v>
      </c>
      <c r="AV578" s="90" t="str">
        <f>IF(ISNUMBER(SEARCH("disagree",AE578)),"N","Y")</f>
        <v>Y</v>
      </c>
      <c r="AW578" s="90" t="s">
        <v>119</v>
      </c>
      <c r="AX578" s="24" t="s">
        <v>119</v>
      </c>
      <c r="AY578" s="90" t="str">
        <f>CONCATENATE(AZ578,BA578,BB578,BC578)</f>
        <v/>
      </c>
      <c r="AZ578" s="90" t="str">
        <f>IF(ISNUMBER(SEARCH("Y",AC578)),"R","")</f>
        <v/>
      </c>
      <c r="BA578" s="90" t="str">
        <f>IF(ISNUMBER(SEARCH("Y",Y578)),"M","")</f>
        <v/>
      </c>
      <c r="BB578" s="90" t="str">
        <f>IF(ISNUMBER(SEARCH("Y",AB578)),"QC","")</f>
        <v/>
      </c>
      <c r="BC578" s="90" t="str">
        <f>IF(ISNUMBER(SEARCH("Y",Z578)),"S","")</f>
        <v/>
      </c>
      <c r="BD578" s="90"/>
      <c r="BE578" s="24" t="s">
        <v>119</v>
      </c>
      <c r="BF578" s="125" t="str">
        <f>IF(AND(AW578&gt;=56543,AW578&lt;=76543,LEN(AW578)&gt;0),"3 Feb 2020",IF(AND(AW578&gt;=66544,AW578&lt;=99999,LEN(AW578)&gt;0),"12 Sep 2020",""))</f>
        <v/>
      </c>
      <c r="BG578" s="125" t="str">
        <f>IF((AND(BF578="3 Feb 2020",LEN(BF578)&gt;0)),"Completed",IF((AND(BF578="12 Sep 2020",LEN(BF578)&gt;0)),"Pending",""))</f>
        <v/>
      </c>
      <c r="BH578" s="90" t="str">
        <f>IF((AND(BF578="3 Feb 2020",LEN(BF578)&gt;0)),"3 Feb 2020","")</f>
        <v/>
      </c>
      <c r="BI578" s="90">
        <v>240086</v>
      </c>
      <c r="BJ578" s="90" t="str">
        <f>L578</f>
        <v>7R27CR844489-60</v>
      </c>
      <c r="BK578" s="127">
        <v>43508</v>
      </c>
      <c r="BL578" s="127">
        <v>44239</v>
      </c>
      <c r="BM578" s="128">
        <f>P578*1.1</f>
        <v>3253231.3000000003</v>
      </c>
      <c r="BN578" s="129">
        <f>P578*0.9</f>
        <v>2661734.7000000002</v>
      </c>
      <c r="BO578" s="130">
        <f>P578*0.8</f>
        <v>2365986.4</v>
      </c>
      <c r="BP578" s="90">
        <f>IF(Z578="Y",BM578*0.4,BM578*1.05)</f>
        <v>3415892.8650000002</v>
      </c>
      <c r="BQ578" s="90">
        <f>BP578*0.8</f>
        <v>2732714.2920000004</v>
      </c>
      <c r="BR578" s="90" t="str">
        <f>IF(ISNUMBER(SEARCH("subrecipient",AI574)),P578*0.6,"")</f>
        <v/>
      </c>
      <c r="BS578" s="90">
        <v>240086</v>
      </c>
      <c r="BT578" s="90" t="str">
        <f>BJ578</f>
        <v>7R27CR844489-60</v>
      </c>
      <c r="BU578" s="127">
        <f>BK578</f>
        <v>43508</v>
      </c>
      <c r="BV578" s="127">
        <f>BL578</f>
        <v>44239</v>
      </c>
      <c r="BW578" s="90" t="str">
        <f>H578</f>
        <v>ACF</v>
      </c>
      <c r="BX578" s="90" t="str">
        <f>IF(H578="NATIONAL HEMOPHILIA FOUNDATION","Non Federal","Federal")</f>
        <v>Federal</v>
      </c>
      <c r="BY578" s="128">
        <f>BM578</f>
        <v>3253231.3000000003</v>
      </c>
      <c r="BZ578" s="90" t="str">
        <f>IF(LEN(BR578)&gt;0,1,"")</f>
        <v/>
      </c>
      <c r="CA578" s="90" t="str">
        <f>IF(LEN(BR578)&gt;0,"VIRAL HEPATITIS PROJECT","")</f>
        <v/>
      </c>
      <c r="CB578" s="129" t="str">
        <f>IF(LEN(BR578)&gt;0,BM578*0.7,"")</f>
        <v/>
      </c>
      <c r="CC578" s="90">
        <f>BP578</f>
        <v>3415892.8650000002</v>
      </c>
      <c r="CD578" s="90" t="str">
        <f>IF(LEN(BR578)&gt;0,"70%","")</f>
        <v/>
      </c>
      <c r="CE578" s="90">
        <f>BS578</f>
        <v>240086</v>
      </c>
      <c r="CF578" s="90" t="str">
        <f>CA578</f>
        <v/>
      </c>
      <c r="CG578" s="90"/>
      <c r="CH578" s="90"/>
      <c r="CI578" s="90"/>
      <c r="CJ578" s="90"/>
      <c r="CK578" s="90"/>
      <c r="CL578" s="90"/>
      <c r="CM578" s="90"/>
      <c r="CN578" s="90"/>
      <c r="CO578" s="90"/>
      <c r="CP578" s="90"/>
      <c r="CQ578" s="90"/>
      <c r="CR578" s="90"/>
      <c r="CS578" s="90"/>
      <c r="CT578" s="137"/>
    </row>
    <row r="579" spans="1:98" ht="45">
      <c r="A579" s="89">
        <v>240086</v>
      </c>
      <c r="B579" s="90">
        <v>2020</v>
      </c>
      <c r="C579" s="90" t="s">
        <v>81</v>
      </c>
      <c r="D579" s="90" t="s">
        <v>1542</v>
      </c>
      <c r="E579" s="125" t="s">
        <v>791</v>
      </c>
      <c r="F579" s="24" t="s">
        <v>1543</v>
      </c>
      <c r="G579" s="90" t="s">
        <v>85</v>
      </c>
      <c r="H579" s="90" t="s">
        <v>150</v>
      </c>
      <c r="I579" s="90">
        <v>93</v>
      </c>
      <c r="J579" s="90">
        <v>157</v>
      </c>
      <c r="K579" s="90" t="s">
        <v>85</v>
      </c>
      <c r="L579" s="90" t="s">
        <v>1544</v>
      </c>
      <c r="M579" s="90" t="s">
        <v>119</v>
      </c>
      <c r="N579" s="24" t="s">
        <v>1545</v>
      </c>
      <c r="O579" s="24" t="str">
        <f>IF(ISNUMBER(SEARCH("Cancer",N579)),"Cancer",IF(ISNUMBER(SEARCH("health",N579)),"Public health",IF(ISNUMBER(SEARCH("disabilities",N579)),"Disabilities","Other")))</f>
        <v>Other</v>
      </c>
      <c r="P579" s="126">
        <v>2957483</v>
      </c>
      <c r="Q579" s="90" t="s">
        <v>85</v>
      </c>
      <c r="R579" s="90" t="str">
        <f>IF(P579&gt;20000000,"B","A")</f>
        <v>A</v>
      </c>
      <c r="S579" s="90" t="s">
        <v>90</v>
      </c>
      <c r="T579" s="90" t="s">
        <v>119</v>
      </c>
      <c r="U579" s="90" t="s">
        <v>119</v>
      </c>
      <c r="V579" s="90" t="s">
        <v>119</v>
      </c>
      <c r="W579" s="90" t="s">
        <v>119</v>
      </c>
      <c r="X579" s="90" t="s">
        <v>119</v>
      </c>
      <c r="Y579" s="90" t="s">
        <v>119</v>
      </c>
      <c r="Z579" s="90" t="s">
        <v>119</v>
      </c>
      <c r="AA579" s="90" t="s">
        <v>119</v>
      </c>
      <c r="AB579" s="90" t="s">
        <v>119</v>
      </c>
      <c r="AC579" s="90" t="s">
        <v>119</v>
      </c>
      <c r="AD579" s="90" t="s">
        <v>119</v>
      </c>
      <c r="AE579" s="24">
        <v>0</v>
      </c>
      <c r="AF579" s="90">
        <v>0</v>
      </c>
      <c r="AG579" s="24">
        <v>0</v>
      </c>
      <c r="AH579" s="90">
        <v>76415</v>
      </c>
      <c r="AI579" s="24" t="s">
        <v>102</v>
      </c>
      <c r="AJ579" s="24" t="s">
        <v>103</v>
      </c>
      <c r="AK579" s="90" t="s">
        <v>85</v>
      </c>
      <c r="AL579" s="90">
        <v>240086</v>
      </c>
      <c r="AM579" s="90" t="s">
        <v>81</v>
      </c>
      <c r="AN579" s="90" t="s">
        <v>1542</v>
      </c>
      <c r="AO579" s="125" t="s">
        <v>791</v>
      </c>
      <c r="AP579" s="24" t="s">
        <v>1545</v>
      </c>
      <c r="AQ579" s="90" t="s">
        <v>1544</v>
      </c>
      <c r="AR579" s="24" t="s">
        <v>1545</v>
      </c>
      <c r="AS579" s="90" t="s">
        <v>119</v>
      </c>
      <c r="AT579" s="24" t="s">
        <v>102</v>
      </c>
      <c r="AU579" s="90" t="s">
        <v>119</v>
      </c>
      <c r="AV579" s="90" t="str">
        <f>IF(ISNUMBER(SEARCH("disagree",AE579)),"N","Y")</f>
        <v>Y</v>
      </c>
      <c r="AW579" s="90" t="s">
        <v>119</v>
      </c>
      <c r="AX579" s="24" t="s">
        <v>119</v>
      </c>
      <c r="AY579" s="90" t="str">
        <f>CONCATENATE(AZ579,BA579,BB579,BC579)</f>
        <v/>
      </c>
      <c r="AZ579" s="90" t="str">
        <f>IF(ISNUMBER(SEARCH("Y",AC579)),"R","")</f>
        <v/>
      </c>
      <c r="BA579" s="90" t="str">
        <f>IF(ISNUMBER(SEARCH("Y",Y579)),"M","")</f>
        <v/>
      </c>
      <c r="BB579" s="90" t="str">
        <f>IF(ISNUMBER(SEARCH("Y",AB579)),"QC","")</f>
        <v/>
      </c>
      <c r="BC579" s="90" t="str">
        <f>IF(ISNUMBER(SEARCH("Y",Z579)),"S","")</f>
        <v/>
      </c>
      <c r="BD579" s="90"/>
      <c r="BE579" s="24" t="s">
        <v>119</v>
      </c>
      <c r="BF579" s="125" t="str">
        <f>IF(AND(AW579&gt;=56543,AW579&lt;=76543,LEN(AW579)&gt;0),"3 Feb 2020",IF(AND(AW579&gt;=66544,AW579&lt;=99999,LEN(AW579)&gt;0),"12 Sep 2020",""))</f>
        <v/>
      </c>
      <c r="BG579" s="125" t="str">
        <f>IF((AND(BF579="3 Feb 2020",LEN(BF579)&gt;0)),"Completed",IF((AND(BF579="12 Sep 2020",LEN(BF579)&gt;0)),"Pending",""))</f>
        <v/>
      </c>
      <c r="BH579" s="90" t="str">
        <f>IF((AND(BF579="3 Feb 2020",LEN(BF579)&gt;0)),"3 Feb 2020","")</f>
        <v/>
      </c>
      <c r="BI579" s="90">
        <v>240086</v>
      </c>
      <c r="BJ579" s="90" t="str">
        <f>L579</f>
        <v>7R27CR844489-60</v>
      </c>
      <c r="BK579" s="127">
        <v>43508</v>
      </c>
      <c r="BL579" s="127">
        <v>44239</v>
      </c>
      <c r="BM579" s="128">
        <f>P579*1.1</f>
        <v>3253231.3000000003</v>
      </c>
      <c r="BN579" s="129">
        <f>P579*0.9</f>
        <v>2661734.7000000002</v>
      </c>
      <c r="BO579" s="130">
        <f>P579*0.8</f>
        <v>2365986.4</v>
      </c>
      <c r="BP579" s="90">
        <f>IF(Z579="Y",BM579*0.4,BM579*1.05)</f>
        <v>3415892.8650000002</v>
      </c>
      <c r="BQ579" s="90">
        <f>BP579*0.8</f>
        <v>2732714.2920000004</v>
      </c>
      <c r="BR579" s="90" t="str">
        <f>IF(ISNUMBER(SEARCH("subrecipient",AI575)),P579*0.6,"")</f>
        <v/>
      </c>
      <c r="BS579" s="90">
        <v>240086</v>
      </c>
      <c r="BT579" s="90" t="str">
        <f>BJ579</f>
        <v>7R27CR844489-60</v>
      </c>
      <c r="BU579" s="127">
        <f>BK579</f>
        <v>43508</v>
      </c>
      <c r="BV579" s="127">
        <f>BL579</f>
        <v>44239</v>
      </c>
      <c r="BW579" s="90" t="str">
        <f>H579</f>
        <v>ACF</v>
      </c>
      <c r="BX579" s="90" t="str">
        <f>IF(H579="NATIONAL HEMOPHILIA FOUNDATION","Non Federal","Federal")</f>
        <v>Federal</v>
      </c>
      <c r="BY579" s="128">
        <f>BM579</f>
        <v>3253231.3000000003</v>
      </c>
      <c r="BZ579" s="90" t="str">
        <f>IF(LEN(BR579)&gt;0,1,"")</f>
        <v/>
      </c>
      <c r="CA579" s="90" t="str">
        <f>IF(LEN(BR579)&gt;0,"VIRAL HEPATITIS PROJECT","")</f>
        <v/>
      </c>
      <c r="CB579" s="129" t="str">
        <f>IF(LEN(BR579)&gt;0,BM579*0.7,"")</f>
        <v/>
      </c>
      <c r="CC579" s="90">
        <f>BP579</f>
        <v>3415892.8650000002</v>
      </c>
      <c r="CD579" s="90" t="str">
        <f>IF(LEN(BR579)&gt;0,"70%","")</f>
        <v/>
      </c>
      <c r="CE579" s="90">
        <f>BS579</f>
        <v>240086</v>
      </c>
      <c r="CF579" s="90" t="str">
        <f>CA579</f>
        <v/>
      </c>
      <c r="CG579" s="90"/>
      <c r="CH579" s="90"/>
      <c r="CI579" s="90"/>
      <c r="CJ579" s="90"/>
      <c r="CK579" s="90"/>
      <c r="CL579" s="90"/>
      <c r="CM579" s="90"/>
      <c r="CN579" s="90"/>
      <c r="CO579" s="90"/>
      <c r="CP579" s="90"/>
      <c r="CQ579" s="90"/>
      <c r="CR579" s="90"/>
      <c r="CS579" s="90"/>
      <c r="CT579" s="137"/>
    </row>
    <row r="580" spans="1:98" ht="90">
      <c r="A580" s="89">
        <v>240501</v>
      </c>
      <c r="B580" s="90">
        <v>2020</v>
      </c>
      <c r="C580" s="90" t="s">
        <v>81</v>
      </c>
      <c r="D580" s="90" t="s">
        <v>1547</v>
      </c>
      <c r="E580" s="125" t="s">
        <v>793</v>
      </c>
      <c r="F580" s="24" t="s">
        <v>1548</v>
      </c>
      <c r="G580" s="90" t="s">
        <v>85</v>
      </c>
      <c r="H580" s="90" t="s">
        <v>86</v>
      </c>
      <c r="I580" s="90">
        <v>93</v>
      </c>
      <c r="J580" s="90">
        <v>157</v>
      </c>
      <c r="K580" s="90" t="s">
        <v>85</v>
      </c>
      <c r="L580" s="90" t="s">
        <v>1549</v>
      </c>
      <c r="M580" s="90" t="s">
        <v>119</v>
      </c>
      <c r="N580" s="24" t="s">
        <v>1381</v>
      </c>
      <c r="O580" s="24" t="str">
        <f>IF(ISNUMBER(SEARCH("Cancer",N580)),"Cancer",IF(ISNUMBER(SEARCH("health",N580)),"Public health",IF(ISNUMBER(SEARCH("disabilities",N580)),"Disabilities","Other")))</f>
        <v>Other</v>
      </c>
      <c r="P580" s="126">
        <v>2703495</v>
      </c>
      <c r="Q580" s="90" t="s">
        <v>85</v>
      </c>
      <c r="R580" s="90" t="str">
        <f>IF(P580&gt;20000000,"B","A")</f>
        <v>A</v>
      </c>
      <c r="S580" s="90" t="s">
        <v>90</v>
      </c>
      <c r="T580" s="90" t="s">
        <v>119</v>
      </c>
      <c r="U580" s="90" t="s">
        <v>119</v>
      </c>
      <c r="V580" s="90" t="s">
        <v>119</v>
      </c>
      <c r="W580" s="90" t="s">
        <v>119</v>
      </c>
      <c r="X580" s="90" t="s">
        <v>119</v>
      </c>
      <c r="Y580" s="90" t="s">
        <v>119</v>
      </c>
      <c r="Z580" s="90" t="s">
        <v>119</v>
      </c>
      <c r="AA580" s="90" t="s">
        <v>119</v>
      </c>
      <c r="AB580" s="90" t="s">
        <v>119</v>
      </c>
      <c r="AC580" s="90" t="s">
        <v>119</v>
      </c>
      <c r="AD580" s="90" t="s">
        <v>119</v>
      </c>
      <c r="AE580" s="24">
        <v>0</v>
      </c>
      <c r="AF580" s="90">
        <v>0</v>
      </c>
      <c r="AG580" s="24">
        <v>0</v>
      </c>
      <c r="AH580" s="90">
        <v>87285</v>
      </c>
      <c r="AI580" s="24" t="s">
        <v>94</v>
      </c>
      <c r="AJ580" s="24" t="s">
        <v>1550</v>
      </c>
      <c r="AK580" s="90" t="s">
        <v>85</v>
      </c>
      <c r="AL580" s="90">
        <v>240501</v>
      </c>
      <c r="AM580" s="90" t="s">
        <v>81</v>
      </c>
      <c r="AN580" s="90" t="s">
        <v>1547</v>
      </c>
      <c r="AO580" s="125" t="s">
        <v>793</v>
      </c>
      <c r="AP580" s="24" t="s">
        <v>1381</v>
      </c>
      <c r="AQ580" s="90" t="s">
        <v>1549</v>
      </c>
      <c r="AR580" s="24" t="s">
        <v>1381</v>
      </c>
      <c r="AS580" s="90" t="s">
        <v>119</v>
      </c>
      <c r="AT580" s="24" t="s">
        <v>94</v>
      </c>
      <c r="AU580" s="90" t="s">
        <v>119</v>
      </c>
      <c r="AV580" s="90" t="str">
        <f>IF(ISNUMBER(SEARCH("disagree",AE580)),"N","Y")</f>
        <v>Y</v>
      </c>
      <c r="AW580" s="90" t="s">
        <v>119</v>
      </c>
      <c r="AX580" s="24" t="s">
        <v>119</v>
      </c>
      <c r="AY580" s="90" t="str">
        <f>CONCATENATE(AZ580,BA580,BB580,BC580)</f>
        <v/>
      </c>
      <c r="AZ580" s="90" t="str">
        <f>IF(ISNUMBER(SEARCH("Y",AC580)),"R","")</f>
        <v/>
      </c>
      <c r="BA580" s="90" t="str">
        <f>IF(ISNUMBER(SEARCH("Y",Y580)),"M","")</f>
        <v/>
      </c>
      <c r="BB580" s="90" t="str">
        <f>IF(ISNUMBER(SEARCH("Y",AB580)),"QC","")</f>
        <v/>
      </c>
      <c r="BC580" s="90" t="str">
        <f>IF(ISNUMBER(SEARCH("Y",Z580)),"S","")</f>
        <v/>
      </c>
      <c r="BD580" s="90"/>
      <c r="BE580" s="24" t="s">
        <v>119</v>
      </c>
      <c r="BF580" s="125" t="str">
        <f>IF(AND(AW580&gt;=56543,AW580&lt;=76543,LEN(AW580)&gt;0),"3 Feb 2020",IF(AND(AW580&gt;=66544,AW580&lt;=99999,LEN(AW580)&gt;0),"12 Sep 2020",""))</f>
        <v/>
      </c>
      <c r="BG580" s="125" t="str">
        <f>IF((AND(BF580="3 Feb 2020",LEN(BF580)&gt;0)),"Completed",IF((AND(BF580="12 Sep 2020",LEN(BF580)&gt;0)),"Pending",""))</f>
        <v/>
      </c>
      <c r="BH580" s="90" t="str">
        <f>IF((AND(BF580="3 Feb 2020",LEN(BF580)&gt;0)),"3 Feb 2020","")</f>
        <v/>
      </c>
      <c r="BI580" s="90">
        <v>240501</v>
      </c>
      <c r="BJ580" s="90" t="str">
        <f>L580</f>
        <v>9T14AT843034-31</v>
      </c>
      <c r="BK580" s="127">
        <v>43508</v>
      </c>
      <c r="BL580" s="127">
        <v>44239</v>
      </c>
      <c r="BM580" s="128">
        <f>P580*1.1</f>
        <v>2973844.5000000005</v>
      </c>
      <c r="BN580" s="129">
        <f>P580*0.9</f>
        <v>2433145.5</v>
      </c>
      <c r="BO580" s="130">
        <f>P580*0.8</f>
        <v>2162796</v>
      </c>
      <c r="BP580" s="90">
        <f>IF(Z580="Y",BM580*0.4,BM580*1.05)</f>
        <v>3122536.7250000006</v>
      </c>
      <c r="BQ580" s="90">
        <f>BP580*0.8</f>
        <v>2498029.3800000004</v>
      </c>
      <c r="BR580" s="90" t="str">
        <f>IF(ISNUMBER(SEARCH("subrecipient",AI576)),P580*0.6,"")</f>
        <v/>
      </c>
      <c r="BS580" s="90">
        <v>240501</v>
      </c>
      <c r="BT580" s="90" t="str">
        <f>BJ580</f>
        <v>9T14AT843034-31</v>
      </c>
      <c r="BU580" s="127">
        <f>BK580</f>
        <v>43508</v>
      </c>
      <c r="BV580" s="127">
        <f>BL580</f>
        <v>44239</v>
      </c>
      <c r="BW580" s="90" t="str">
        <f>H580</f>
        <v>CDC</v>
      </c>
      <c r="BX580" s="90" t="str">
        <f>IF(H580="NATIONAL HEMOPHILIA FOUNDATION","Non Federal","Federal")</f>
        <v>Federal</v>
      </c>
      <c r="BY580" s="128">
        <f>BM580</f>
        <v>2973844.5000000005</v>
      </c>
      <c r="BZ580" s="90" t="str">
        <f>IF(LEN(BR580)&gt;0,1,"")</f>
        <v/>
      </c>
      <c r="CA580" s="90" t="str">
        <f>IF(LEN(BR580)&gt;0,"VIRAL HEPATITIS PROJECT","")</f>
        <v/>
      </c>
      <c r="CB580" s="129" t="str">
        <f>IF(LEN(BR580)&gt;0,BM580*0.7,"")</f>
        <v/>
      </c>
      <c r="CC580" s="90">
        <f>BP580</f>
        <v>3122536.7250000006</v>
      </c>
      <c r="CD580" s="90" t="str">
        <f>IF(LEN(BR580)&gt;0,"70%","")</f>
        <v/>
      </c>
      <c r="CE580" s="90">
        <f>BS580</f>
        <v>240501</v>
      </c>
      <c r="CF580" s="90" t="str">
        <f>CA580</f>
        <v/>
      </c>
      <c r="CG580" s="90"/>
      <c r="CH580" s="90"/>
      <c r="CI580" s="90"/>
      <c r="CJ580" s="90"/>
      <c r="CK580" s="90"/>
      <c r="CL580" s="90"/>
      <c r="CM580" s="90"/>
      <c r="CN580" s="90"/>
      <c r="CO580" s="90"/>
      <c r="CP580" s="90"/>
      <c r="CQ580" s="90"/>
      <c r="CR580" s="90"/>
      <c r="CS580" s="90"/>
      <c r="CT580" s="137"/>
    </row>
    <row r="581" spans="1:98" ht="90">
      <c r="A581" s="89">
        <v>240501</v>
      </c>
      <c r="B581" s="90">
        <v>2020</v>
      </c>
      <c r="C581" s="90" t="s">
        <v>81</v>
      </c>
      <c r="D581" s="90" t="s">
        <v>1547</v>
      </c>
      <c r="E581" s="125" t="s">
        <v>780</v>
      </c>
      <c r="F581" s="24" t="s">
        <v>1548</v>
      </c>
      <c r="G581" s="90" t="s">
        <v>85</v>
      </c>
      <c r="H581" s="90" t="s">
        <v>86</v>
      </c>
      <c r="I581" s="90">
        <v>93</v>
      </c>
      <c r="J581" s="90">
        <v>157</v>
      </c>
      <c r="K581" s="90" t="s">
        <v>85</v>
      </c>
      <c r="L581" s="90" t="s">
        <v>1549</v>
      </c>
      <c r="M581" s="90" t="s">
        <v>119</v>
      </c>
      <c r="N581" s="24" t="s">
        <v>1381</v>
      </c>
      <c r="O581" s="24" t="str">
        <f>IF(ISNUMBER(SEARCH("Cancer",N581)),"Cancer",IF(ISNUMBER(SEARCH("health",N581)),"Public health",IF(ISNUMBER(SEARCH("disabilities",N581)),"Disabilities","Other")))</f>
        <v>Other</v>
      </c>
      <c r="P581" s="126">
        <v>2703495</v>
      </c>
      <c r="Q581" s="90" t="s">
        <v>85</v>
      </c>
      <c r="R581" s="90" t="str">
        <f>IF(P581&gt;20000000,"B","A")</f>
        <v>A</v>
      </c>
      <c r="S581" s="90" t="s">
        <v>90</v>
      </c>
      <c r="T581" s="90" t="s">
        <v>119</v>
      </c>
      <c r="U581" s="90" t="s">
        <v>119</v>
      </c>
      <c r="V581" s="90" t="s">
        <v>119</v>
      </c>
      <c r="W581" s="90" t="s">
        <v>119</v>
      </c>
      <c r="X581" s="90" t="s">
        <v>119</v>
      </c>
      <c r="Y581" s="90" t="s">
        <v>119</v>
      </c>
      <c r="Z581" s="90" t="s">
        <v>119</v>
      </c>
      <c r="AA581" s="90" t="s">
        <v>119</v>
      </c>
      <c r="AB581" s="90" t="s">
        <v>119</v>
      </c>
      <c r="AC581" s="90" t="s">
        <v>119</v>
      </c>
      <c r="AD581" s="90" t="s">
        <v>119</v>
      </c>
      <c r="AE581" s="24">
        <v>0</v>
      </c>
      <c r="AF581" s="90">
        <v>0</v>
      </c>
      <c r="AG581" s="24">
        <v>0</v>
      </c>
      <c r="AH581" s="90">
        <v>87286</v>
      </c>
      <c r="AI581" s="24" t="s">
        <v>102</v>
      </c>
      <c r="AJ581" s="24" t="s">
        <v>103</v>
      </c>
      <c r="AK581" s="90" t="s">
        <v>85</v>
      </c>
      <c r="AL581" s="90">
        <v>240501</v>
      </c>
      <c r="AM581" s="90" t="s">
        <v>81</v>
      </c>
      <c r="AN581" s="90" t="s">
        <v>1547</v>
      </c>
      <c r="AO581" s="125" t="s">
        <v>780</v>
      </c>
      <c r="AP581" s="24" t="s">
        <v>1381</v>
      </c>
      <c r="AQ581" s="90" t="s">
        <v>1549</v>
      </c>
      <c r="AR581" s="24" t="s">
        <v>1381</v>
      </c>
      <c r="AS581" s="90" t="s">
        <v>119</v>
      </c>
      <c r="AT581" s="24" t="s">
        <v>102</v>
      </c>
      <c r="AU581" s="90" t="s">
        <v>119</v>
      </c>
      <c r="AV581" s="90" t="str">
        <f>IF(ISNUMBER(SEARCH("disagree",AE581)),"N","Y")</f>
        <v>Y</v>
      </c>
      <c r="AW581" s="90" t="s">
        <v>119</v>
      </c>
      <c r="AX581" s="24" t="s">
        <v>119</v>
      </c>
      <c r="AY581" s="90" t="str">
        <f>CONCATENATE(AZ581,BA581,BB581,BC581)</f>
        <v/>
      </c>
      <c r="AZ581" s="90" t="str">
        <f>IF(ISNUMBER(SEARCH("Y",AC581)),"R","")</f>
        <v/>
      </c>
      <c r="BA581" s="90" t="str">
        <f>IF(ISNUMBER(SEARCH("Y",Y581)),"M","")</f>
        <v/>
      </c>
      <c r="BB581" s="90" t="str">
        <f>IF(ISNUMBER(SEARCH("Y",AB581)),"QC","")</f>
        <v/>
      </c>
      <c r="BC581" s="90" t="str">
        <f>IF(ISNUMBER(SEARCH("Y",Z581)),"S","")</f>
        <v/>
      </c>
      <c r="BD581" s="90"/>
      <c r="BE581" s="24" t="s">
        <v>119</v>
      </c>
      <c r="BF581" s="125" t="str">
        <f>IF(AND(AW581&gt;=56543,AW581&lt;=76543,LEN(AW581)&gt;0),"3 Feb 2020",IF(AND(AW581&gt;=66544,AW581&lt;=99999,LEN(AW581)&gt;0),"12 Sep 2020",""))</f>
        <v/>
      </c>
      <c r="BG581" s="125" t="str">
        <f>IF((AND(BF581="3 Feb 2020",LEN(BF581)&gt;0)),"Completed",IF((AND(BF581="12 Sep 2020",LEN(BF581)&gt;0)),"Pending",""))</f>
        <v/>
      </c>
      <c r="BH581" s="90" t="str">
        <f>IF((AND(BF581="3 Feb 2020",LEN(BF581)&gt;0)),"3 Feb 2020","")</f>
        <v/>
      </c>
      <c r="BI581" s="90">
        <v>240501</v>
      </c>
      <c r="BJ581" s="90" t="str">
        <f>L581</f>
        <v>9T14AT843034-31</v>
      </c>
      <c r="BK581" s="127">
        <v>43508</v>
      </c>
      <c r="BL581" s="127">
        <v>44239</v>
      </c>
      <c r="BM581" s="128">
        <f>P581*1.1</f>
        <v>2973844.5000000005</v>
      </c>
      <c r="BN581" s="129">
        <f>P581*0.9</f>
        <v>2433145.5</v>
      </c>
      <c r="BO581" s="130">
        <f>P581*0.8</f>
        <v>2162796</v>
      </c>
      <c r="BP581" s="90">
        <f>IF(Z581="Y",BM581*0.4,BM581*1.05)</f>
        <v>3122536.7250000006</v>
      </c>
      <c r="BQ581" s="90">
        <f>BP581*0.8</f>
        <v>2498029.3800000004</v>
      </c>
      <c r="BR581" s="90" t="str">
        <f>IF(ISNUMBER(SEARCH("subrecipient",AI577)),P581*0.6,"")</f>
        <v/>
      </c>
      <c r="BS581" s="90">
        <v>240501</v>
      </c>
      <c r="BT581" s="90" t="str">
        <f>BJ581</f>
        <v>9T14AT843034-31</v>
      </c>
      <c r="BU581" s="127">
        <f>BK581</f>
        <v>43508</v>
      </c>
      <c r="BV581" s="127">
        <f>BL581</f>
        <v>44239</v>
      </c>
      <c r="BW581" s="90" t="str">
        <f>H581</f>
        <v>CDC</v>
      </c>
      <c r="BX581" s="90" t="str">
        <f>IF(H581="NATIONAL HEMOPHILIA FOUNDATION","Non Federal","Federal")</f>
        <v>Federal</v>
      </c>
      <c r="BY581" s="128">
        <f>BM581</f>
        <v>2973844.5000000005</v>
      </c>
      <c r="BZ581" s="90" t="str">
        <f>IF(LEN(BR581)&gt;0,1,"")</f>
        <v/>
      </c>
      <c r="CA581" s="90" t="str">
        <f>IF(LEN(BR581)&gt;0,"VIRAL HEPATITIS PROJECT","")</f>
        <v/>
      </c>
      <c r="CB581" s="129" t="str">
        <f>IF(LEN(BR581)&gt;0,BM581*0.7,"")</f>
        <v/>
      </c>
      <c r="CC581" s="90">
        <f>BP581</f>
        <v>3122536.7250000006</v>
      </c>
      <c r="CD581" s="90" t="str">
        <f>IF(LEN(BR581)&gt;0,"70%","")</f>
        <v/>
      </c>
      <c r="CE581" s="90">
        <f>BS581</f>
        <v>240501</v>
      </c>
      <c r="CF581" s="90" t="str">
        <f>CA581</f>
        <v/>
      </c>
      <c r="CG581" s="90"/>
      <c r="CH581" s="90"/>
      <c r="CI581" s="90"/>
      <c r="CJ581" s="90"/>
      <c r="CK581" s="90"/>
      <c r="CL581" s="90"/>
      <c r="CM581" s="90"/>
      <c r="CN581" s="90"/>
      <c r="CO581" s="90"/>
      <c r="CP581" s="90"/>
      <c r="CQ581" s="90"/>
      <c r="CR581" s="90"/>
      <c r="CS581" s="90"/>
      <c r="CT581" s="137"/>
    </row>
    <row r="582" spans="1:98" ht="150">
      <c r="A582" s="89">
        <v>241890</v>
      </c>
      <c r="B582" s="90">
        <v>2020</v>
      </c>
      <c r="C582" s="90" t="s">
        <v>81</v>
      </c>
      <c r="D582" s="90" t="s">
        <v>1551</v>
      </c>
      <c r="E582" s="125" t="s">
        <v>781</v>
      </c>
      <c r="F582" s="24" t="s">
        <v>1552</v>
      </c>
      <c r="G582" s="90" t="s">
        <v>85</v>
      </c>
      <c r="H582" s="90" t="s">
        <v>117</v>
      </c>
      <c r="I582" s="90">
        <v>93</v>
      </c>
      <c r="J582" s="90">
        <v>157</v>
      </c>
      <c r="K582" s="90" t="s">
        <v>85</v>
      </c>
      <c r="L582" s="90" t="s">
        <v>1553</v>
      </c>
      <c r="M582" s="90" t="s">
        <v>119</v>
      </c>
      <c r="N582" s="24" t="s">
        <v>1554</v>
      </c>
      <c r="O582" s="24" t="str">
        <f>IF(ISNUMBER(SEARCH("Cancer",N582)),"Cancer",IF(ISNUMBER(SEARCH("health",N582)),"Public health",IF(ISNUMBER(SEARCH("disabilities",N582)),"Disabilities","Other")))</f>
        <v>Other</v>
      </c>
      <c r="P582" s="126">
        <v>361996343</v>
      </c>
      <c r="Q582" s="90" t="s">
        <v>85</v>
      </c>
      <c r="R582" s="90" t="str">
        <f>IF(P582&gt;20000000,"B","A")</f>
        <v>B</v>
      </c>
      <c r="S582" s="90" t="s">
        <v>90</v>
      </c>
      <c r="T582" s="90" t="s">
        <v>119</v>
      </c>
      <c r="U582" s="90" t="s">
        <v>119</v>
      </c>
      <c r="V582" s="90" t="s">
        <v>119</v>
      </c>
      <c r="W582" s="90" t="s">
        <v>119</v>
      </c>
      <c r="X582" s="90" t="s">
        <v>119</v>
      </c>
      <c r="Y582" s="90" t="s">
        <v>119</v>
      </c>
      <c r="Z582" s="90" t="s">
        <v>119</v>
      </c>
      <c r="AA582" s="90" t="s">
        <v>119</v>
      </c>
      <c r="AB582" s="90" t="s">
        <v>119</v>
      </c>
      <c r="AC582" s="90" t="s">
        <v>119</v>
      </c>
      <c r="AD582" s="90" t="s">
        <v>119</v>
      </c>
      <c r="AE582" s="24">
        <v>0</v>
      </c>
      <c r="AF582" s="90">
        <v>0</v>
      </c>
      <c r="AG582" s="24">
        <v>0</v>
      </c>
      <c r="AH582" s="90">
        <v>83956</v>
      </c>
      <c r="AI582" s="24" t="s">
        <v>94</v>
      </c>
      <c r="AJ582" s="24" t="s">
        <v>1555</v>
      </c>
      <c r="AK582" s="90" t="s">
        <v>85</v>
      </c>
      <c r="AL582" s="90">
        <v>241890</v>
      </c>
      <c r="AM582" s="90" t="s">
        <v>81</v>
      </c>
      <c r="AN582" s="90" t="s">
        <v>1551</v>
      </c>
      <c r="AO582" s="125" t="s">
        <v>781</v>
      </c>
      <c r="AP582" s="24" t="s">
        <v>1554</v>
      </c>
      <c r="AQ582" s="90" t="s">
        <v>1553</v>
      </c>
      <c r="AR582" s="24" t="s">
        <v>1554</v>
      </c>
      <c r="AS582" s="90" t="s">
        <v>119</v>
      </c>
      <c r="AT582" s="24" t="s">
        <v>94</v>
      </c>
      <c r="AU582" s="90" t="s">
        <v>119</v>
      </c>
      <c r="AV582" s="90" t="str">
        <f>IF(ISNUMBER(SEARCH("disagree",AE582)),"N","Y")</f>
        <v>Y</v>
      </c>
      <c r="AW582" s="90" t="s">
        <v>119</v>
      </c>
      <c r="AX582" s="24" t="s">
        <v>119</v>
      </c>
      <c r="AY582" s="90" t="str">
        <f>CONCATENATE(AZ582,BA582,BB582,BC582)</f>
        <v/>
      </c>
      <c r="AZ582" s="90" t="str">
        <f>IF(ISNUMBER(SEARCH("Y",AC582)),"R","")</f>
        <v/>
      </c>
      <c r="BA582" s="90" t="str">
        <f>IF(ISNUMBER(SEARCH("Y",Y582)),"M","")</f>
        <v/>
      </c>
      <c r="BB582" s="90" t="str">
        <f>IF(ISNUMBER(SEARCH("Y",AB582)),"QC","")</f>
        <v/>
      </c>
      <c r="BC582" s="90" t="str">
        <f>IF(ISNUMBER(SEARCH("Y",Z582)),"S","")</f>
        <v/>
      </c>
      <c r="BD582" s="90"/>
      <c r="BE582" s="24" t="s">
        <v>119</v>
      </c>
      <c r="BF582" s="125" t="str">
        <f>IF(AND(AW582&gt;=56543,AW582&lt;=76543,LEN(AW582)&gt;0),"3 Feb 2020",IF(AND(AW582&gt;=66544,AW582&lt;=99999,LEN(AW582)&gt;0),"12 Sep 2020",""))</f>
        <v/>
      </c>
      <c r="BG582" s="125" t="str">
        <f>IF((AND(BF582="3 Feb 2020",LEN(BF582)&gt;0)),"Completed",IF((AND(BF582="12 Sep 2020",LEN(BF582)&gt;0)),"Pending",""))</f>
        <v/>
      </c>
      <c r="BH582" s="90" t="str">
        <f>IF((AND(BF582="3 Feb 2020",LEN(BF582)&gt;0)),"3 Feb 2020","")</f>
        <v/>
      </c>
      <c r="BI582" s="90">
        <v>241890</v>
      </c>
      <c r="BJ582" s="90" t="str">
        <f>L582</f>
        <v>7S40ES843846-74</v>
      </c>
      <c r="BK582" s="127">
        <v>43508</v>
      </c>
      <c r="BL582" s="127">
        <v>44239</v>
      </c>
      <c r="BM582" s="128">
        <f>P582*1.1</f>
        <v>398195977.30000001</v>
      </c>
      <c r="BN582" s="129">
        <f>P582*0.9</f>
        <v>325796708.69999999</v>
      </c>
      <c r="BO582" s="130">
        <f>P582*0.8</f>
        <v>289597074.40000004</v>
      </c>
      <c r="BP582" s="90">
        <f>IF(Z582="Y",BM582*0.4,BM582*1.05)</f>
        <v>418105776.16500002</v>
      </c>
      <c r="BQ582" s="90">
        <f>BP582*0.8</f>
        <v>334484620.93200004</v>
      </c>
      <c r="BR582" s="90" t="str">
        <f>IF(ISNUMBER(SEARCH("subrecipient",AI578)),P582*0.6,"")</f>
        <v/>
      </c>
      <c r="BS582" s="90">
        <v>241890</v>
      </c>
      <c r="BT582" s="90" t="str">
        <f>BJ582</f>
        <v>7S40ES843846-74</v>
      </c>
      <c r="BU582" s="127">
        <f>BK582</f>
        <v>43508</v>
      </c>
      <c r="BV582" s="127">
        <f>BL582</f>
        <v>44239</v>
      </c>
      <c r="BW582" s="90" t="str">
        <f>H582</f>
        <v>NIH</v>
      </c>
      <c r="BX582" s="90" t="str">
        <f>IF(H582="NATIONAL HEMOPHILIA FOUNDATION","Non Federal","Federal")</f>
        <v>Federal</v>
      </c>
      <c r="BY582" s="128">
        <f>BM582</f>
        <v>398195977.30000001</v>
      </c>
      <c r="BZ582" s="90" t="str">
        <f>IF(LEN(BR582)&gt;0,1,"")</f>
        <v/>
      </c>
      <c r="CA582" s="90" t="str">
        <f>IF(LEN(BR582)&gt;0,"VIRAL HEPATITIS PROJECT","")</f>
        <v/>
      </c>
      <c r="CB582" s="129" t="str">
        <f>IF(LEN(BR582)&gt;0,BM582*0.7,"")</f>
        <v/>
      </c>
      <c r="CC582" s="90">
        <f>BP582</f>
        <v>418105776.16500002</v>
      </c>
      <c r="CD582" s="90" t="str">
        <f>IF(LEN(BR582)&gt;0,"70%","")</f>
        <v/>
      </c>
      <c r="CE582" s="90">
        <f>BS582</f>
        <v>241890</v>
      </c>
      <c r="CF582" s="90" t="str">
        <f>CA582</f>
        <v/>
      </c>
      <c r="CG582" s="90"/>
      <c r="CH582" s="90"/>
      <c r="CI582" s="90"/>
      <c r="CJ582" s="90"/>
      <c r="CK582" s="90"/>
      <c r="CL582" s="90"/>
      <c r="CM582" s="90"/>
      <c r="CN582" s="90"/>
      <c r="CO582" s="90"/>
      <c r="CP582" s="90"/>
      <c r="CQ582" s="90"/>
      <c r="CR582" s="90"/>
      <c r="CS582" s="90"/>
      <c r="CT582" s="137"/>
    </row>
    <row r="583" spans="1:98" ht="150">
      <c r="A583" s="89">
        <v>241890</v>
      </c>
      <c r="B583" s="90">
        <v>2020</v>
      </c>
      <c r="C583" s="90" t="s">
        <v>81</v>
      </c>
      <c r="D583" s="90" t="s">
        <v>1551</v>
      </c>
      <c r="E583" s="125" t="s">
        <v>784</v>
      </c>
      <c r="F583" s="24" t="s">
        <v>1552</v>
      </c>
      <c r="G583" s="90" t="s">
        <v>85</v>
      </c>
      <c r="H583" s="90" t="s">
        <v>117</v>
      </c>
      <c r="I583" s="90">
        <v>93</v>
      </c>
      <c r="J583" s="90">
        <v>157</v>
      </c>
      <c r="K583" s="90" t="s">
        <v>85</v>
      </c>
      <c r="L583" s="90" t="s">
        <v>1553</v>
      </c>
      <c r="M583" s="90" t="s">
        <v>119</v>
      </c>
      <c r="N583" s="24" t="s">
        <v>1554</v>
      </c>
      <c r="O583" s="24" t="str">
        <f>IF(ISNUMBER(SEARCH("Cancer",N583)),"Cancer",IF(ISNUMBER(SEARCH("health",N583)),"Public health",IF(ISNUMBER(SEARCH("disabilities",N583)),"Disabilities","Other")))</f>
        <v>Other</v>
      </c>
      <c r="P583" s="126">
        <v>361996343</v>
      </c>
      <c r="Q583" s="90" t="s">
        <v>85</v>
      </c>
      <c r="R583" s="90" t="str">
        <f>IF(P583&gt;20000000,"B","A")</f>
        <v>B</v>
      </c>
      <c r="S583" s="90" t="s">
        <v>90</v>
      </c>
      <c r="T583" s="90" t="s">
        <v>119</v>
      </c>
      <c r="U583" s="90" t="s">
        <v>119</v>
      </c>
      <c r="V583" s="90" t="s">
        <v>119</v>
      </c>
      <c r="W583" s="90" t="s">
        <v>119</v>
      </c>
      <c r="X583" s="90" t="s">
        <v>119</v>
      </c>
      <c r="Y583" s="90" t="s">
        <v>119</v>
      </c>
      <c r="Z583" s="90" t="s">
        <v>119</v>
      </c>
      <c r="AA583" s="90" t="s">
        <v>119</v>
      </c>
      <c r="AB583" s="90" t="s">
        <v>119</v>
      </c>
      <c r="AC583" s="90" t="s">
        <v>119</v>
      </c>
      <c r="AD583" s="90" t="s">
        <v>119</v>
      </c>
      <c r="AE583" s="24">
        <v>0</v>
      </c>
      <c r="AF583" s="90">
        <v>0</v>
      </c>
      <c r="AG583" s="24">
        <v>0</v>
      </c>
      <c r="AH583" s="90">
        <v>83957</v>
      </c>
      <c r="AI583" s="24" t="s">
        <v>102</v>
      </c>
      <c r="AJ583" s="24" t="s">
        <v>1556</v>
      </c>
      <c r="AK583" s="90" t="s">
        <v>85</v>
      </c>
      <c r="AL583" s="90">
        <v>241890</v>
      </c>
      <c r="AM583" s="90" t="s">
        <v>81</v>
      </c>
      <c r="AN583" s="90" t="s">
        <v>1551</v>
      </c>
      <c r="AO583" s="125" t="s">
        <v>784</v>
      </c>
      <c r="AP583" s="24" t="s">
        <v>1554</v>
      </c>
      <c r="AQ583" s="90" t="s">
        <v>1553</v>
      </c>
      <c r="AR583" s="24" t="s">
        <v>1554</v>
      </c>
      <c r="AS583" s="90" t="s">
        <v>119</v>
      </c>
      <c r="AT583" s="24" t="s">
        <v>102</v>
      </c>
      <c r="AU583" s="90" t="s">
        <v>119</v>
      </c>
      <c r="AV583" s="90" t="str">
        <f>IF(ISNUMBER(SEARCH("disagree",AE583)),"N","Y")</f>
        <v>Y</v>
      </c>
      <c r="AW583" s="90" t="s">
        <v>119</v>
      </c>
      <c r="AX583" s="24" t="s">
        <v>119</v>
      </c>
      <c r="AY583" s="90" t="str">
        <f>CONCATENATE(AZ583,BA583,BB583,BC583)</f>
        <v/>
      </c>
      <c r="AZ583" s="90" t="str">
        <f>IF(ISNUMBER(SEARCH("Y",AC583)),"R","")</f>
        <v/>
      </c>
      <c r="BA583" s="90" t="str">
        <f>IF(ISNUMBER(SEARCH("Y",Y583)),"M","")</f>
        <v/>
      </c>
      <c r="BB583" s="90" t="str">
        <f>IF(ISNUMBER(SEARCH("Y",AB583)),"QC","")</f>
        <v/>
      </c>
      <c r="BC583" s="90" t="str">
        <f>IF(ISNUMBER(SEARCH("Y",Z583)),"S","")</f>
        <v/>
      </c>
      <c r="BD583" s="90"/>
      <c r="BE583" s="24" t="s">
        <v>119</v>
      </c>
      <c r="BF583" s="125" t="str">
        <f>IF(AND(AW583&gt;=56543,AW583&lt;=76543,LEN(AW583)&gt;0),"3 Feb 2020",IF(AND(AW583&gt;=66544,AW583&lt;=99999,LEN(AW583)&gt;0),"12 Sep 2020",""))</f>
        <v/>
      </c>
      <c r="BG583" s="125" t="str">
        <f>IF((AND(BF583="3 Feb 2020",LEN(BF583)&gt;0)),"Completed",IF((AND(BF583="12 Sep 2020",LEN(BF583)&gt;0)),"Pending",""))</f>
        <v/>
      </c>
      <c r="BH583" s="90" t="str">
        <f>IF((AND(BF583="3 Feb 2020",LEN(BF583)&gt;0)),"3 Feb 2020","")</f>
        <v/>
      </c>
      <c r="BI583" s="90">
        <v>241890</v>
      </c>
      <c r="BJ583" s="90" t="str">
        <f>L583</f>
        <v>7S40ES843846-74</v>
      </c>
      <c r="BK583" s="127">
        <v>43508</v>
      </c>
      <c r="BL583" s="127">
        <v>44239</v>
      </c>
      <c r="BM583" s="128">
        <f>P583*1.1</f>
        <v>398195977.30000001</v>
      </c>
      <c r="BN583" s="129">
        <f>P583*0.9</f>
        <v>325796708.69999999</v>
      </c>
      <c r="BO583" s="130">
        <f>P583*0.8</f>
        <v>289597074.40000004</v>
      </c>
      <c r="BP583" s="90">
        <f>IF(Z583="Y",BM583*0.4,BM583*1.05)</f>
        <v>418105776.16500002</v>
      </c>
      <c r="BQ583" s="90">
        <f>BP583*0.8</f>
        <v>334484620.93200004</v>
      </c>
      <c r="BR583" s="90" t="str">
        <f>IF(ISNUMBER(SEARCH("subrecipient",AI579)),P583*0.6,"")</f>
        <v/>
      </c>
      <c r="BS583" s="90">
        <v>241890</v>
      </c>
      <c r="BT583" s="90" t="str">
        <f>BJ583</f>
        <v>7S40ES843846-74</v>
      </c>
      <c r="BU583" s="127">
        <f>BK583</f>
        <v>43508</v>
      </c>
      <c r="BV583" s="127">
        <f>BL583</f>
        <v>44239</v>
      </c>
      <c r="BW583" s="90" t="str">
        <f>H583</f>
        <v>NIH</v>
      </c>
      <c r="BX583" s="90" t="str">
        <f>IF(H583="NATIONAL HEMOPHILIA FOUNDATION","Non Federal","Federal")</f>
        <v>Federal</v>
      </c>
      <c r="BY583" s="128">
        <f>BM583</f>
        <v>398195977.30000001</v>
      </c>
      <c r="BZ583" s="90" t="str">
        <f>IF(LEN(BR583)&gt;0,1,"")</f>
        <v/>
      </c>
      <c r="CA583" s="90" t="str">
        <f>IF(LEN(BR583)&gt;0,"VIRAL HEPATITIS PROJECT","")</f>
        <v/>
      </c>
      <c r="CB583" s="129" t="str">
        <f>IF(LEN(BR583)&gt;0,BM583*0.7,"")</f>
        <v/>
      </c>
      <c r="CC583" s="90">
        <f>BP583</f>
        <v>418105776.16500002</v>
      </c>
      <c r="CD583" s="90" t="str">
        <f>IF(LEN(BR583)&gt;0,"70%","")</f>
        <v/>
      </c>
      <c r="CE583" s="90">
        <f>BS583</f>
        <v>241890</v>
      </c>
      <c r="CF583" s="90" t="str">
        <f>CA583</f>
        <v/>
      </c>
      <c r="CG583" s="90"/>
      <c r="CH583" s="90"/>
      <c r="CI583" s="90"/>
      <c r="CJ583" s="90"/>
      <c r="CK583" s="90"/>
      <c r="CL583" s="90"/>
      <c r="CM583" s="90"/>
      <c r="CN583" s="90"/>
      <c r="CO583" s="90"/>
      <c r="CP583" s="90"/>
      <c r="CQ583" s="90"/>
      <c r="CR583" s="90"/>
      <c r="CS583" s="90"/>
      <c r="CT583" s="137"/>
    </row>
    <row r="584" spans="1:98" ht="150">
      <c r="A584" s="89">
        <v>241890</v>
      </c>
      <c r="B584" s="90">
        <v>2020</v>
      </c>
      <c r="C584" s="90" t="s">
        <v>81</v>
      </c>
      <c r="D584" s="90" t="s">
        <v>1551</v>
      </c>
      <c r="E584" s="125" t="s">
        <v>790</v>
      </c>
      <c r="F584" s="24" t="s">
        <v>1552</v>
      </c>
      <c r="G584" s="90" t="s">
        <v>85</v>
      </c>
      <c r="H584" s="90" t="s">
        <v>117</v>
      </c>
      <c r="I584" s="90">
        <v>93</v>
      </c>
      <c r="J584" s="90">
        <v>157</v>
      </c>
      <c r="K584" s="90" t="s">
        <v>85</v>
      </c>
      <c r="L584" s="90" t="s">
        <v>1553</v>
      </c>
      <c r="M584" s="90" t="s">
        <v>119</v>
      </c>
      <c r="N584" s="24" t="s">
        <v>1554</v>
      </c>
      <c r="O584" s="24" t="str">
        <f>IF(ISNUMBER(SEARCH("Cancer",N584)),"Cancer",IF(ISNUMBER(SEARCH("health",N584)),"Public health",IF(ISNUMBER(SEARCH("disabilities",N584)),"Disabilities","Other")))</f>
        <v>Other</v>
      </c>
      <c r="P584" s="126">
        <v>361996343</v>
      </c>
      <c r="Q584" s="90" t="s">
        <v>85</v>
      </c>
      <c r="R584" s="90" t="str">
        <f>IF(P584&gt;20000000,"B","A")</f>
        <v>B</v>
      </c>
      <c r="S584" s="90" t="s">
        <v>90</v>
      </c>
      <c r="T584" s="90" t="s">
        <v>119</v>
      </c>
      <c r="U584" s="90" t="s">
        <v>119</v>
      </c>
      <c r="V584" s="90" t="s">
        <v>119</v>
      </c>
      <c r="W584" s="90" t="s">
        <v>119</v>
      </c>
      <c r="X584" s="90" t="s">
        <v>119</v>
      </c>
      <c r="Y584" s="90" t="s">
        <v>119</v>
      </c>
      <c r="Z584" s="90" t="s">
        <v>119</v>
      </c>
      <c r="AA584" s="90" t="s">
        <v>119</v>
      </c>
      <c r="AB584" s="90" t="s">
        <v>119</v>
      </c>
      <c r="AC584" s="90" t="s">
        <v>119</v>
      </c>
      <c r="AD584" s="90" t="s">
        <v>119</v>
      </c>
      <c r="AE584" s="24">
        <v>0</v>
      </c>
      <c r="AF584" s="90">
        <v>0</v>
      </c>
      <c r="AG584" s="24">
        <v>0</v>
      </c>
      <c r="AH584" s="90">
        <v>83955</v>
      </c>
      <c r="AI584" s="24" t="s">
        <v>110</v>
      </c>
      <c r="AJ584" s="24" t="s">
        <v>1557</v>
      </c>
      <c r="AK584" s="90" t="s">
        <v>85</v>
      </c>
      <c r="AL584" s="90">
        <v>241890</v>
      </c>
      <c r="AM584" s="90" t="s">
        <v>81</v>
      </c>
      <c r="AN584" s="90" t="s">
        <v>1551</v>
      </c>
      <c r="AO584" s="125" t="s">
        <v>790</v>
      </c>
      <c r="AP584" s="24" t="s">
        <v>1554</v>
      </c>
      <c r="AQ584" s="90" t="s">
        <v>1553</v>
      </c>
      <c r="AR584" s="24" t="s">
        <v>1554</v>
      </c>
      <c r="AS584" s="90" t="s">
        <v>119</v>
      </c>
      <c r="AT584" s="24" t="s">
        <v>110</v>
      </c>
      <c r="AU584" s="90" t="s">
        <v>119</v>
      </c>
      <c r="AV584" s="90" t="str">
        <f>IF(ISNUMBER(SEARCH("disagree",AE584)),"N","Y")</f>
        <v>Y</v>
      </c>
      <c r="AW584" s="90" t="s">
        <v>119</v>
      </c>
      <c r="AX584" s="24" t="s">
        <v>119</v>
      </c>
      <c r="AY584" s="90" t="str">
        <f>CONCATENATE(AZ584,BA584,BB584,BC584)</f>
        <v/>
      </c>
      <c r="AZ584" s="90" t="str">
        <f>IF(ISNUMBER(SEARCH("Y",AC584)),"R","")</f>
        <v/>
      </c>
      <c r="BA584" s="90" t="str">
        <f>IF(ISNUMBER(SEARCH("Y",Y584)),"M","")</f>
        <v/>
      </c>
      <c r="BB584" s="90" t="str">
        <f>IF(ISNUMBER(SEARCH("Y",AB584)),"QC","")</f>
        <v/>
      </c>
      <c r="BC584" s="90" t="str">
        <f>IF(ISNUMBER(SEARCH("Y",Z584)),"S","")</f>
        <v/>
      </c>
      <c r="BD584" s="90"/>
      <c r="BE584" s="24" t="s">
        <v>119</v>
      </c>
      <c r="BF584" s="125" t="str">
        <f>IF(AND(AW584&gt;=56543,AW584&lt;=76543,LEN(AW584)&gt;0),"3 Feb 2020",IF(AND(AW584&gt;=66544,AW584&lt;=99999,LEN(AW584)&gt;0),"12 Sep 2020",""))</f>
        <v/>
      </c>
      <c r="BG584" s="125" t="str">
        <f>IF((AND(BF584="3 Feb 2020",LEN(BF584)&gt;0)),"Completed",IF((AND(BF584="12 Sep 2020",LEN(BF584)&gt;0)),"Pending",""))</f>
        <v/>
      </c>
      <c r="BH584" s="90" t="str">
        <f>IF((AND(BF584="3 Feb 2020",LEN(BF584)&gt;0)),"3 Feb 2020","")</f>
        <v/>
      </c>
      <c r="BI584" s="90">
        <v>241890</v>
      </c>
      <c r="BJ584" s="90" t="str">
        <f>L584</f>
        <v>7S40ES843846-74</v>
      </c>
      <c r="BK584" s="127">
        <v>43508</v>
      </c>
      <c r="BL584" s="127">
        <v>44239</v>
      </c>
      <c r="BM584" s="128">
        <f>P584*1.1</f>
        <v>398195977.30000001</v>
      </c>
      <c r="BN584" s="129">
        <f>P584*0.9</f>
        <v>325796708.69999999</v>
      </c>
      <c r="BO584" s="130">
        <f>P584*0.8</f>
        <v>289597074.40000004</v>
      </c>
      <c r="BP584" s="90">
        <f>IF(Z584="Y",BM584*0.4,BM584*1.05)</f>
        <v>418105776.16500002</v>
      </c>
      <c r="BQ584" s="90">
        <f>BP584*0.8</f>
        <v>334484620.93200004</v>
      </c>
      <c r="BR584" s="90" t="str">
        <f>IF(ISNUMBER(SEARCH("subrecipient",AI580)),P584*0.6,"")</f>
        <v/>
      </c>
      <c r="BS584" s="90">
        <v>241890</v>
      </c>
      <c r="BT584" s="90" t="str">
        <f>BJ584</f>
        <v>7S40ES843846-74</v>
      </c>
      <c r="BU584" s="127">
        <f>BK584</f>
        <v>43508</v>
      </c>
      <c r="BV584" s="127">
        <f>BL584</f>
        <v>44239</v>
      </c>
      <c r="BW584" s="90" t="str">
        <f>H584</f>
        <v>NIH</v>
      </c>
      <c r="BX584" s="90" t="str">
        <f>IF(H584="NATIONAL HEMOPHILIA FOUNDATION","Non Federal","Federal")</f>
        <v>Federal</v>
      </c>
      <c r="BY584" s="128">
        <f>BM584</f>
        <v>398195977.30000001</v>
      </c>
      <c r="BZ584" s="90" t="str">
        <f>IF(LEN(BR584)&gt;0,1,"")</f>
        <v/>
      </c>
      <c r="CA584" s="90" t="str">
        <f>IF(LEN(BR584)&gt;0,"VIRAL HEPATITIS PROJECT","")</f>
        <v/>
      </c>
      <c r="CB584" s="129" t="str">
        <f>IF(LEN(BR584)&gt;0,BM584*0.7,"")</f>
        <v/>
      </c>
      <c r="CC584" s="90">
        <f>BP584</f>
        <v>418105776.16500002</v>
      </c>
      <c r="CD584" s="90" t="str">
        <f>IF(LEN(BR584)&gt;0,"70%","")</f>
        <v/>
      </c>
      <c r="CE584" s="90">
        <f>BS584</f>
        <v>241890</v>
      </c>
      <c r="CF584" s="90" t="str">
        <f>CA584</f>
        <v/>
      </c>
      <c r="CG584" s="90"/>
      <c r="CH584" s="90"/>
      <c r="CI584" s="90"/>
      <c r="CJ584" s="90"/>
      <c r="CK584" s="90"/>
      <c r="CL584" s="90"/>
      <c r="CM584" s="90"/>
      <c r="CN584" s="90"/>
      <c r="CO584" s="90"/>
      <c r="CP584" s="90"/>
      <c r="CQ584" s="90"/>
      <c r="CR584" s="90"/>
      <c r="CS584" s="90"/>
      <c r="CT584" s="137"/>
    </row>
    <row r="585" spans="1:98" ht="195">
      <c r="A585" s="89">
        <v>241915</v>
      </c>
      <c r="B585" s="90">
        <v>2020</v>
      </c>
      <c r="C585" s="90" t="s">
        <v>81</v>
      </c>
      <c r="D585" s="90" t="s">
        <v>1558</v>
      </c>
      <c r="E585" s="125" t="s">
        <v>791</v>
      </c>
      <c r="F585" s="24" t="s">
        <v>1559</v>
      </c>
      <c r="G585" s="90" t="s">
        <v>85</v>
      </c>
      <c r="H585" s="90" t="s">
        <v>132</v>
      </c>
      <c r="I585" s="90">
        <v>93</v>
      </c>
      <c r="J585" s="90">
        <v>157</v>
      </c>
      <c r="K585" s="90" t="s">
        <v>85</v>
      </c>
      <c r="L585" s="90" t="s">
        <v>1560</v>
      </c>
      <c r="M585" s="90" t="s">
        <v>119</v>
      </c>
      <c r="N585" s="24" t="s">
        <v>1561</v>
      </c>
      <c r="O585" s="24" t="str">
        <f>IF(ISNUMBER(SEARCH("Cancer",N585)),"Cancer",IF(ISNUMBER(SEARCH("health",N585)),"Public health",IF(ISNUMBER(SEARCH("disabilities",N585)),"Disabilities","Other")))</f>
        <v>Other</v>
      </c>
      <c r="P585" s="126">
        <v>194478987</v>
      </c>
      <c r="Q585" s="90" t="s">
        <v>85</v>
      </c>
      <c r="R585" s="90" t="str">
        <f>IF(P585&gt;20000000,"B","A")</f>
        <v>B</v>
      </c>
      <c r="S585" s="90" t="s">
        <v>90</v>
      </c>
      <c r="T585" s="90" t="s">
        <v>119</v>
      </c>
      <c r="U585" s="90" t="s">
        <v>119</v>
      </c>
      <c r="V585" s="90" t="s">
        <v>119</v>
      </c>
      <c r="W585" s="90" t="s">
        <v>119</v>
      </c>
      <c r="X585" s="90" t="s">
        <v>119</v>
      </c>
      <c r="Y585" s="90" t="s">
        <v>119</v>
      </c>
      <c r="Z585" s="90" t="s">
        <v>119</v>
      </c>
      <c r="AA585" s="90" t="s">
        <v>119</v>
      </c>
      <c r="AB585" s="90" t="s">
        <v>119</v>
      </c>
      <c r="AC585" s="90" t="s">
        <v>119</v>
      </c>
      <c r="AD585" s="90" t="s">
        <v>119</v>
      </c>
      <c r="AE585" s="24">
        <v>0</v>
      </c>
      <c r="AF585" s="90">
        <v>0</v>
      </c>
      <c r="AG585" s="24">
        <v>0</v>
      </c>
      <c r="AH585" s="90">
        <v>90810</v>
      </c>
      <c r="AI585" s="24" t="s">
        <v>94</v>
      </c>
      <c r="AJ585" s="24" t="s">
        <v>1562</v>
      </c>
      <c r="AK585" s="90" t="s">
        <v>85</v>
      </c>
      <c r="AL585" s="90">
        <v>241915</v>
      </c>
      <c r="AM585" s="90" t="s">
        <v>81</v>
      </c>
      <c r="AN585" s="90" t="s">
        <v>1558</v>
      </c>
      <c r="AO585" s="125" t="s">
        <v>791</v>
      </c>
      <c r="AP585" s="24" t="s">
        <v>1561</v>
      </c>
      <c r="AQ585" s="90" t="s">
        <v>1560</v>
      </c>
      <c r="AR585" s="24" t="s">
        <v>1561</v>
      </c>
      <c r="AS585" s="90" t="s">
        <v>119</v>
      </c>
      <c r="AT585" s="24" t="s">
        <v>94</v>
      </c>
      <c r="AU585" s="90" t="s">
        <v>119</v>
      </c>
      <c r="AV585" s="90" t="s">
        <v>85</v>
      </c>
      <c r="AW585" s="90" t="s">
        <v>119</v>
      </c>
      <c r="AX585" s="24" t="s">
        <v>119</v>
      </c>
      <c r="AY585" s="90" t="str">
        <f>CONCATENATE(AZ585,BA585,BB585,BC585)</f>
        <v/>
      </c>
      <c r="AZ585" s="90" t="str">
        <f>IF(ISNUMBER(SEARCH("Y",AC585)),"R","")</f>
        <v/>
      </c>
      <c r="BA585" s="90" t="str">
        <f>IF(ISNUMBER(SEARCH("Y",Y585)),"M","")</f>
        <v/>
      </c>
      <c r="BB585" s="90" t="str">
        <f>IF(ISNUMBER(SEARCH("Y",AB585)),"QC","")</f>
        <v/>
      </c>
      <c r="BC585" s="90" t="str">
        <f>IF(ISNUMBER(SEARCH("Y",Z585)),"S","")</f>
        <v/>
      </c>
      <c r="BD585" s="90"/>
      <c r="BE585" s="24" t="s">
        <v>119</v>
      </c>
      <c r="BF585" s="125" t="str">
        <f>IF(AND(AW585&gt;=56543,AW585&lt;=76543,LEN(AW585)&gt;0),"3 Feb 2020",IF(AND(AW585&gt;=66544,AW585&lt;=99999,LEN(AW585)&gt;0),"12 Sep 2020",""))</f>
        <v/>
      </c>
      <c r="BG585" s="125" t="str">
        <f>IF((AND(BF585="3 Feb 2020",LEN(BF585)&gt;0)),"Completed",IF((AND(BF585="12 Sep 2020",LEN(BF585)&gt;0)),"Pending",""))</f>
        <v/>
      </c>
      <c r="BH585" s="90" t="str">
        <f>IF((AND(BF585="3 Feb 2020",LEN(BF585)&gt;0)),"3 Feb 2020","")</f>
        <v/>
      </c>
      <c r="BI585" s="90">
        <v>241915</v>
      </c>
      <c r="BJ585" s="90" t="str">
        <f>L585</f>
        <v>4T77BT845602-34</v>
      </c>
      <c r="BK585" s="127">
        <v>43508</v>
      </c>
      <c r="BL585" s="127">
        <v>44239</v>
      </c>
      <c r="BM585" s="128">
        <f>P585*1.1</f>
        <v>213926885.70000002</v>
      </c>
      <c r="BN585" s="129">
        <f>P585*0.9</f>
        <v>175031088.30000001</v>
      </c>
      <c r="BO585" s="130">
        <f>P585*0.8</f>
        <v>155583189.59999999</v>
      </c>
      <c r="BP585" s="90">
        <f>IF(Z585="Y",BM585*0.4,BM585*1.05)</f>
        <v>224623229.98500001</v>
      </c>
      <c r="BQ585" s="90">
        <f>BP585*0.8</f>
        <v>179698583.98800004</v>
      </c>
      <c r="BR585" s="90" t="str">
        <f>IF(ISNUMBER(SEARCH("subrecipient",AI581)),P585*0.6,"")</f>
        <v/>
      </c>
      <c r="BS585" s="90">
        <v>241915</v>
      </c>
      <c r="BT585" s="90" t="str">
        <f>BJ585</f>
        <v>4T77BT845602-34</v>
      </c>
      <c r="BU585" s="127">
        <f>BK585</f>
        <v>43508</v>
      </c>
      <c r="BV585" s="127">
        <f>BL585</f>
        <v>44239</v>
      </c>
      <c r="BW585" s="90" t="str">
        <f>H585</f>
        <v>FDA</v>
      </c>
      <c r="BX585" s="90" t="str">
        <f>IF(H585="NATIONAL HEMOPHILIA FOUNDATION","Non Federal","Federal")</f>
        <v>Federal</v>
      </c>
      <c r="BY585" s="128">
        <f>BM585</f>
        <v>213926885.70000002</v>
      </c>
      <c r="BZ585" s="90" t="str">
        <f>IF(LEN(BR585)&gt;0,1,"")</f>
        <v/>
      </c>
      <c r="CA585" s="90" t="str">
        <f>IF(LEN(BR585)&gt;0,"VIRAL HEPATITIS PROJECT","")</f>
        <v/>
      </c>
      <c r="CB585" s="129" t="str">
        <f>IF(LEN(BR585)&gt;0,BM585*0.7,"")</f>
        <v/>
      </c>
      <c r="CC585" s="90">
        <f>BP585</f>
        <v>224623229.98500001</v>
      </c>
      <c r="CD585" s="90" t="str">
        <f>IF(LEN(BR585)&gt;0,"70%","")</f>
        <v/>
      </c>
      <c r="CE585" s="90">
        <f>BS585</f>
        <v>241915</v>
      </c>
      <c r="CF585" s="90" t="str">
        <f>CA585</f>
        <v/>
      </c>
      <c r="CG585" s="90"/>
      <c r="CH585" s="90"/>
      <c r="CI585" s="90"/>
      <c r="CJ585" s="90"/>
      <c r="CK585" s="90"/>
      <c r="CL585" s="90"/>
      <c r="CM585" s="90"/>
      <c r="CN585" s="90"/>
      <c r="CO585" s="90"/>
      <c r="CP585" s="90"/>
      <c r="CQ585" s="90"/>
      <c r="CR585" s="90"/>
      <c r="CS585" s="90"/>
      <c r="CT585" s="137"/>
    </row>
    <row r="586" spans="1:98" ht="195">
      <c r="A586" s="89">
        <v>241915</v>
      </c>
      <c r="B586" s="90">
        <v>2020</v>
      </c>
      <c r="C586" s="90" t="s">
        <v>81</v>
      </c>
      <c r="D586" s="90" t="s">
        <v>1558</v>
      </c>
      <c r="E586" s="125" t="s">
        <v>793</v>
      </c>
      <c r="F586" s="24" t="s">
        <v>1559</v>
      </c>
      <c r="G586" s="90" t="s">
        <v>85</v>
      </c>
      <c r="H586" s="90" t="s">
        <v>132</v>
      </c>
      <c r="I586" s="90">
        <v>93</v>
      </c>
      <c r="J586" s="90">
        <v>157</v>
      </c>
      <c r="K586" s="90" t="s">
        <v>85</v>
      </c>
      <c r="L586" s="90" t="s">
        <v>1560</v>
      </c>
      <c r="M586" s="90" t="s">
        <v>119</v>
      </c>
      <c r="N586" s="24" t="s">
        <v>1561</v>
      </c>
      <c r="O586" s="24" t="str">
        <f>IF(ISNUMBER(SEARCH("Cancer",N586)),"Cancer",IF(ISNUMBER(SEARCH("health",N586)),"Public health",IF(ISNUMBER(SEARCH("disabilities",N586)),"Disabilities","Other")))</f>
        <v>Other</v>
      </c>
      <c r="P586" s="126">
        <v>194478987</v>
      </c>
      <c r="Q586" s="90" t="s">
        <v>85</v>
      </c>
      <c r="R586" s="90" t="str">
        <f>IF(P586&gt;20000000,"B","A")</f>
        <v>B</v>
      </c>
      <c r="S586" s="90" t="s">
        <v>90</v>
      </c>
      <c r="T586" s="90" t="s">
        <v>119</v>
      </c>
      <c r="U586" s="90" t="s">
        <v>119</v>
      </c>
      <c r="V586" s="90" t="s">
        <v>119</v>
      </c>
      <c r="W586" s="90" t="s">
        <v>119</v>
      </c>
      <c r="X586" s="90" t="s">
        <v>119</v>
      </c>
      <c r="Y586" s="90" t="s">
        <v>119</v>
      </c>
      <c r="Z586" s="90" t="s">
        <v>119</v>
      </c>
      <c r="AA586" s="90" t="s">
        <v>119</v>
      </c>
      <c r="AB586" s="90" t="s">
        <v>119</v>
      </c>
      <c r="AC586" s="90" t="s">
        <v>119</v>
      </c>
      <c r="AD586" s="90" t="s">
        <v>119</v>
      </c>
      <c r="AE586" s="24">
        <v>0</v>
      </c>
      <c r="AF586" s="90">
        <v>0</v>
      </c>
      <c r="AG586" s="24">
        <v>0</v>
      </c>
      <c r="AH586" s="90">
        <v>90811</v>
      </c>
      <c r="AI586" s="24" t="s">
        <v>102</v>
      </c>
      <c r="AJ586" s="24" t="s">
        <v>103</v>
      </c>
      <c r="AK586" s="90" t="s">
        <v>85</v>
      </c>
      <c r="AL586" s="90">
        <v>241915</v>
      </c>
      <c r="AM586" s="90" t="s">
        <v>81</v>
      </c>
      <c r="AN586" s="90" t="s">
        <v>1558</v>
      </c>
      <c r="AO586" s="125" t="s">
        <v>793</v>
      </c>
      <c r="AP586" s="24" t="s">
        <v>1561</v>
      </c>
      <c r="AQ586" s="90" t="s">
        <v>1560</v>
      </c>
      <c r="AR586" s="24" t="s">
        <v>1561</v>
      </c>
      <c r="AS586" s="90" t="s">
        <v>119</v>
      </c>
      <c r="AT586" s="24" t="s">
        <v>102</v>
      </c>
      <c r="AU586" s="90" t="s">
        <v>119</v>
      </c>
      <c r="AV586" s="90" t="s">
        <v>85</v>
      </c>
      <c r="AW586" s="90" t="s">
        <v>119</v>
      </c>
      <c r="AX586" s="24" t="s">
        <v>119</v>
      </c>
      <c r="AY586" s="90" t="str">
        <f>CONCATENATE(AZ586,BA586,BB586,BC586)</f>
        <v/>
      </c>
      <c r="AZ586" s="90" t="str">
        <f>IF(ISNUMBER(SEARCH("Y",AC586)),"R","")</f>
        <v/>
      </c>
      <c r="BA586" s="90" t="str">
        <f>IF(ISNUMBER(SEARCH("Y",Y586)),"M","")</f>
        <v/>
      </c>
      <c r="BB586" s="90" t="str">
        <f>IF(ISNUMBER(SEARCH("Y",AB586)),"QC","")</f>
        <v/>
      </c>
      <c r="BC586" s="90" t="str">
        <f>IF(ISNUMBER(SEARCH("Y",Z586)),"S","")</f>
        <v/>
      </c>
      <c r="BD586" s="90"/>
      <c r="BE586" s="24" t="s">
        <v>119</v>
      </c>
      <c r="BF586" s="125" t="str">
        <f>IF(AND(AW586&gt;=56543,AW586&lt;=76543,LEN(AW586)&gt;0),"3 Feb 2020",IF(AND(AW586&gt;=66544,AW586&lt;=99999,LEN(AW586)&gt;0),"12 Sep 2020",""))</f>
        <v/>
      </c>
      <c r="BG586" s="125" t="str">
        <f>IF((AND(BF586="3 Feb 2020",LEN(BF586)&gt;0)),"Completed",IF((AND(BF586="12 Sep 2020",LEN(BF586)&gt;0)),"Pending",""))</f>
        <v/>
      </c>
      <c r="BH586" s="90" t="str">
        <f>IF((AND(BF586="3 Feb 2020",LEN(BF586)&gt;0)),"3 Feb 2020","")</f>
        <v/>
      </c>
      <c r="BI586" s="90">
        <v>241915</v>
      </c>
      <c r="BJ586" s="90" t="str">
        <f>L586</f>
        <v>4T77BT845602-34</v>
      </c>
      <c r="BK586" s="127">
        <v>43508</v>
      </c>
      <c r="BL586" s="127">
        <v>44239</v>
      </c>
      <c r="BM586" s="128">
        <f>P586*1.1</f>
        <v>213926885.70000002</v>
      </c>
      <c r="BN586" s="129">
        <f>P586*0.9</f>
        <v>175031088.30000001</v>
      </c>
      <c r="BO586" s="130">
        <f>P586*0.8</f>
        <v>155583189.59999999</v>
      </c>
      <c r="BP586" s="90">
        <f>IF(Z586="Y",BM586*0.4,BM586*1.05)</f>
        <v>224623229.98500001</v>
      </c>
      <c r="BQ586" s="90">
        <f>BP586*0.8</f>
        <v>179698583.98800004</v>
      </c>
      <c r="BR586" s="90" t="str">
        <f>IF(ISNUMBER(SEARCH("subrecipient",AI582)),P586*0.6,"")</f>
        <v/>
      </c>
      <c r="BS586" s="90">
        <v>241915</v>
      </c>
      <c r="BT586" s="90" t="str">
        <f>BJ586</f>
        <v>4T77BT845602-34</v>
      </c>
      <c r="BU586" s="127">
        <f>BK586</f>
        <v>43508</v>
      </c>
      <c r="BV586" s="127">
        <f>BL586</f>
        <v>44239</v>
      </c>
      <c r="BW586" s="90" t="str">
        <f>H586</f>
        <v>FDA</v>
      </c>
      <c r="BX586" s="90" t="str">
        <f>IF(H586="NATIONAL HEMOPHILIA FOUNDATION","Non Federal","Federal")</f>
        <v>Federal</v>
      </c>
      <c r="BY586" s="128">
        <f>BM586</f>
        <v>213926885.70000002</v>
      </c>
      <c r="BZ586" s="90" t="str">
        <f>IF(LEN(BR586)&gt;0,1,"")</f>
        <v/>
      </c>
      <c r="CA586" s="90" t="str">
        <f>IF(LEN(BR586)&gt;0,"VIRAL HEPATITIS PROJECT","")</f>
        <v/>
      </c>
      <c r="CB586" s="129" t="str">
        <f>IF(LEN(BR586)&gt;0,BM586*0.7,"")</f>
        <v/>
      </c>
      <c r="CC586" s="90">
        <f>BP586</f>
        <v>224623229.98500001</v>
      </c>
      <c r="CD586" s="90" t="str">
        <f>IF(LEN(BR586)&gt;0,"70%","")</f>
        <v/>
      </c>
      <c r="CE586" s="90">
        <f>BS586</f>
        <v>241915</v>
      </c>
      <c r="CF586" s="90" t="str">
        <f>CA586</f>
        <v/>
      </c>
      <c r="CG586" s="90"/>
      <c r="CH586" s="90"/>
      <c r="CI586" s="90"/>
      <c r="CJ586" s="90"/>
      <c r="CK586" s="90"/>
      <c r="CL586" s="90"/>
      <c r="CM586" s="90"/>
      <c r="CN586" s="90"/>
      <c r="CO586" s="90"/>
      <c r="CP586" s="90"/>
      <c r="CQ586" s="90"/>
      <c r="CR586" s="90"/>
      <c r="CS586" s="90"/>
      <c r="CT586" s="137"/>
    </row>
    <row r="587" spans="1:98" ht="195">
      <c r="A587" s="89">
        <v>241915</v>
      </c>
      <c r="B587" s="90">
        <v>2020</v>
      </c>
      <c r="C587" s="90" t="s">
        <v>81</v>
      </c>
      <c r="D587" s="90" t="s">
        <v>1558</v>
      </c>
      <c r="E587" s="125" t="s">
        <v>780</v>
      </c>
      <c r="F587" s="24" t="s">
        <v>1559</v>
      </c>
      <c r="G587" s="90" t="s">
        <v>85</v>
      </c>
      <c r="H587" s="90" t="s">
        <v>132</v>
      </c>
      <c r="I587" s="90">
        <v>93</v>
      </c>
      <c r="J587" s="90">
        <v>157</v>
      </c>
      <c r="K587" s="90" t="s">
        <v>85</v>
      </c>
      <c r="L587" s="90" t="s">
        <v>1560</v>
      </c>
      <c r="M587" s="90" t="s">
        <v>119</v>
      </c>
      <c r="N587" s="24" t="s">
        <v>1561</v>
      </c>
      <c r="O587" s="24" t="str">
        <f>IF(ISNUMBER(SEARCH("Cancer",N587)),"Cancer",IF(ISNUMBER(SEARCH("health",N587)),"Public health",IF(ISNUMBER(SEARCH("disabilities",N587)),"Disabilities","Other")))</f>
        <v>Other</v>
      </c>
      <c r="P587" s="126">
        <v>194478987</v>
      </c>
      <c r="Q587" s="90" t="s">
        <v>85</v>
      </c>
      <c r="R587" s="90" t="str">
        <f>IF(P587&gt;20000000,"B","A")</f>
        <v>B</v>
      </c>
      <c r="S587" s="90" t="s">
        <v>90</v>
      </c>
      <c r="T587" s="90" t="s">
        <v>119</v>
      </c>
      <c r="U587" s="90" t="s">
        <v>119</v>
      </c>
      <c r="V587" s="90" t="s">
        <v>119</v>
      </c>
      <c r="W587" s="90" t="s">
        <v>119</v>
      </c>
      <c r="X587" s="90" t="s">
        <v>119</v>
      </c>
      <c r="Y587" s="90" t="s">
        <v>119</v>
      </c>
      <c r="Z587" s="90" t="s">
        <v>119</v>
      </c>
      <c r="AA587" s="90" t="s">
        <v>119</v>
      </c>
      <c r="AB587" s="90" t="s">
        <v>119</v>
      </c>
      <c r="AC587" s="90" t="s">
        <v>119</v>
      </c>
      <c r="AD587" s="90" t="s">
        <v>119</v>
      </c>
      <c r="AE587" s="24">
        <v>0</v>
      </c>
      <c r="AF587" s="90">
        <v>0</v>
      </c>
      <c r="AG587" s="24">
        <v>0</v>
      </c>
      <c r="AH587" s="90">
        <v>90812</v>
      </c>
      <c r="AI587" s="24" t="s">
        <v>110</v>
      </c>
      <c r="AJ587" s="24" t="s">
        <v>1563</v>
      </c>
      <c r="AK587" s="90" t="s">
        <v>85</v>
      </c>
      <c r="AL587" s="90">
        <v>241915</v>
      </c>
      <c r="AM587" s="90" t="s">
        <v>81</v>
      </c>
      <c r="AN587" s="90" t="s">
        <v>1558</v>
      </c>
      <c r="AO587" s="125" t="s">
        <v>780</v>
      </c>
      <c r="AP587" s="24" t="s">
        <v>1561</v>
      </c>
      <c r="AQ587" s="90" t="s">
        <v>1560</v>
      </c>
      <c r="AR587" s="24" t="s">
        <v>1561</v>
      </c>
      <c r="AS587" s="90" t="s">
        <v>119</v>
      </c>
      <c r="AT587" s="24" t="s">
        <v>110</v>
      </c>
      <c r="AU587" s="90" t="s">
        <v>119</v>
      </c>
      <c r="AV587" s="90" t="s">
        <v>85</v>
      </c>
      <c r="AW587" s="90" t="s">
        <v>119</v>
      </c>
      <c r="AX587" s="24" t="s">
        <v>119</v>
      </c>
      <c r="AY587" s="90" t="str">
        <f>CONCATENATE(AZ587,BA587,BB587,BC587)</f>
        <v/>
      </c>
      <c r="AZ587" s="90" t="str">
        <f>IF(ISNUMBER(SEARCH("Y",AC587)),"R","")</f>
        <v/>
      </c>
      <c r="BA587" s="90" t="str">
        <f>IF(ISNUMBER(SEARCH("Y",Y587)),"M","")</f>
        <v/>
      </c>
      <c r="BB587" s="90" t="str">
        <f>IF(ISNUMBER(SEARCH("Y",AB587)),"QC","")</f>
        <v/>
      </c>
      <c r="BC587" s="90" t="str">
        <f>IF(ISNUMBER(SEARCH("Y",Z587)),"S","")</f>
        <v/>
      </c>
      <c r="BD587" s="90"/>
      <c r="BE587" s="24" t="s">
        <v>119</v>
      </c>
      <c r="BF587" s="125" t="str">
        <f>IF(AND(AW587&gt;=56543,AW587&lt;=76543,LEN(AW587)&gt;0),"3 Feb 2020",IF(AND(AW587&gt;=66544,AW587&lt;=99999,LEN(AW587)&gt;0),"12 Sep 2020",""))</f>
        <v/>
      </c>
      <c r="BG587" s="125" t="str">
        <f>IF((AND(BF587="3 Feb 2020",LEN(BF587)&gt;0)),"Completed",IF((AND(BF587="12 Sep 2020",LEN(BF587)&gt;0)),"Pending",""))</f>
        <v/>
      </c>
      <c r="BH587" s="90" t="str">
        <f>IF((AND(BF587="3 Feb 2020",LEN(BF587)&gt;0)),"3 Feb 2020","")</f>
        <v/>
      </c>
      <c r="BI587" s="90">
        <v>241915</v>
      </c>
      <c r="BJ587" s="90" t="str">
        <f>L587</f>
        <v>4T77BT845602-34</v>
      </c>
      <c r="BK587" s="127">
        <v>43508</v>
      </c>
      <c r="BL587" s="127">
        <v>44239</v>
      </c>
      <c r="BM587" s="128">
        <f>P587*1.1</f>
        <v>213926885.70000002</v>
      </c>
      <c r="BN587" s="129">
        <f>P587*0.9</f>
        <v>175031088.30000001</v>
      </c>
      <c r="BO587" s="130">
        <f>P587*0.8</f>
        <v>155583189.59999999</v>
      </c>
      <c r="BP587" s="90">
        <f>IF(Z587="Y",BM587*0.4,BM587*1.05)</f>
        <v>224623229.98500001</v>
      </c>
      <c r="BQ587" s="90">
        <f>BP587*0.8</f>
        <v>179698583.98800004</v>
      </c>
      <c r="BR587" s="90" t="str">
        <f>IF(ISNUMBER(SEARCH("subrecipient",AI583)),P587*0.6,"")</f>
        <v/>
      </c>
      <c r="BS587" s="90">
        <v>241915</v>
      </c>
      <c r="BT587" s="90" t="str">
        <f>BJ587</f>
        <v>4T77BT845602-34</v>
      </c>
      <c r="BU587" s="127">
        <f>BK587</f>
        <v>43508</v>
      </c>
      <c r="BV587" s="127">
        <f>BL587</f>
        <v>44239</v>
      </c>
      <c r="BW587" s="90" t="str">
        <f>H587</f>
        <v>FDA</v>
      </c>
      <c r="BX587" s="90" t="str">
        <f>IF(H587="NATIONAL HEMOPHILIA FOUNDATION","Non Federal","Federal")</f>
        <v>Federal</v>
      </c>
      <c r="BY587" s="128">
        <f>BM587</f>
        <v>213926885.70000002</v>
      </c>
      <c r="BZ587" s="90" t="str">
        <f>IF(LEN(BR587)&gt;0,1,"")</f>
        <v/>
      </c>
      <c r="CA587" s="90" t="str">
        <f>IF(LEN(BR587)&gt;0,"VIRAL HEPATITIS PROJECT","")</f>
        <v/>
      </c>
      <c r="CB587" s="129" t="str">
        <f>IF(LEN(BR587)&gt;0,BM587*0.7,"")</f>
        <v/>
      </c>
      <c r="CC587" s="90">
        <f>BP587</f>
        <v>224623229.98500001</v>
      </c>
      <c r="CD587" s="90" t="str">
        <f>IF(LEN(BR587)&gt;0,"70%","")</f>
        <v/>
      </c>
      <c r="CE587" s="90">
        <f>BS587</f>
        <v>241915</v>
      </c>
      <c r="CF587" s="90" t="str">
        <f>CA587</f>
        <v/>
      </c>
      <c r="CG587" s="90"/>
      <c r="CH587" s="90"/>
      <c r="CI587" s="90"/>
      <c r="CJ587" s="90"/>
      <c r="CK587" s="90"/>
      <c r="CL587" s="90"/>
      <c r="CM587" s="90"/>
      <c r="CN587" s="90"/>
      <c r="CO587" s="90"/>
      <c r="CP587" s="90"/>
      <c r="CQ587" s="90"/>
      <c r="CR587" s="90"/>
      <c r="CS587" s="90"/>
      <c r="CT587" s="137"/>
    </row>
    <row r="588" spans="1:98" ht="165">
      <c r="A588" s="89">
        <v>241916</v>
      </c>
      <c r="B588" s="90">
        <v>2020</v>
      </c>
      <c r="C588" s="90" t="s">
        <v>81</v>
      </c>
      <c r="D588" s="90" t="s">
        <v>1564</v>
      </c>
      <c r="E588" s="125" t="s">
        <v>781</v>
      </c>
      <c r="F588" s="24" t="s">
        <v>1565</v>
      </c>
      <c r="G588" s="90" t="s">
        <v>85</v>
      </c>
      <c r="H588" s="90" t="s">
        <v>150</v>
      </c>
      <c r="I588" s="90">
        <v>93</v>
      </c>
      <c r="J588" s="90">
        <v>157</v>
      </c>
      <c r="K588" s="90" t="s">
        <v>85</v>
      </c>
      <c r="L588" s="90" t="s">
        <v>1566</v>
      </c>
      <c r="M588" s="90" t="s">
        <v>119</v>
      </c>
      <c r="N588" s="24" t="s">
        <v>1567</v>
      </c>
      <c r="O588" s="24" t="str">
        <f>IF(ISNUMBER(SEARCH("Cancer",N588)),"Cancer",IF(ISNUMBER(SEARCH("health",N588)),"Public health",IF(ISNUMBER(SEARCH("disabilities",N588)),"Disabilities","Other")))</f>
        <v>Public health</v>
      </c>
      <c r="P588" s="126">
        <v>176782350</v>
      </c>
      <c r="Q588" s="90" t="s">
        <v>85</v>
      </c>
      <c r="R588" s="90" t="str">
        <f>IF(P588&gt;20000000,"B","A")</f>
        <v>B</v>
      </c>
      <c r="S588" s="90" t="s">
        <v>90</v>
      </c>
      <c r="T588" s="90" t="s">
        <v>119</v>
      </c>
      <c r="U588" s="90" t="s">
        <v>119</v>
      </c>
      <c r="V588" s="90" t="s">
        <v>119</v>
      </c>
      <c r="W588" s="90" t="s">
        <v>119</v>
      </c>
      <c r="X588" s="90" t="s">
        <v>119</v>
      </c>
      <c r="Y588" s="90" t="s">
        <v>119</v>
      </c>
      <c r="Z588" s="90" t="s">
        <v>119</v>
      </c>
      <c r="AA588" s="90" t="s">
        <v>119</v>
      </c>
      <c r="AB588" s="90" t="s">
        <v>119</v>
      </c>
      <c r="AC588" s="90" t="s">
        <v>119</v>
      </c>
      <c r="AD588" s="90" t="s">
        <v>119</v>
      </c>
      <c r="AE588" s="24">
        <v>0</v>
      </c>
      <c r="AF588" s="90">
        <v>0</v>
      </c>
      <c r="AG588" s="24">
        <v>0</v>
      </c>
      <c r="AH588" s="90">
        <v>90806</v>
      </c>
      <c r="AI588" s="24" t="s">
        <v>94</v>
      </c>
      <c r="AJ588" s="24" t="s">
        <v>1568</v>
      </c>
      <c r="AK588" s="90" t="s">
        <v>85</v>
      </c>
      <c r="AL588" s="90">
        <v>241916</v>
      </c>
      <c r="AM588" s="90" t="s">
        <v>81</v>
      </c>
      <c r="AN588" s="90" t="s">
        <v>1564</v>
      </c>
      <c r="AO588" s="125" t="s">
        <v>781</v>
      </c>
      <c r="AP588" s="24" t="s">
        <v>1567</v>
      </c>
      <c r="AQ588" s="90" t="s">
        <v>1566</v>
      </c>
      <c r="AR588" s="24" t="s">
        <v>1567</v>
      </c>
      <c r="AS588" s="90" t="s">
        <v>119</v>
      </c>
      <c r="AT588" s="24" t="s">
        <v>94</v>
      </c>
      <c r="AU588" s="90" t="s">
        <v>119</v>
      </c>
      <c r="AV588" s="90" t="str">
        <f>IF(ISNUMBER(SEARCH("disagree",AE588)),"N","Y")</f>
        <v>Y</v>
      </c>
      <c r="AW588" s="90" t="s">
        <v>119</v>
      </c>
      <c r="AX588" s="24" t="s">
        <v>119</v>
      </c>
      <c r="AY588" s="90" t="str">
        <f>CONCATENATE(AZ588,BA588,BB588,BC588)</f>
        <v/>
      </c>
      <c r="AZ588" s="90" t="str">
        <f>IF(ISNUMBER(SEARCH("Y",AC588)),"R","")</f>
        <v/>
      </c>
      <c r="BA588" s="90" t="str">
        <f>IF(ISNUMBER(SEARCH("Y",Y588)),"M","")</f>
        <v/>
      </c>
      <c r="BB588" s="90" t="str">
        <f>IF(ISNUMBER(SEARCH("Y",AB588)),"QC","")</f>
        <v/>
      </c>
      <c r="BC588" s="90" t="str">
        <f>IF(ISNUMBER(SEARCH("Y",Z588)),"S","")</f>
        <v/>
      </c>
      <c r="BD588" s="90"/>
      <c r="BE588" s="24" t="s">
        <v>119</v>
      </c>
      <c r="BF588" s="125" t="str">
        <f>IF(AND(AW588&gt;=56543,AW588&lt;=76543,LEN(AW588)&gt;0),"3 Feb 2020",IF(AND(AW588&gt;=66544,AW588&lt;=99999,LEN(AW588)&gt;0),"12 Sep 2020",""))</f>
        <v/>
      </c>
      <c r="BG588" s="125" t="str">
        <f>IF((AND(BF588="3 Feb 2020",LEN(BF588)&gt;0)),"Completed",IF((AND(BF588="12 Sep 2020",LEN(BF588)&gt;0)),"Pending",""))</f>
        <v/>
      </c>
      <c r="BH588" s="90" t="str">
        <f>IF((AND(BF588="3 Feb 2020",LEN(BF588)&gt;0)),"3 Feb 2020","")</f>
        <v/>
      </c>
      <c r="BI588" s="90">
        <v>241916</v>
      </c>
      <c r="BJ588" s="90" t="str">
        <f>L588</f>
        <v>9S74BS845945-43</v>
      </c>
      <c r="BK588" s="127">
        <v>43508</v>
      </c>
      <c r="BL588" s="127">
        <v>44239</v>
      </c>
      <c r="BM588" s="128">
        <f>P588*1.1</f>
        <v>194460585.00000003</v>
      </c>
      <c r="BN588" s="129">
        <f>P588*0.9</f>
        <v>159104115</v>
      </c>
      <c r="BO588" s="130">
        <f>P588*0.8</f>
        <v>141425880</v>
      </c>
      <c r="BP588" s="90">
        <f>IF(Z588="Y",BM588*0.4,BM588*1.05)</f>
        <v>204183614.25000003</v>
      </c>
      <c r="BQ588" s="90">
        <f>BP588*0.8</f>
        <v>163346891.40000004</v>
      </c>
      <c r="BR588" s="90" t="str">
        <f>IF(ISNUMBER(SEARCH("subrecipient",AI584)),P588*0.6,"")</f>
        <v/>
      </c>
      <c r="BS588" s="90">
        <v>241916</v>
      </c>
      <c r="BT588" s="90" t="str">
        <f>BJ588</f>
        <v>9S74BS845945-43</v>
      </c>
      <c r="BU588" s="127">
        <f>BK588</f>
        <v>43508</v>
      </c>
      <c r="BV588" s="127">
        <f>BL588</f>
        <v>44239</v>
      </c>
      <c r="BW588" s="90" t="str">
        <f>H588</f>
        <v>ACF</v>
      </c>
      <c r="BX588" s="90" t="str">
        <f>IF(H588="NATIONAL HEMOPHILIA FOUNDATION","Non Federal","Federal")</f>
        <v>Federal</v>
      </c>
      <c r="BY588" s="128">
        <f>BM588</f>
        <v>194460585.00000003</v>
      </c>
      <c r="BZ588" s="90" t="str">
        <f>IF(LEN(BR588)&gt;0,1,"")</f>
        <v/>
      </c>
      <c r="CA588" s="90" t="str">
        <f>IF(LEN(BR588)&gt;0,"VIRAL HEPATITIS PROJECT","")</f>
        <v/>
      </c>
      <c r="CB588" s="129" t="str">
        <f>IF(LEN(BR588)&gt;0,BM588*0.7,"")</f>
        <v/>
      </c>
      <c r="CC588" s="90">
        <f>BP588</f>
        <v>204183614.25000003</v>
      </c>
      <c r="CD588" s="90" t="str">
        <f>IF(LEN(BR588)&gt;0,"70%","")</f>
        <v/>
      </c>
      <c r="CE588" s="90">
        <f>BS588</f>
        <v>241916</v>
      </c>
      <c r="CF588" s="90" t="str">
        <f>CA588</f>
        <v/>
      </c>
      <c r="CG588" s="90"/>
      <c r="CH588" s="90"/>
      <c r="CI588" s="90"/>
      <c r="CJ588" s="90"/>
      <c r="CK588" s="90"/>
      <c r="CL588" s="90"/>
      <c r="CM588" s="90"/>
      <c r="CN588" s="90"/>
      <c r="CO588" s="90"/>
      <c r="CP588" s="90"/>
      <c r="CQ588" s="90"/>
      <c r="CR588" s="90"/>
      <c r="CS588" s="90"/>
      <c r="CT588" s="137"/>
    </row>
    <row r="589" spans="1:98" ht="90">
      <c r="A589" s="89">
        <v>241916</v>
      </c>
      <c r="B589" s="90">
        <v>2020</v>
      </c>
      <c r="C589" s="90" t="s">
        <v>81</v>
      </c>
      <c r="D589" s="90" t="s">
        <v>1564</v>
      </c>
      <c r="E589" s="125" t="s">
        <v>784</v>
      </c>
      <c r="F589" s="24" t="s">
        <v>1565</v>
      </c>
      <c r="G589" s="90" t="s">
        <v>85</v>
      </c>
      <c r="H589" s="90" t="s">
        <v>150</v>
      </c>
      <c r="I589" s="90">
        <v>93</v>
      </c>
      <c r="J589" s="90">
        <v>157</v>
      </c>
      <c r="K589" s="90" t="s">
        <v>85</v>
      </c>
      <c r="L589" s="90" t="s">
        <v>1566</v>
      </c>
      <c r="M589" s="90" t="s">
        <v>119</v>
      </c>
      <c r="N589" s="24" t="s">
        <v>1567</v>
      </c>
      <c r="O589" s="24" t="str">
        <f>IF(ISNUMBER(SEARCH("Cancer",N589)),"Cancer",IF(ISNUMBER(SEARCH("health",N589)),"Public health",IF(ISNUMBER(SEARCH("disabilities",N589)),"Disabilities","Other")))</f>
        <v>Public health</v>
      </c>
      <c r="P589" s="126">
        <v>176782350</v>
      </c>
      <c r="Q589" s="90" t="s">
        <v>85</v>
      </c>
      <c r="R589" s="90" t="str">
        <f>IF(P589&gt;20000000,"B","A")</f>
        <v>B</v>
      </c>
      <c r="S589" s="90" t="s">
        <v>90</v>
      </c>
      <c r="T589" s="90" t="s">
        <v>119</v>
      </c>
      <c r="U589" s="90" t="s">
        <v>119</v>
      </c>
      <c r="V589" s="90" t="s">
        <v>119</v>
      </c>
      <c r="W589" s="90" t="s">
        <v>119</v>
      </c>
      <c r="X589" s="90" t="s">
        <v>119</v>
      </c>
      <c r="Y589" s="90" t="s">
        <v>119</v>
      </c>
      <c r="Z589" s="90" t="s">
        <v>119</v>
      </c>
      <c r="AA589" s="90" t="s">
        <v>119</v>
      </c>
      <c r="AB589" s="90" t="s">
        <v>119</v>
      </c>
      <c r="AC589" s="90" t="s">
        <v>119</v>
      </c>
      <c r="AD589" s="90" t="s">
        <v>119</v>
      </c>
      <c r="AE589" s="24">
        <v>0</v>
      </c>
      <c r="AF589" s="90">
        <v>0</v>
      </c>
      <c r="AG589" s="24">
        <v>0</v>
      </c>
      <c r="AH589" s="90">
        <v>90805</v>
      </c>
      <c r="AI589" s="24" t="s">
        <v>102</v>
      </c>
      <c r="AJ589" s="24" t="s">
        <v>103</v>
      </c>
      <c r="AK589" s="90" t="s">
        <v>85</v>
      </c>
      <c r="AL589" s="90">
        <v>241916</v>
      </c>
      <c r="AM589" s="90" t="s">
        <v>81</v>
      </c>
      <c r="AN589" s="90" t="s">
        <v>1564</v>
      </c>
      <c r="AO589" s="125" t="s">
        <v>784</v>
      </c>
      <c r="AP589" s="24" t="s">
        <v>1567</v>
      </c>
      <c r="AQ589" s="90" t="s">
        <v>1566</v>
      </c>
      <c r="AR589" s="24" t="s">
        <v>1567</v>
      </c>
      <c r="AS589" s="90" t="s">
        <v>119</v>
      </c>
      <c r="AT589" s="24" t="s">
        <v>102</v>
      </c>
      <c r="AU589" s="90" t="s">
        <v>119</v>
      </c>
      <c r="AV589" s="90" t="str">
        <f>IF(ISNUMBER(SEARCH("disagree",AE589)),"N","Y")</f>
        <v>Y</v>
      </c>
      <c r="AW589" s="90" t="s">
        <v>119</v>
      </c>
      <c r="AX589" s="24" t="s">
        <v>119</v>
      </c>
      <c r="AY589" s="90" t="str">
        <f>CONCATENATE(AZ589,BA589,BB589,BC589)</f>
        <v/>
      </c>
      <c r="AZ589" s="90" t="str">
        <f>IF(ISNUMBER(SEARCH("Y",AC589)),"R","")</f>
        <v/>
      </c>
      <c r="BA589" s="90" t="str">
        <f>IF(ISNUMBER(SEARCH("Y",Y589)),"M","")</f>
        <v/>
      </c>
      <c r="BB589" s="90" t="str">
        <f>IF(ISNUMBER(SEARCH("Y",AB589)),"QC","")</f>
        <v/>
      </c>
      <c r="BC589" s="90" t="str">
        <f>IF(ISNUMBER(SEARCH("Y",Z589)),"S","")</f>
        <v/>
      </c>
      <c r="BD589" s="90"/>
      <c r="BE589" s="24" t="s">
        <v>119</v>
      </c>
      <c r="BF589" s="125" t="str">
        <f>IF(AND(AW589&gt;=56543,AW589&lt;=76543,LEN(AW589)&gt;0),"3 Feb 2020",IF(AND(AW589&gt;=66544,AW589&lt;=99999,LEN(AW589)&gt;0),"12 Sep 2020",""))</f>
        <v/>
      </c>
      <c r="BG589" s="125" t="str">
        <f>IF((AND(BF589="3 Feb 2020",LEN(BF589)&gt;0)),"Completed",IF((AND(BF589="12 Sep 2020",LEN(BF589)&gt;0)),"Pending",""))</f>
        <v/>
      </c>
      <c r="BH589" s="90" t="str">
        <f>IF((AND(BF589="3 Feb 2020",LEN(BF589)&gt;0)),"3 Feb 2020","")</f>
        <v/>
      </c>
      <c r="BI589" s="90">
        <v>241916</v>
      </c>
      <c r="BJ589" s="90" t="str">
        <f>L589</f>
        <v>9S74BS845945-43</v>
      </c>
      <c r="BK589" s="127">
        <v>43508</v>
      </c>
      <c r="BL589" s="127">
        <v>44239</v>
      </c>
      <c r="BM589" s="128">
        <f>P589*1.1</f>
        <v>194460585.00000003</v>
      </c>
      <c r="BN589" s="129">
        <f>P589*0.9</f>
        <v>159104115</v>
      </c>
      <c r="BO589" s="130">
        <f>P589*0.8</f>
        <v>141425880</v>
      </c>
      <c r="BP589" s="90">
        <f>IF(Z589="Y",BM589*0.4,BM589*1.05)</f>
        <v>204183614.25000003</v>
      </c>
      <c r="BQ589" s="90">
        <f>BP589*0.8</f>
        <v>163346891.40000004</v>
      </c>
      <c r="BR589" s="90" t="str">
        <f>IF(ISNUMBER(SEARCH("subrecipient",AI585)),P589*0.6,"")</f>
        <v/>
      </c>
      <c r="BS589" s="90">
        <v>241916</v>
      </c>
      <c r="BT589" s="90" t="str">
        <f>BJ589</f>
        <v>9S74BS845945-43</v>
      </c>
      <c r="BU589" s="127">
        <f>BK589</f>
        <v>43508</v>
      </c>
      <c r="BV589" s="127">
        <f>BL589</f>
        <v>44239</v>
      </c>
      <c r="BW589" s="90" t="str">
        <f>H589</f>
        <v>ACF</v>
      </c>
      <c r="BX589" s="90" t="str">
        <f>IF(H589="NATIONAL HEMOPHILIA FOUNDATION","Non Federal","Federal")</f>
        <v>Federal</v>
      </c>
      <c r="BY589" s="128">
        <f>BM589</f>
        <v>194460585.00000003</v>
      </c>
      <c r="BZ589" s="90" t="str">
        <f>IF(LEN(BR589)&gt;0,1,"")</f>
        <v/>
      </c>
      <c r="CA589" s="90" t="str">
        <f>IF(LEN(BR589)&gt;0,"VIRAL HEPATITIS PROJECT","")</f>
        <v/>
      </c>
      <c r="CB589" s="129" t="str">
        <f>IF(LEN(BR589)&gt;0,BM589*0.7,"")</f>
        <v/>
      </c>
      <c r="CC589" s="90">
        <f>BP589</f>
        <v>204183614.25000003</v>
      </c>
      <c r="CD589" s="90" t="str">
        <f>IF(LEN(BR589)&gt;0,"70%","")</f>
        <v/>
      </c>
      <c r="CE589" s="90">
        <f>BS589</f>
        <v>241916</v>
      </c>
      <c r="CF589" s="90" t="str">
        <f>CA589</f>
        <v/>
      </c>
      <c r="CG589" s="90"/>
      <c r="CH589" s="90"/>
      <c r="CI589" s="90"/>
      <c r="CJ589" s="90"/>
      <c r="CK589" s="90"/>
      <c r="CL589" s="90"/>
      <c r="CM589" s="90"/>
      <c r="CN589" s="90"/>
      <c r="CO589" s="90"/>
      <c r="CP589" s="90"/>
      <c r="CQ589" s="90"/>
      <c r="CR589" s="90"/>
      <c r="CS589" s="90"/>
      <c r="CT589" s="137"/>
    </row>
    <row r="590" spans="1:98" ht="90">
      <c r="A590" s="89">
        <v>241916</v>
      </c>
      <c r="B590" s="90">
        <v>2020</v>
      </c>
      <c r="C590" s="90" t="s">
        <v>81</v>
      </c>
      <c r="D590" s="90" t="s">
        <v>1564</v>
      </c>
      <c r="E590" s="125" t="s">
        <v>790</v>
      </c>
      <c r="F590" s="24" t="s">
        <v>1565</v>
      </c>
      <c r="G590" s="90" t="s">
        <v>85</v>
      </c>
      <c r="H590" s="90" t="s">
        <v>150</v>
      </c>
      <c r="I590" s="90">
        <v>93</v>
      </c>
      <c r="J590" s="90">
        <v>157</v>
      </c>
      <c r="K590" s="90" t="s">
        <v>85</v>
      </c>
      <c r="L590" s="90" t="s">
        <v>1566</v>
      </c>
      <c r="M590" s="90" t="s">
        <v>119</v>
      </c>
      <c r="N590" s="24" t="s">
        <v>1567</v>
      </c>
      <c r="O590" s="24" t="str">
        <f>IF(ISNUMBER(SEARCH("Cancer",N590)),"Cancer",IF(ISNUMBER(SEARCH("health",N590)),"Public health",IF(ISNUMBER(SEARCH("disabilities",N590)),"Disabilities","Other")))</f>
        <v>Public health</v>
      </c>
      <c r="P590" s="126">
        <v>176782350</v>
      </c>
      <c r="Q590" s="90" t="s">
        <v>85</v>
      </c>
      <c r="R590" s="90" t="str">
        <f>IF(P590&gt;20000000,"B","A")</f>
        <v>B</v>
      </c>
      <c r="S590" s="90" t="s">
        <v>90</v>
      </c>
      <c r="T590" s="90" t="s">
        <v>119</v>
      </c>
      <c r="U590" s="90" t="s">
        <v>119</v>
      </c>
      <c r="V590" s="90" t="s">
        <v>119</v>
      </c>
      <c r="W590" s="90" t="s">
        <v>119</v>
      </c>
      <c r="X590" s="90" t="s">
        <v>119</v>
      </c>
      <c r="Y590" s="90" t="s">
        <v>119</v>
      </c>
      <c r="Z590" s="90" t="s">
        <v>119</v>
      </c>
      <c r="AA590" s="90" t="s">
        <v>119</v>
      </c>
      <c r="AB590" s="90" t="s">
        <v>119</v>
      </c>
      <c r="AC590" s="90" t="s">
        <v>119</v>
      </c>
      <c r="AD590" s="90" t="s">
        <v>119</v>
      </c>
      <c r="AE590" s="24">
        <v>0</v>
      </c>
      <c r="AF590" s="90">
        <v>0</v>
      </c>
      <c r="AG590" s="24">
        <v>0</v>
      </c>
      <c r="AH590" s="90">
        <v>90807</v>
      </c>
      <c r="AI590" s="24" t="s">
        <v>110</v>
      </c>
      <c r="AJ590" s="24" t="s">
        <v>1569</v>
      </c>
      <c r="AK590" s="90" t="s">
        <v>85</v>
      </c>
      <c r="AL590" s="90">
        <v>241916</v>
      </c>
      <c r="AM590" s="90" t="s">
        <v>81</v>
      </c>
      <c r="AN590" s="90" t="s">
        <v>1564</v>
      </c>
      <c r="AO590" s="125" t="s">
        <v>790</v>
      </c>
      <c r="AP590" s="24" t="s">
        <v>1567</v>
      </c>
      <c r="AQ590" s="90" t="s">
        <v>1566</v>
      </c>
      <c r="AR590" s="24" t="s">
        <v>1567</v>
      </c>
      <c r="AS590" s="90" t="s">
        <v>119</v>
      </c>
      <c r="AT590" s="24" t="s">
        <v>110</v>
      </c>
      <c r="AU590" s="90" t="s">
        <v>119</v>
      </c>
      <c r="AV590" s="90" t="str">
        <f>IF(ISNUMBER(SEARCH("disagree",AE590)),"N","Y")</f>
        <v>Y</v>
      </c>
      <c r="AW590" s="90" t="s">
        <v>119</v>
      </c>
      <c r="AX590" s="24" t="s">
        <v>119</v>
      </c>
      <c r="AY590" s="90" t="str">
        <f>CONCATENATE(AZ590,BA590,BB590,BC590)</f>
        <v/>
      </c>
      <c r="AZ590" s="90" t="str">
        <f>IF(ISNUMBER(SEARCH("Y",AC590)),"R","")</f>
        <v/>
      </c>
      <c r="BA590" s="90" t="str">
        <f>IF(ISNUMBER(SEARCH("Y",Y590)),"M","")</f>
        <v/>
      </c>
      <c r="BB590" s="90" t="str">
        <f>IF(ISNUMBER(SEARCH("Y",AB590)),"QC","")</f>
        <v/>
      </c>
      <c r="BC590" s="90" t="str">
        <f>IF(ISNUMBER(SEARCH("Y",Z590)),"S","")</f>
        <v/>
      </c>
      <c r="BD590" s="90"/>
      <c r="BE590" s="24" t="s">
        <v>119</v>
      </c>
      <c r="BF590" s="125" t="str">
        <f>IF(AND(AW590&gt;=56543,AW590&lt;=76543,LEN(AW590)&gt;0),"3 Feb 2020",IF(AND(AW590&gt;=66544,AW590&lt;=99999,LEN(AW590)&gt;0),"12 Sep 2020",""))</f>
        <v/>
      </c>
      <c r="BG590" s="125" t="str">
        <f>IF((AND(BF590="3 Feb 2020",LEN(BF590)&gt;0)),"Completed",IF((AND(BF590="12 Sep 2020",LEN(BF590)&gt;0)),"Pending",""))</f>
        <v/>
      </c>
      <c r="BH590" s="90" t="str">
        <f>IF((AND(BF590="3 Feb 2020",LEN(BF590)&gt;0)),"3 Feb 2020","")</f>
        <v/>
      </c>
      <c r="BI590" s="90">
        <v>241916</v>
      </c>
      <c r="BJ590" s="90" t="str">
        <f>L590</f>
        <v>9S74BS845945-43</v>
      </c>
      <c r="BK590" s="127">
        <v>43508</v>
      </c>
      <c r="BL590" s="127">
        <v>44239</v>
      </c>
      <c r="BM590" s="128">
        <f>P590*1.1</f>
        <v>194460585.00000003</v>
      </c>
      <c r="BN590" s="129">
        <f>P590*0.9</f>
        <v>159104115</v>
      </c>
      <c r="BO590" s="130">
        <f>P590*0.8</f>
        <v>141425880</v>
      </c>
      <c r="BP590" s="90">
        <f>IF(Z590="Y",BM590*0.4,BM590*1.05)</f>
        <v>204183614.25000003</v>
      </c>
      <c r="BQ590" s="90">
        <f>BP590*0.8</f>
        <v>163346891.40000004</v>
      </c>
      <c r="BR590" s="90" t="str">
        <f>IF(ISNUMBER(SEARCH("subrecipient",AI586)),P590*0.6,"")</f>
        <v/>
      </c>
      <c r="BS590" s="90">
        <v>241916</v>
      </c>
      <c r="BT590" s="90" t="str">
        <f>BJ590</f>
        <v>9S74BS845945-43</v>
      </c>
      <c r="BU590" s="127">
        <f>BK590</f>
        <v>43508</v>
      </c>
      <c r="BV590" s="127">
        <f>BL590</f>
        <v>44239</v>
      </c>
      <c r="BW590" s="90" t="str">
        <f>H590</f>
        <v>ACF</v>
      </c>
      <c r="BX590" s="90" t="str">
        <f>IF(H590="NATIONAL HEMOPHILIA FOUNDATION","Non Federal","Federal")</f>
        <v>Federal</v>
      </c>
      <c r="BY590" s="128">
        <f>BM590</f>
        <v>194460585.00000003</v>
      </c>
      <c r="BZ590" s="90" t="str">
        <f>IF(LEN(BR590)&gt;0,1,"")</f>
        <v/>
      </c>
      <c r="CA590" s="90" t="str">
        <f>IF(LEN(BR590)&gt;0,"VIRAL HEPATITIS PROJECT","")</f>
        <v/>
      </c>
      <c r="CB590" s="129" t="str">
        <f>IF(LEN(BR590)&gt;0,BM590*0.7,"")</f>
        <v/>
      </c>
      <c r="CC590" s="90">
        <f>BP590</f>
        <v>204183614.25000003</v>
      </c>
      <c r="CD590" s="90" t="str">
        <f>IF(LEN(BR590)&gt;0,"70%","")</f>
        <v/>
      </c>
      <c r="CE590" s="90">
        <f>BS590</f>
        <v>241916</v>
      </c>
      <c r="CF590" s="90" t="str">
        <f>CA590</f>
        <v/>
      </c>
      <c r="CG590" s="90"/>
      <c r="CH590" s="90"/>
      <c r="CI590" s="90"/>
      <c r="CJ590" s="90"/>
      <c r="CK590" s="90"/>
      <c r="CL590" s="90"/>
      <c r="CM590" s="90"/>
      <c r="CN590" s="90"/>
      <c r="CO590" s="90"/>
      <c r="CP590" s="90"/>
      <c r="CQ590" s="90"/>
      <c r="CR590" s="90"/>
      <c r="CS590" s="90"/>
      <c r="CT590" s="137"/>
    </row>
    <row r="591" spans="1:98" ht="165">
      <c r="A591" s="89">
        <v>241917</v>
      </c>
      <c r="B591" s="90">
        <v>2020</v>
      </c>
      <c r="C591" s="90" t="s">
        <v>81</v>
      </c>
      <c r="D591" s="90" t="s">
        <v>1570</v>
      </c>
      <c r="E591" s="125" t="s">
        <v>791</v>
      </c>
      <c r="F591" s="24" t="s">
        <v>1571</v>
      </c>
      <c r="G591" s="90" t="s">
        <v>85</v>
      </c>
      <c r="H591" s="90" t="s">
        <v>86</v>
      </c>
      <c r="I591" s="90">
        <v>93</v>
      </c>
      <c r="J591" s="90">
        <v>157</v>
      </c>
      <c r="K591" s="90" t="s">
        <v>85</v>
      </c>
      <c r="L591" s="90" t="s">
        <v>1572</v>
      </c>
      <c r="M591" s="90" t="s">
        <v>119</v>
      </c>
      <c r="N591" s="24" t="s">
        <v>1573</v>
      </c>
      <c r="O591" s="24" t="str">
        <f>IF(ISNUMBER(SEARCH("Cancer",N591)),"Cancer",IF(ISNUMBER(SEARCH("health",N591)),"Public health",IF(ISNUMBER(SEARCH("disabilities",N591)),"Disabilities","Other")))</f>
        <v>Other</v>
      </c>
      <c r="P591" s="126">
        <v>69413051</v>
      </c>
      <c r="Q591" s="90" t="s">
        <v>85</v>
      </c>
      <c r="R591" s="90" t="str">
        <f>IF(P591&gt;20000000,"B","A")</f>
        <v>B</v>
      </c>
      <c r="S591" s="90" t="s">
        <v>90</v>
      </c>
      <c r="T591" s="90" t="s">
        <v>119</v>
      </c>
      <c r="U591" s="90" t="s">
        <v>119</v>
      </c>
      <c r="V591" s="90" t="s">
        <v>119</v>
      </c>
      <c r="W591" s="90" t="s">
        <v>119</v>
      </c>
      <c r="X591" s="90" t="s">
        <v>119</v>
      </c>
      <c r="Y591" s="90" t="s">
        <v>119</v>
      </c>
      <c r="Z591" s="90" t="s">
        <v>119</v>
      </c>
      <c r="AA591" s="90" t="s">
        <v>119</v>
      </c>
      <c r="AB591" s="90" t="s">
        <v>119</v>
      </c>
      <c r="AC591" s="90" t="s">
        <v>119</v>
      </c>
      <c r="AD591" s="90" t="s">
        <v>119</v>
      </c>
      <c r="AE591" s="24">
        <v>0</v>
      </c>
      <c r="AF591" s="90">
        <v>0</v>
      </c>
      <c r="AG591" s="24">
        <v>0</v>
      </c>
      <c r="AH591" s="90">
        <v>90815</v>
      </c>
      <c r="AI591" s="24" t="s">
        <v>94</v>
      </c>
      <c r="AJ591" s="24" t="s">
        <v>1574</v>
      </c>
      <c r="AK591" s="90" t="s">
        <v>85</v>
      </c>
      <c r="AL591" s="90">
        <v>241917</v>
      </c>
      <c r="AM591" s="90" t="s">
        <v>81</v>
      </c>
      <c r="AN591" s="90" t="s">
        <v>1570</v>
      </c>
      <c r="AO591" s="125" t="s">
        <v>791</v>
      </c>
      <c r="AP591" s="24" t="s">
        <v>1573</v>
      </c>
      <c r="AQ591" s="90" t="s">
        <v>1572</v>
      </c>
      <c r="AR591" s="24" t="s">
        <v>1573</v>
      </c>
      <c r="AS591" s="90" t="s">
        <v>119</v>
      </c>
      <c r="AT591" s="24" t="s">
        <v>94</v>
      </c>
      <c r="AU591" s="90" t="s">
        <v>119</v>
      </c>
      <c r="AV591" s="90" t="str">
        <f>IF(ISNUMBER(SEARCH("disagree",AE591)),"N","Y")</f>
        <v>Y</v>
      </c>
      <c r="AW591" s="90" t="s">
        <v>119</v>
      </c>
      <c r="AX591" s="24" t="s">
        <v>119</v>
      </c>
      <c r="AY591" s="90" t="str">
        <f>CONCATENATE(AZ591,BA591,BB591,BC591)</f>
        <v/>
      </c>
      <c r="AZ591" s="90" t="str">
        <f>IF(ISNUMBER(SEARCH("Y",AC591)),"R","")</f>
        <v/>
      </c>
      <c r="BA591" s="90" t="str">
        <f>IF(ISNUMBER(SEARCH("Y",Y591)),"M","")</f>
        <v/>
      </c>
      <c r="BB591" s="90" t="str">
        <f>IF(ISNUMBER(SEARCH("Y",AB591)),"QC","")</f>
        <v/>
      </c>
      <c r="BC591" s="90" t="str">
        <f>IF(ISNUMBER(SEARCH("Y",Z591)),"S","")</f>
        <v/>
      </c>
      <c r="BD591" s="90"/>
      <c r="BE591" s="24" t="s">
        <v>119</v>
      </c>
      <c r="BF591" s="125" t="str">
        <f>IF(AND(AW591&gt;=56543,AW591&lt;=76543,LEN(AW591)&gt;0),"3 Feb 2020",IF(AND(AW591&gt;=66544,AW591&lt;=99999,LEN(AW591)&gt;0),"12 Sep 2020",""))</f>
        <v/>
      </c>
      <c r="BG591" s="125" t="str">
        <f>IF((AND(BF591="3 Feb 2020",LEN(BF591)&gt;0)),"Completed",IF((AND(BF591="12 Sep 2020",LEN(BF591)&gt;0)),"Pending",""))</f>
        <v/>
      </c>
      <c r="BH591" s="90" t="str">
        <f>IF((AND(BF591="3 Feb 2020",LEN(BF591)&gt;0)),"3 Feb 2020","")</f>
        <v/>
      </c>
      <c r="BI591" s="90">
        <v>241917</v>
      </c>
      <c r="BJ591" s="90" t="str">
        <f>L591</f>
        <v>8T72FT841863-78</v>
      </c>
      <c r="BK591" s="127">
        <v>43508</v>
      </c>
      <c r="BL591" s="127">
        <v>44239</v>
      </c>
      <c r="BM591" s="128">
        <f>P591*1.1</f>
        <v>76354356.100000009</v>
      </c>
      <c r="BN591" s="129">
        <f>P591*0.9</f>
        <v>62471745.899999999</v>
      </c>
      <c r="BO591" s="130">
        <f>P591*0.8</f>
        <v>55530440.800000004</v>
      </c>
      <c r="BP591" s="90">
        <f>IF(Z591="Y",BM591*0.4,BM591*1.05)</f>
        <v>80172073.905000016</v>
      </c>
      <c r="BQ591" s="90">
        <f>BP591*0.8</f>
        <v>64137659.124000013</v>
      </c>
      <c r="BR591" s="90" t="str">
        <f>IF(ISNUMBER(SEARCH("subrecipient",AI587)),P591*0.6,"")</f>
        <v/>
      </c>
      <c r="BS591" s="90">
        <v>241917</v>
      </c>
      <c r="BT591" s="90" t="str">
        <f>BJ591</f>
        <v>8T72FT841863-78</v>
      </c>
      <c r="BU591" s="127">
        <f>BK591</f>
        <v>43508</v>
      </c>
      <c r="BV591" s="127">
        <f>BL591</f>
        <v>44239</v>
      </c>
      <c r="BW591" s="90" t="str">
        <f>H591</f>
        <v>CDC</v>
      </c>
      <c r="BX591" s="90" t="str">
        <f>IF(H591="NATIONAL HEMOPHILIA FOUNDATION","Non Federal","Federal")</f>
        <v>Federal</v>
      </c>
      <c r="BY591" s="128">
        <f>BM591</f>
        <v>76354356.100000009</v>
      </c>
      <c r="BZ591" s="90" t="str">
        <f>IF(LEN(BR591)&gt;0,1,"")</f>
        <v/>
      </c>
      <c r="CA591" s="90" t="str">
        <f>IF(LEN(BR591)&gt;0,"VIRAL HEPATITIS PROJECT","")</f>
        <v/>
      </c>
      <c r="CB591" s="129" t="str">
        <f>IF(LEN(BR591)&gt;0,BM591*0.7,"")</f>
        <v/>
      </c>
      <c r="CC591" s="90">
        <f>BP591</f>
        <v>80172073.905000016</v>
      </c>
      <c r="CD591" s="90" t="str">
        <f>IF(LEN(BR591)&gt;0,"70%","")</f>
        <v/>
      </c>
      <c r="CE591" s="90">
        <f>BS591</f>
        <v>241917</v>
      </c>
      <c r="CF591" s="90" t="str">
        <f>CA591</f>
        <v/>
      </c>
      <c r="CG591" s="90"/>
      <c r="CH591" s="90"/>
      <c r="CI591" s="90"/>
      <c r="CJ591" s="90"/>
      <c r="CK591" s="90"/>
      <c r="CL591" s="90"/>
      <c r="CM591" s="90"/>
      <c r="CN591" s="90"/>
      <c r="CO591" s="90"/>
      <c r="CP591" s="90"/>
      <c r="CQ591" s="90"/>
      <c r="CR591" s="90"/>
      <c r="CS591" s="90"/>
      <c r="CT591" s="137"/>
    </row>
    <row r="592" spans="1:98" ht="105">
      <c r="A592" s="89">
        <v>241917</v>
      </c>
      <c r="B592" s="90">
        <v>2020</v>
      </c>
      <c r="C592" s="90" t="s">
        <v>81</v>
      </c>
      <c r="D592" s="90" t="s">
        <v>1570</v>
      </c>
      <c r="E592" s="125" t="s">
        <v>793</v>
      </c>
      <c r="F592" s="24" t="s">
        <v>1571</v>
      </c>
      <c r="G592" s="90" t="s">
        <v>85</v>
      </c>
      <c r="H592" s="90" t="s">
        <v>86</v>
      </c>
      <c r="I592" s="90">
        <v>93</v>
      </c>
      <c r="J592" s="90">
        <v>157</v>
      </c>
      <c r="K592" s="90" t="s">
        <v>85</v>
      </c>
      <c r="L592" s="90" t="s">
        <v>1572</v>
      </c>
      <c r="M592" s="90" t="s">
        <v>119</v>
      </c>
      <c r="N592" s="24" t="s">
        <v>1573</v>
      </c>
      <c r="O592" s="24" t="str">
        <f>IF(ISNUMBER(SEARCH("Cancer",N592)),"Cancer",IF(ISNUMBER(SEARCH("health",N592)),"Public health",IF(ISNUMBER(SEARCH("disabilities",N592)),"Disabilities","Other")))</f>
        <v>Other</v>
      </c>
      <c r="P592" s="126">
        <v>69413051</v>
      </c>
      <c r="Q592" s="90" t="s">
        <v>85</v>
      </c>
      <c r="R592" s="90" t="str">
        <f>IF(P592&gt;20000000,"B","A")</f>
        <v>B</v>
      </c>
      <c r="S592" s="90" t="s">
        <v>90</v>
      </c>
      <c r="T592" s="90" t="s">
        <v>119</v>
      </c>
      <c r="U592" s="90" t="s">
        <v>119</v>
      </c>
      <c r="V592" s="90" t="s">
        <v>119</v>
      </c>
      <c r="W592" s="90" t="s">
        <v>119</v>
      </c>
      <c r="X592" s="90" t="s">
        <v>119</v>
      </c>
      <c r="Y592" s="90" t="s">
        <v>119</v>
      </c>
      <c r="Z592" s="90" t="s">
        <v>119</v>
      </c>
      <c r="AA592" s="90" t="s">
        <v>119</v>
      </c>
      <c r="AB592" s="90" t="s">
        <v>119</v>
      </c>
      <c r="AC592" s="90" t="s">
        <v>119</v>
      </c>
      <c r="AD592" s="90" t="s">
        <v>119</v>
      </c>
      <c r="AE592" s="24">
        <v>0</v>
      </c>
      <c r="AF592" s="90">
        <v>0</v>
      </c>
      <c r="AG592" s="24">
        <v>0</v>
      </c>
      <c r="AH592" s="90">
        <v>90816</v>
      </c>
      <c r="AI592" s="24" t="s">
        <v>102</v>
      </c>
      <c r="AJ592" s="24" t="s">
        <v>103</v>
      </c>
      <c r="AK592" s="90" t="s">
        <v>85</v>
      </c>
      <c r="AL592" s="90">
        <v>241917</v>
      </c>
      <c r="AM592" s="90" t="s">
        <v>81</v>
      </c>
      <c r="AN592" s="90" t="s">
        <v>1570</v>
      </c>
      <c r="AO592" s="125" t="s">
        <v>793</v>
      </c>
      <c r="AP592" s="24" t="s">
        <v>1573</v>
      </c>
      <c r="AQ592" s="90" t="s">
        <v>1572</v>
      </c>
      <c r="AR592" s="24" t="s">
        <v>1573</v>
      </c>
      <c r="AS592" s="90" t="s">
        <v>119</v>
      </c>
      <c r="AT592" s="24" t="s">
        <v>102</v>
      </c>
      <c r="AU592" s="90" t="s">
        <v>119</v>
      </c>
      <c r="AV592" s="90" t="str">
        <f>IF(ISNUMBER(SEARCH("disagree",AE592)),"N","Y")</f>
        <v>Y</v>
      </c>
      <c r="AW592" s="90" t="s">
        <v>119</v>
      </c>
      <c r="AX592" s="24" t="s">
        <v>119</v>
      </c>
      <c r="AY592" s="90" t="str">
        <f>CONCATENATE(AZ592,BA592,BB592,BC592)</f>
        <v/>
      </c>
      <c r="AZ592" s="90" t="str">
        <f>IF(ISNUMBER(SEARCH("Y",AC592)),"R","")</f>
        <v/>
      </c>
      <c r="BA592" s="90" t="str">
        <f>IF(ISNUMBER(SEARCH("Y",Y592)),"M","")</f>
        <v/>
      </c>
      <c r="BB592" s="90" t="str">
        <f>IF(ISNUMBER(SEARCH("Y",AB592)),"QC","")</f>
        <v/>
      </c>
      <c r="BC592" s="90" t="str">
        <f>IF(ISNUMBER(SEARCH("Y",Z592)),"S","")</f>
        <v/>
      </c>
      <c r="BD592" s="90"/>
      <c r="BE592" s="24" t="s">
        <v>119</v>
      </c>
      <c r="BF592" s="125" t="str">
        <f>IF(AND(AW592&gt;=56543,AW592&lt;=76543,LEN(AW592)&gt;0),"3 Feb 2020",IF(AND(AW592&gt;=66544,AW592&lt;=99999,LEN(AW592)&gt;0),"12 Sep 2020",""))</f>
        <v/>
      </c>
      <c r="BG592" s="125" t="str">
        <f>IF((AND(BF592="3 Feb 2020",LEN(BF592)&gt;0)),"Completed",IF((AND(BF592="12 Sep 2020",LEN(BF592)&gt;0)),"Pending",""))</f>
        <v/>
      </c>
      <c r="BH592" s="90" t="str">
        <f>IF((AND(BF592="3 Feb 2020",LEN(BF592)&gt;0)),"3 Feb 2020","")</f>
        <v/>
      </c>
      <c r="BI592" s="90">
        <v>241917</v>
      </c>
      <c r="BJ592" s="90" t="str">
        <f>L592</f>
        <v>8T72FT841863-78</v>
      </c>
      <c r="BK592" s="127">
        <v>43508</v>
      </c>
      <c r="BL592" s="127">
        <v>44239</v>
      </c>
      <c r="BM592" s="128">
        <f>P592*1.1</f>
        <v>76354356.100000009</v>
      </c>
      <c r="BN592" s="129">
        <f>P592*0.9</f>
        <v>62471745.899999999</v>
      </c>
      <c r="BO592" s="130">
        <f>P592*0.8</f>
        <v>55530440.800000004</v>
      </c>
      <c r="BP592" s="90">
        <f>IF(Z592="Y",BM592*0.4,BM592*1.05)</f>
        <v>80172073.905000016</v>
      </c>
      <c r="BQ592" s="90">
        <f>BP592*0.8</f>
        <v>64137659.124000013</v>
      </c>
      <c r="BR592" s="90" t="str">
        <f>IF(ISNUMBER(SEARCH("subrecipient",AI588)),P592*0.6,"")</f>
        <v/>
      </c>
      <c r="BS592" s="90">
        <v>241917</v>
      </c>
      <c r="BT592" s="90" t="str">
        <f>BJ592</f>
        <v>8T72FT841863-78</v>
      </c>
      <c r="BU592" s="127">
        <f>BK592</f>
        <v>43508</v>
      </c>
      <c r="BV592" s="127">
        <f>BL592</f>
        <v>44239</v>
      </c>
      <c r="BW592" s="90" t="str">
        <f>H592</f>
        <v>CDC</v>
      </c>
      <c r="BX592" s="90" t="str">
        <f>IF(H592="NATIONAL HEMOPHILIA FOUNDATION","Non Federal","Federal")</f>
        <v>Federal</v>
      </c>
      <c r="BY592" s="128">
        <f>BM592</f>
        <v>76354356.100000009</v>
      </c>
      <c r="BZ592" s="90" t="str">
        <f>IF(LEN(BR592)&gt;0,1,"")</f>
        <v/>
      </c>
      <c r="CA592" s="90" t="str">
        <f>IF(LEN(BR592)&gt;0,"VIRAL HEPATITIS PROJECT","")</f>
        <v/>
      </c>
      <c r="CB592" s="129" t="str">
        <f>IF(LEN(BR592)&gt;0,BM592*0.7,"")</f>
        <v/>
      </c>
      <c r="CC592" s="90">
        <f>BP592</f>
        <v>80172073.905000016</v>
      </c>
      <c r="CD592" s="90" t="str">
        <f>IF(LEN(BR592)&gt;0,"70%","")</f>
        <v/>
      </c>
      <c r="CE592" s="90">
        <f>BS592</f>
        <v>241917</v>
      </c>
      <c r="CF592" s="90" t="str">
        <f>CA592</f>
        <v/>
      </c>
      <c r="CG592" s="90"/>
      <c r="CH592" s="90"/>
      <c r="CI592" s="90"/>
      <c r="CJ592" s="90"/>
      <c r="CK592" s="90"/>
      <c r="CL592" s="90"/>
      <c r="CM592" s="90"/>
      <c r="CN592" s="90"/>
      <c r="CO592" s="90"/>
      <c r="CP592" s="90"/>
      <c r="CQ592" s="90"/>
      <c r="CR592" s="90"/>
      <c r="CS592" s="90"/>
      <c r="CT592" s="137"/>
    </row>
    <row r="593" spans="1:98" ht="105">
      <c r="A593" s="89">
        <v>241917</v>
      </c>
      <c r="B593" s="90">
        <v>2020</v>
      </c>
      <c r="C593" s="90" t="s">
        <v>81</v>
      </c>
      <c r="D593" s="90" t="s">
        <v>1570</v>
      </c>
      <c r="E593" s="125" t="s">
        <v>780</v>
      </c>
      <c r="F593" s="24" t="s">
        <v>1571</v>
      </c>
      <c r="G593" s="90" t="s">
        <v>85</v>
      </c>
      <c r="H593" s="90" t="s">
        <v>86</v>
      </c>
      <c r="I593" s="90">
        <v>93</v>
      </c>
      <c r="J593" s="90">
        <v>157</v>
      </c>
      <c r="K593" s="90" t="s">
        <v>85</v>
      </c>
      <c r="L593" s="90" t="s">
        <v>1572</v>
      </c>
      <c r="M593" s="90" t="s">
        <v>119</v>
      </c>
      <c r="N593" s="24" t="s">
        <v>1573</v>
      </c>
      <c r="O593" s="24" t="str">
        <f>IF(ISNUMBER(SEARCH("Cancer",N593)),"Cancer",IF(ISNUMBER(SEARCH("health",N593)),"Public health",IF(ISNUMBER(SEARCH("disabilities",N593)),"Disabilities","Other")))</f>
        <v>Other</v>
      </c>
      <c r="P593" s="126">
        <v>69413051</v>
      </c>
      <c r="Q593" s="90" t="s">
        <v>85</v>
      </c>
      <c r="R593" s="90" t="str">
        <f>IF(P593&gt;20000000,"B","A")</f>
        <v>B</v>
      </c>
      <c r="S593" s="90" t="s">
        <v>90</v>
      </c>
      <c r="T593" s="90" t="s">
        <v>119</v>
      </c>
      <c r="U593" s="90" t="s">
        <v>119</v>
      </c>
      <c r="V593" s="90" t="s">
        <v>119</v>
      </c>
      <c r="W593" s="90" t="s">
        <v>119</v>
      </c>
      <c r="X593" s="90" t="s">
        <v>119</v>
      </c>
      <c r="Y593" s="90" t="s">
        <v>119</v>
      </c>
      <c r="Z593" s="90" t="s">
        <v>119</v>
      </c>
      <c r="AA593" s="90" t="s">
        <v>119</v>
      </c>
      <c r="AB593" s="90" t="s">
        <v>119</v>
      </c>
      <c r="AC593" s="90" t="s">
        <v>119</v>
      </c>
      <c r="AD593" s="90" t="s">
        <v>119</v>
      </c>
      <c r="AE593" s="24">
        <v>0</v>
      </c>
      <c r="AF593" s="90">
        <v>0</v>
      </c>
      <c r="AG593" s="24">
        <v>0</v>
      </c>
      <c r="AH593" s="90">
        <v>90817</v>
      </c>
      <c r="AI593" s="24" t="s">
        <v>110</v>
      </c>
      <c r="AJ593" s="24" t="s">
        <v>1575</v>
      </c>
      <c r="AK593" s="90" t="s">
        <v>85</v>
      </c>
      <c r="AL593" s="90">
        <v>241917</v>
      </c>
      <c r="AM593" s="90" t="s">
        <v>81</v>
      </c>
      <c r="AN593" s="90" t="s">
        <v>1570</v>
      </c>
      <c r="AO593" s="125" t="s">
        <v>780</v>
      </c>
      <c r="AP593" s="24" t="s">
        <v>1573</v>
      </c>
      <c r="AQ593" s="90" t="s">
        <v>1572</v>
      </c>
      <c r="AR593" s="24" t="s">
        <v>1573</v>
      </c>
      <c r="AS593" s="90" t="s">
        <v>119</v>
      </c>
      <c r="AT593" s="24" t="s">
        <v>110</v>
      </c>
      <c r="AU593" s="90" t="s">
        <v>119</v>
      </c>
      <c r="AV593" s="90" t="str">
        <f>IF(ISNUMBER(SEARCH("disagree",AE593)),"N","Y")</f>
        <v>Y</v>
      </c>
      <c r="AW593" s="90" t="s">
        <v>119</v>
      </c>
      <c r="AX593" s="24" t="s">
        <v>119</v>
      </c>
      <c r="AY593" s="90" t="str">
        <f>CONCATENATE(AZ593,BA593,BB593,BC593)</f>
        <v/>
      </c>
      <c r="AZ593" s="90" t="str">
        <f>IF(ISNUMBER(SEARCH("Y",AC593)),"R","")</f>
        <v/>
      </c>
      <c r="BA593" s="90" t="str">
        <f>IF(ISNUMBER(SEARCH("Y",Y593)),"M","")</f>
        <v/>
      </c>
      <c r="BB593" s="90" t="str">
        <f>IF(ISNUMBER(SEARCH("Y",AB593)),"QC","")</f>
        <v/>
      </c>
      <c r="BC593" s="90" t="str">
        <f>IF(ISNUMBER(SEARCH("Y",Z593)),"S","")</f>
        <v/>
      </c>
      <c r="BD593" s="90"/>
      <c r="BE593" s="24" t="s">
        <v>119</v>
      </c>
      <c r="BF593" s="125" t="str">
        <f>IF(AND(AW593&gt;=56543,AW593&lt;=76543,LEN(AW593)&gt;0),"3 Feb 2020",IF(AND(AW593&gt;=66544,AW593&lt;=99999,LEN(AW593)&gt;0),"12 Sep 2020",""))</f>
        <v/>
      </c>
      <c r="BG593" s="125" t="str">
        <f>IF((AND(BF593="3 Feb 2020",LEN(BF593)&gt;0)),"Completed",IF((AND(BF593="12 Sep 2020",LEN(BF593)&gt;0)),"Pending",""))</f>
        <v/>
      </c>
      <c r="BH593" s="90" t="str">
        <f>IF((AND(BF593="3 Feb 2020",LEN(BF593)&gt;0)),"3 Feb 2020","")</f>
        <v/>
      </c>
      <c r="BI593" s="90">
        <v>241917</v>
      </c>
      <c r="BJ593" s="90" t="str">
        <f>L593</f>
        <v>8T72FT841863-78</v>
      </c>
      <c r="BK593" s="127">
        <v>43508</v>
      </c>
      <c r="BL593" s="127">
        <v>44239</v>
      </c>
      <c r="BM593" s="128">
        <f>P593*1.1</f>
        <v>76354356.100000009</v>
      </c>
      <c r="BN593" s="129">
        <f>P593*0.9</f>
        <v>62471745.899999999</v>
      </c>
      <c r="BO593" s="130">
        <f>P593*0.8</f>
        <v>55530440.800000004</v>
      </c>
      <c r="BP593" s="90">
        <f>IF(Z593="Y",BM593*0.4,BM593*1.05)</f>
        <v>80172073.905000016</v>
      </c>
      <c r="BQ593" s="90">
        <f>BP593*0.8</f>
        <v>64137659.124000013</v>
      </c>
      <c r="BR593" s="90" t="str">
        <f>IF(ISNUMBER(SEARCH("subrecipient",AI589)),P593*0.6,"")</f>
        <v/>
      </c>
      <c r="BS593" s="90">
        <v>241917</v>
      </c>
      <c r="BT593" s="90" t="str">
        <f>BJ593</f>
        <v>8T72FT841863-78</v>
      </c>
      <c r="BU593" s="127">
        <f>BK593</f>
        <v>43508</v>
      </c>
      <c r="BV593" s="127">
        <f>BL593</f>
        <v>44239</v>
      </c>
      <c r="BW593" s="90" t="str">
        <f>H593</f>
        <v>CDC</v>
      </c>
      <c r="BX593" s="90" t="str">
        <f>IF(H593="NATIONAL HEMOPHILIA FOUNDATION","Non Federal","Federal")</f>
        <v>Federal</v>
      </c>
      <c r="BY593" s="128">
        <f>BM593</f>
        <v>76354356.100000009</v>
      </c>
      <c r="BZ593" s="90" t="str">
        <f>IF(LEN(BR593)&gt;0,1,"")</f>
        <v/>
      </c>
      <c r="CA593" s="90" t="str">
        <f>IF(LEN(BR593)&gt;0,"VIRAL HEPATITIS PROJECT","")</f>
        <v/>
      </c>
      <c r="CB593" s="129" t="str">
        <f>IF(LEN(BR593)&gt;0,BM593*0.7,"")</f>
        <v/>
      </c>
      <c r="CC593" s="90">
        <f>BP593</f>
        <v>80172073.905000016</v>
      </c>
      <c r="CD593" s="90" t="str">
        <f>IF(LEN(BR593)&gt;0,"70%","")</f>
        <v/>
      </c>
      <c r="CE593" s="90">
        <f>BS593</f>
        <v>241917</v>
      </c>
      <c r="CF593" s="90" t="str">
        <f>CA593</f>
        <v/>
      </c>
      <c r="CG593" s="90"/>
      <c r="CH593" s="90"/>
      <c r="CI593" s="90"/>
      <c r="CJ593" s="90"/>
      <c r="CK593" s="90"/>
      <c r="CL593" s="90"/>
      <c r="CM593" s="90"/>
      <c r="CN593" s="90"/>
      <c r="CO593" s="90"/>
      <c r="CP593" s="90"/>
      <c r="CQ593" s="90"/>
      <c r="CR593" s="90"/>
      <c r="CS593" s="90"/>
      <c r="CT593" s="137"/>
    </row>
    <row r="594" spans="1:98" ht="165">
      <c r="A594" s="89">
        <v>241991</v>
      </c>
      <c r="B594" s="90">
        <v>2020</v>
      </c>
      <c r="C594" s="90" t="s">
        <v>81</v>
      </c>
      <c r="D594" s="90" t="s">
        <v>1576</v>
      </c>
      <c r="E594" s="125" t="s">
        <v>781</v>
      </c>
      <c r="F594" s="24" t="s">
        <v>1577</v>
      </c>
      <c r="G594" s="90" t="s">
        <v>85</v>
      </c>
      <c r="H594" s="90" t="s">
        <v>117</v>
      </c>
      <c r="I594" s="90">
        <v>93</v>
      </c>
      <c r="J594" s="90">
        <v>157</v>
      </c>
      <c r="K594" s="90" t="s">
        <v>85</v>
      </c>
      <c r="L594" s="90" t="s">
        <v>1578</v>
      </c>
      <c r="M594" s="90" t="s">
        <v>119</v>
      </c>
      <c r="N594" s="24" t="s">
        <v>1579</v>
      </c>
      <c r="O594" s="24" t="str">
        <f>IF(ISNUMBER(SEARCH("Cancer",N594)),"Cancer",IF(ISNUMBER(SEARCH("health",N594)),"Public health",IF(ISNUMBER(SEARCH("disabilities",N594)),"Disabilities","Other")))</f>
        <v>Other</v>
      </c>
      <c r="P594" s="126">
        <v>44346949</v>
      </c>
      <c r="Q594" s="90" t="s">
        <v>85</v>
      </c>
      <c r="R594" s="90" t="str">
        <f>IF(P594&gt;20000000,"B","A")</f>
        <v>B</v>
      </c>
      <c r="S594" s="90" t="s">
        <v>90</v>
      </c>
      <c r="T594" s="90" t="s">
        <v>119</v>
      </c>
      <c r="U594" s="90" t="s">
        <v>119</v>
      </c>
      <c r="V594" s="90" t="s">
        <v>119</v>
      </c>
      <c r="W594" s="90" t="s">
        <v>119</v>
      </c>
      <c r="X594" s="90" t="s">
        <v>119</v>
      </c>
      <c r="Y594" s="90" t="s">
        <v>119</v>
      </c>
      <c r="Z594" s="90" t="s">
        <v>119</v>
      </c>
      <c r="AA594" s="90" t="s">
        <v>119</v>
      </c>
      <c r="AB594" s="90" t="s">
        <v>119</v>
      </c>
      <c r="AC594" s="90" t="s">
        <v>119</v>
      </c>
      <c r="AD594" s="90" t="s">
        <v>119</v>
      </c>
      <c r="AE594" s="24">
        <v>0</v>
      </c>
      <c r="AF594" s="90">
        <v>0</v>
      </c>
      <c r="AG594" s="24">
        <v>0</v>
      </c>
      <c r="AH594" s="90">
        <v>88886</v>
      </c>
      <c r="AI594" s="24" t="s">
        <v>94</v>
      </c>
      <c r="AJ594" s="24" t="s">
        <v>1580</v>
      </c>
      <c r="AK594" s="90" t="s">
        <v>85</v>
      </c>
      <c r="AL594" s="90">
        <v>241991</v>
      </c>
      <c r="AM594" s="90" t="s">
        <v>81</v>
      </c>
      <c r="AN594" s="90" t="s">
        <v>1576</v>
      </c>
      <c r="AO594" s="125" t="s">
        <v>781</v>
      </c>
      <c r="AP594" s="24" t="s">
        <v>1579</v>
      </c>
      <c r="AQ594" s="90" t="s">
        <v>1578</v>
      </c>
      <c r="AR594" s="24" t="s">
        <v>1579</v>
      </c>
      <c r="AS594" s="90" t="s">
        <v>119</v>
      </c>
      <c r="AT594" s="24" t="s">
        <v>94</v>
      </c>
      <c r="AU594" s="90" t="s">
        <v>119</v>
      </c>
      <c r="AV594" s="90" t="str">
        <f>IF(ISNUMBER(SEARCH("disagree",AE594)),"N","Y")</f>
        <v>Y</v>
      </c>
      <c r="AW594" s="90" t="s">
        <v>119</v>
      </c>
      <c r="AX594" s="24" t="s">
        <v>119</v>
      </c>
      <c r="AY594" s="90" t="str">
        <f>CONCATENATE(AZ594,BA594,BB594,BC594)</f>
        <v/>
      </c>
      <c r="AZ594" s="90" t="str">
        <f>IF(ISNUMBER(SEARCH("Y",AC594)),"R","")</f>
        <v/>
      </c>
      <c r="BA594" s="90" t="str">
        <f>IF(ISNUMBER(SEARCH("Y",Y594)),"M","")</f>
        <v/>
      </c>
      <c r="BB594" s="90" t="str">
        <f>IF(ISNUMBER(SEARCH("Y",AB594)),"QC","")</f>
        <v/>
      </c>
      <c r="BC594" s="90" t="str">
        <f>IF(ISNUMBER(SEARCH("Y",Z594)),"S","")</f>
        <v/>
      </c>
      <c r="BD594" s="90"/>
      <c r="BE594" s="24" t="s">
        <v>119</v>
      </c>
      <c r="BF594" s="125" t="str">
        <f>IF(AND(AW594&gt;=56543,AW594&lt;=76543,LEN(AW594)&gt;0),"3 Feb 2020",IF(AND(AW594&gt;=66544,AW594&lt;=99999,LEN(AW594)&gt;0),"12 Sep 2020",""))</f>
        <v/>
      </c>
      <c r="BG594" s="125" t="str">
        <f>IF((AND(BF594="3 Feb 2020",LEN(BF594)&gt;0)),"Completed",IF((AND(BF594="12 Sep 2020",LEN(BF594)&gt;0)),"Pending",""))</f>
        <v/>
      </c>
      <c r="BH594" s="90" t="str">
        <f>IF((AND(BF594="3 Feb 2020",LEN(BF594)&gt;0)),"3 Feb 2020","")</f>
        <v/>
      </c>
      <c r="BI594" s="90">
        <v>241991</v>
      </c>
      <c r="BJ594" s="90" t="str">
        <f>L594</f>
        <v>2T85HT843856-89</v>
      </c>
      <c r="BK594" s="127">
        <v>43508</v>
      </c>
      <c r="BL594" s="127">
        <v>44239</v>
      </c>
      <c r="BM594" s="128">
        <f>P594*1.1</f>
        <v>48781643.900000006</v>
      </c>
      <c r="BN594" s="129">
        <f>P594*0.9</f>
        <v>39912254.100000001</v>
      </c>
      <c r="BO594" s="130">
        <f>P594*0.8</f>
        <v>35477559.200000003</v>
      </c>
      <c r="BP594" s="90">
        <f>IF(Z594="Y",BM594*0.4,BM594*1.05)</f>
        <v>51220726.095000006</v>
      </c>
      <c r="BQ594" s="90">
        <f>BP594*0.8</f>
        <v>40976580.876000009</v>
      </c>
      <c r="BR594" s="90" t="str">
        <f>IF(ISNUMBER(SEARCH("subrecipient",AI590)),P594*0.6,"")</f>
        <v/>
      </c>
      <c r="BS594" s="90">
        <v>241991</v>
      </c>
      <c r="BT594" s="90" t="str">
        <f>BJ594</f>
        <v>2T85HT843856-89</v>
      </c>
      <c r="BU594" s="127">
        <f>BK594</f>
        <v>43508</v>
      </c>
      <c r="BV594" s="127">
        <f>BL594</f>
        <v>44239</v>
      </c>
      <c r="BW594" s="90" t="str">
        <f>H594</f>
        <v>NIH</v>
      </c>
      <c r="BX594" s="90" t="str">
        <f>IF(H594="NATIONAL HEMOPHILIA FOUNDATION","Non Federal","Federal")</f>
        <v>Federal</v>
      </c>
      <c r="BY594" s="128">
        <f>BM594</f>
        <v>48781643.900000006</v>
      </c>
      <c r="BZ594" s="90" t="str">
        <f>IF(LEN(BR594)&gt;0,1,"")</f>
        <v/>
      </c>
      <c r="CA594" s="90" t="str">
        <f>IF(LEN(BR594)&gt;0,"VIRAL HEPATITIS PROJECT","")</f>
        <v/>
      </c>
      <c r="CB594" s="129" t="str">
        <f>IF(LEN(BR594)&gt;0,BM594*0.7,"")</f>
        <v/>
      </c>
      <c r="CC594" s="90">
        <f>BP594</f>
        <v>51220726.095000006</v>
      </c>
      <c r="CD594" s="90" t="str">
        <f>IF(LEN(BR594)&gt;0,"70%","")</f>
        <v/>
      </c>
      <c r="CE594" s="90">
        <f>BS594</f>
        <v>241991</v>
      </c>
      <c r="CF594" s="90" t="str">
        <f>CA594</f>
        <v/>
      </c>
      <c r="CG594" s="90"/>
      <c r="CH594" s="90"/>
      <c r="CI594" s="90"/>
      <c r="CJ594" s="90"/>
      <c r="CK594" s="90"/>
      <c r="CL594" s="90"/>
      <c r="CM594" s="90"/>
      <c r="CN594" s="90"/>
      <c r="CO594" s="90"/>
      <c r="CP594" s="90"/>
      <c r="CQ594" s="90"/>
      <c r="CR594" s="90"/>
      <c r="CS594" s="90"/>
      <c r="CT594" s="137"/>
    </row>
    <row r="595" spans="1:98" ht="165">
      <c r="A595" s="89">
        <v>241991</v>
      </c>
      <c r="B595" s="90">
        <v>2020</v>
      </c>
      <c r="C595" s="90" t="s">
        <v>81</v>
      </c>
      <c r="D595" s="90" t="s">
        <v>1576</v>
      </c>
      <c r="E595" s="125" t="s">
        <v>784</v>
      </c>
      <c r="F595" s="24" t="s">
        <v>1577</v>
      </c>
      <c r="G595" s="90" t="s">
        <v>85</v>
      </c>
      <c r="H595" s="90" t="s">
        <v>117</v>
      </c>
      <c r="I595" s="90">
        <v>93</v>
      </c>
      <c r="J595" s="90">
        <v>157</v>
      </c>
      <c r="K595" s="90" t="s">
        <v>85</v>
      </c>
      <c r="L595" s="90" t="s">
        <v>1578</v>
      </c>
      <c r="M595" s="90" t="s">
        <v>119</v>
      </c>
      <c r="N595" s="24" t="s">
        <v>1579</v>
      </c>
      <c r="O595" s="24" t="str">
        <f>IF(ISNUMBER(SEARCH("Cancer",N595)),"Cancer",IF(ISNUMBER(SEARCH("health",N595)),"Public health",IF(ISNUMBER(SEARCH("disabilities",N595)),"Disabilities","Other")))</f>
        <v>Other</v>
      </c>
      <c r="P595" s="126">
        <v>44346949</v>
      </c>
      <c r="Q595" s="90" t="s">
        <v>85</v>
      </c>
      <c r="R595" s="90" t="str">
        <f>IF(P595&gt;20000000,"B","A")</f>
        <v>B</v>
      </c>
      <c r="S595" s="90" t="s">
        <v>90</v>
      </c>
      <c r="T595" s="90" t="s">
        <v>119</v>
      </c>
      <c r="U595" s="90" t="s">
        <v>119</v>
      </c>
      <c r="V595" s="90" t="s">
        <v>119</v>
      </c>
      <c r="W595" s="90" t="s">
        <v>119</v>
      </c>
      <c r="X595" s="90" t="s">
        <v>119</v>
      </c>
      <c r="Y595" s="90" t="s">
        <v>119</v>
      </c>
      <c r="Z595" s="90" t="s">
        <v>119</v>
      </c>
      <c r="AA595" s="90" t="s">
        <v>119</v>
      </c>
      <c r="AB595" s="90" t="s">
        <v>119</v>
      </c>
      <c r="AC595" s="90" t="s">
        <v>119</v>
      </c>
      <c r="AD595" s="90" t="s">
        <v>119</v>
      </c>
      <c r="AE595" s="24">
        <v>0</v>
      </c>
      <c r="AF595" s="90">
        <v>0</v>
      </c>
      <c r="AG595" s="24">
        <v>0</v>
      </c>
      <c r="AH595" s="90">
        <v>88885</v>
      </c>
      <c r="AI595" s="24" t="s">
        <v>102</v>
      </c>
      <c r="AJ595" s="24" t="s">
        <v>1581</v>
      </c>
      <c r="AK595" s="90" t="s">
        <v>85</v>
      </c>
      <c r="AL595" s="90">
        <v>241991</v>
      </c>
      <c r="AM595" s="90" t="s">
        <v>81</v>
      </c>
      <c r="AN595" s="90" t="s">
        <v>1576</v>
      </c>
      <c r="AO595" s="125" t="s">
        <v>784</v>
      </c>
      <c r="AP595" s="24" t="s">
        <v>1579</v>
      </c>
      <c r="AQ595" s="90" t="s">
        <v>1578</v>
      </c>
      <c r="AR595" s="24" t="s">
        <v>1579</v>
      </c>
      <c r="AS595" s="90" t="s">
        <v>119</v>
      </c>
      <c r="AT595" s="24" t="s">
        <v>102</v>
      </c>
      <c r="AU595" s="90" t="s">
        <v>119</v>
      </c>
      <c r="AV595" s="90" t="str">
        <f>IF(ISNUMBER(SEARCH("disagree",AE595)),"N","Y")</f>
        <v>Y</v>
      </c>
      <c r="AW595" s="90" t="s">
        <v>119</v>
      </c>
      <c r="AX595" s="24" t="s">
        <v>119</v>
      </c>
      <c r="AY595" s="90" t="str">
        <f>CONCATENATE(AZ595,BA595,BB595,BC595)</f>
        <v/>
      </c>
      <c r="AZ595" s="90" t="str">
        <f>IF(ISNUMBER(SEARCH("Y",AC595)),"R","")</f>
        <v/>
      </c>
      <c r="BA595" s="90" t="str">
        <f>IF(ISNUMBER(SEARCH("Y",Y595)),"M","")</f>
        <v/>
      </c>
      <c r="BB595" s="90" t="str">
        <f>IF(ISNUMBER(SEARCH("Y",AB595)),"QC","")</f>
        <v/>
      </c>
      <c r="BC595" s="90" t="str">
        <f>IF(ISNUMBER(SEARCH("Y",Z595)),"S","")</f>
        <v/>
      </c>
      <c r="BD595" s="90"/>
      <c r="BE595" s="24" t="s">
        <v>119</v>
      </c>
      <c r="BF595" s="125" t="str">
        <f>IF(AND(AW595&gt;=56543,AW595&lt;=76543,LEN(AW595)&gt;0),"3 Feb 2020",IF(AND(AW595&gt;=66544,AW595&lt;=99999,LEN(AW595)&gt;0),"12 Sep 2020",""))</f>
        <v/>
      </c>
      <c r="BG595" s="125" t="str">
        <f>IF((AND(BF595="3 Feb 2020",LEN(BF595)&gt;0)),"Completed",IF((AND(BF595="12 Sep 2020",LEN(BF595)&gt;0)),"Pending",""))</f>
        <v/>
      </c>
      <c r="BH595" s="90" t="str">
        <f>IF((AND(BF595="3 Feb 2020",LEN(BF595)&gt;0)),"3 Feb 2020","")</f>
        <v/>
      </c>
      <c r="BI595" s="90">
        <v>241991</v>
      </c>
      <c r="BJ595" s="90" t="str">
        <f>L595</f>
        <v>2T85HT843856-89</v>
      </c>
      <c r="BK595" s="127">
        <v>43508</v>
      </c>
      <c r="BL595" s="127">
        <v>44239</v>
      </c>
      <c r="BM595" s="128">
        <f>P595*1.1</f>
        <v>48781643.900000006</v>
      </c>
      <c r="BN595" s="129">
        <f>P595*0.9</f>
        <v>39912254.100000001</v>
      </c>
      <c r="BO595" s="130">
        <f>P595*0.8</f>
        <v>35477559.200000003</v>
      </c>
      <c r="BP595" s="90">
        <f>IF(Z595="Y",BM595*0.4,BM595*1.05)</f>
        <v>51220726.095000006</v>
      </c>
      <c r="BQ595" s="90">
        <f>BP595*0.8</f>
        <v>40976580.876000009</v>
      </c>
      <c r="BR595" s="90" t="str">
        <f>IF(ISNUMBER(SEARCH("subrecipient",AI591)),P595*0.6,"")</f>
        <v/>
      </c>
      <c r="BS595" s="90">
        <v>241991</v>
      </c>
      <c r="BT595" s="90" t="str">
        <f>BJ595</f>
        <v>2T85HT843856-89</v>
      </c>
      <c r="BU595" s="127">
        <f>BK595</f>
        <v>43508</v>
      </c>
      <c r="BV595" s="127">
        <f>BL595</f>
        <v>44239</v>
      </c>
      <c r="BW595" s="90" t="str">
        <f>H595</f>
        <v>NIH</v>
      </c>
      <c r="BX595" s="90" t="str">
        <f>IF(H595="NATIONAL HEMOPHILIA FOUNDATION","Non Federal","Federal")</f>
        <v>Federal</v>
      </c>
      <c r="BY595" s="128">
        <f>BM595</f>
        <v>48781643.900000006</v>
      </c>
      <c r="BZ595" s="90" t="str">
        <f>IF(LEN(BR595)&gt;0,1,"")</f>
        <v/>
      </c>
      <c r="CA595" s="90" t="str">
        <f>IF(LEN(BR595)&gt;0,"VIRAL HEPATITIS PROJECT","")</f>
        <v/>
      </c>
      <c r="CB595" s="129" t="str">
        <f>IF(LEN(BR595)&gt;0,BM595*0.7,"")</f>
        <v/>
      </c>
      <c r="CC595" s="90">
        <f>BP595</f>
        <v>51220726.095000006</v>
      </c>
      <c r="CD595" s="90" t="str">
        <f>IF(LEN(BR595)&gt;0,"70%","")</f>
        <v/>
      </c>
      <c r="CE595" s="90">
        <f>BS595</f>
        <v>241991</v>
      </c>
      <c r="CF595" s="90" t="str">
        <f>CA595</f>
        <v/>
      </c>
      <c r="CG595" s="90"/>
      <c r="CH595" s="90"/>
      <c r="CI595" s="90"/>
      <c r="CJ595" s="90"/>
      <c r="CK595" s="90"/>
      <c r="CL595" s="90"/>
      <c r="CM595" s="90"/>
      <c r="CN595" s="90"/>
      <c r="CO595" s="90"/>
      <c r="CP595" s="90"/>
      <c r="CQ595" s="90"/>
      <c r="CR595" s="90"/>
      <c r="CS595" s="90"/>
      <c r="CT595" s="137"/>
    </row>
    <row r="596" spans="1:98" ht="90">
      <c r="A596" s="89">
        <v>242079</v>
      </c>
      <c r="B596" s="90">
        <v>2020</v>
      </c>
      <c r="C596" s="90" t="s">
        <v>81</v>
      </c>
      <c r="D596" s="90" t="s">
        <v>1582</v>
      </c>
      <c r="E596" s="125" t="s">
        <v>790</v>
      </c>
      <c r="F596" s="24" t="s">
        <v>1583</v>
      </c>
      <c r="G596" s="90" t="s">
        <v>85</v>
      </c>
      <c r="H596" s="90" t="s">
        <v>132</v>
      </c>
      <c r="I596" s="90">
        <v>93</v>
      </c>
      <c r="J596" s="90">
        <v>157</v>
      </c>
      <c r="K596" s="90" t="s">
        <v>85</v>
      </c>
      <c r="L596" s="90" t="s">
        <v>1584</v>
      </c>
      <c r="M596" s="90" t="s">
        <v>119</v>
      </c>
      <c r="N596" s="24" t="s">
        <v>1371</v>
      </c>
      <c r="O596" s="24" t="str">
        <f>IF(ISNUMBER(SEARCH("Cancer",N596)),"Cancer",IF(ISNUMBER(SEARCH("health",N596)),"Public health",IF(ISNUMBER(SEARCH("disabilities",N596)),"Disabilities","Other")))</f>
        <v>Other</v>
      </c>
      <c r="P596" s="126">
        <v>9488587</v>
      </c>
      <c r="Q596" s="90" t="s">
        <v>85</v>
      </c>
      <c r="R596" s="90" t="str">
        <f>IF(P596&gt;20000000,"B","A")</f>
        <v>A</v>
      </c>
      <c r="S596" s="90" t="s">
        <v>90</v>
      </c>
      <c r="T596" s="90" t="s">
        <v>119</v>
      </c>
      <c r="U596" s="90" t="s">
        <v>119</v>
      </c>
      <c r="V596" s="90" t="s">
        <v>119</v>
      </c>
      <c r="W596" s="90" t="s">
        <v>119</v>
      </c>
      <c r="X596" s="90" t="s">
        <v>119</v>
      </c>
      <c r="Y596" s="90" t="s">
        <v>119</v>
      </c>
      <c r="Z596" s="90" t="s">
        <v>119</v>
      </c>
      <c r="AA596" s="90" t="s">
        <v>119</v>
      </c>
      <c r="AB596" s="90" t="s">
        <v>119</v>
      </c>
      <c r="AC596" s="90" t="s">
        <v>119</v>
      </c>
      <c r="AD596" s="90" t="s">
        <v>119</v>
      </c>
      <c r="AE596" s="24">
        <v>0</v>
      </c>
      <c r="AF596" s="90">
        <v>0</v>
      </c>
      <c r="AG596" s="24">
        <v>0</v>
      </c>
      <c r="AH596" s="90">
        <v>90900</v>
      </c>
      <c r="AI596" s="24" t="s">
        <v>94</v>
      </c>
      <c r="AJ596" s="24" t="s">
        <v>1585</v>
      </c>
      <c r="AK596" s="90" t="s">
        <v>85</v>
      </c>
      <c r="AL596" s="90">
        <v>242079</v>
      </c>
      <c r="AM596" s="90" t="s">
        <v>81</v>
      </c>
      <c r="AN596" s="90" t="s">
        <v>1582</v>
      </c>
      <c r="AO596" s="125" t="s">
        <v>790</v>
      </c>
      <c r="AP596" s="24" t="s">
        <v>1371</v>
      </c>
      <c r="AQ596" s="90" t="s">
        <v>1584</v>
      </c>
      <c r="AR596" s="24" t="s">
        <v>1371</v>
      </c>
      <c r="AS596" s="90" t="s">
        <v>119</v>
      </c>
      <c r="AT596" s="24" t="s">
        <v>94</v>
      </c>
      <c r="AU596" s="90" t="s">
        <v>119</v>
      </c>
      <c r="AV596" s="90" t="str">
        <f>IF(ISNUMBER(SEARCH("disagree",AE596)),"N","Y")</f>
        <v>Y</v>
      </c>
      <c r="AW596" s="90" t="s">
        <v>119</v>
      </c>
      <c r="AX596" s="24" t="s">
        <v>119</v>
      </c>
      <c r="AY596" s="90" t="str">
        <f>CONCATENATE(AZ596,BA596,BB596,BC596)</f>
        <v/>
      </c>
      <c r="AZ596" s="90" t="str">
        <f>IF(ISNUMBER(SEARCH("Y",AC596)),"R","")</f>
        <v/>
      </c>
      <c r="BA596" s="90" t="str">
        <f>IF(ISNUMBER(SEARCH("Y",Y596)),"M","")</f>
        <v/>
      </c>
      <c r="BB596" s="90" t="str">
        <f>IF(ISNUMBER(SEARCH("Y",AB596)),"QC","")</f>
        <v/>
      </c>
      <c r="BC596" s="90" t="str">
        <f>IF(ISNUMBER(SEARCH("Y",Z596)),"S","")</f>
        <v/>
      </c>
      <c r="BD596" s="90"/>
      <c r="BE596" s="24" t="s">
        <v>119</v>
      </c>
      <c r="BF596" s="125" t="str">
        <f>IF(AND(AW596&gt;=56543,AW596&lt;=76543,LEN(AW596)&gt;0),"3 Feb 2020",IF(AND(AW596&gt;=66544,AW596&lt;=99999,LEN(AW596)&gt;0),"12 Sep 2020",""))</f>
        <v/>
      </c>
      <c r="BG596" s="125" t="str">
        <f>IF((AND(BF596="3 Feb 2020",LEN(BF596)&gt;0)),"Completed",IF((AND(BF596="12 Sep 2020",LEN(BF596)&gt;0)),"Pending",""))</f>
        <v/>
      </c>
      <c r="BH596" s="90" t="str">
        <f>IF((AND(BF596="3 Feb 2020",LEN(BF596)&gt;0)),"3 Feb 2020","")</f>
        <v/>
      </c>
      <c r="BI596" s="90">
        <v>242079</v>
      </c>
      <c r="BJ596" s="90" t="str">
        <f>L596</f>
        <v>9T27CT844460-51</v>
      </c>
      <c r="BK596" s="127">
        <v>43508</v>
      </c>
      <c r="BL596" s="127">
        <v>44239</v>
      </c>
      <c r="BM596" s="128">
        <f>P596*1.1</f>
        <v>10437445.700000001</v>
      </c>
      <c r="BN596" s="129">
        <f>P596*0.9</f>
        <v>8539728.3000000007</v>
      </c>
      <c r="BO596" s="130">
        <f>P596*0.8</f>
        <v>7590869.6000000006</v>
      </c>
      <c r="BP596" s="90">
        <f>IF(Z596="Y",BM596*0.4,BM596*1.05)</f>
        <v>10959317.985000001</v>
      </c>
      <c r="BQ596" s="90">
        <f>BP596*0.8</f>
        <v>8767454.3880000021</v>
      </c>
      <c r="BR596" s="90" t="str">
        <f>IF(ISNUMBER(SEARCH("subrecipient",AI592)),P596*0.6,"")</f>
        <v/>
      </c>
      <c r="BS596" s="90">
        <v>242079</v>
      </c>
      <c r="BT596" s="90" t="str">
        <f>BJ596</f>
        <v>9T27CT844460-51</v>
      </c>
      <c r="BU596" s="127">
        <f>BK596</f>
        <v>43508</v>
      </c>
      <c r="BV596" s="127">
        <f>BL596</f>
        <v>44239</v>
      </c>
      <c r="BW596" s="90" t="str">
        <f>H596</f>
        <v>FDA</v>
      </c>
      <c r="BX596" s="90" t="str">
        <f>IF(H596="NATIONAL HEMOPHILIA FOUNDATION","Non Federal","Federal")</f>
        <v>Federal</v>
      </c>
      <c r="BY596" s="128">
        <f>BM596</f>
        <v>10437445.700000001</v>
      </c>
      <c r="BZ596" s="90" t="str">
        <f>IF(LEN(BR596)&gt;0,1,"")</f>
        <v/>
      </c>
      <c r="CA596" s="90" t="str">
        <f>IF(LEN(BR596)&gt;0,"VIRAL HEPATITIS PROJECT","")</f>
        <v/>
      </c>
      <c r="CB596" s="129" t="str">
        <f>IF(LEN(BR596)&gt;0,BM596*0.7,"")</f>
        <v/>
      </c>
      <c r="CC596" s="90">
        <f>BP596</f>
        <v>10959317.985000001</v>
      </c>
      <c r="CD596" s="90" t="str">
        <f>IF(LEN(BR596)&gt;0,"70%","")</f>
        <v/>
      </c>
      <c r="CE596" s="90">
        <f>BS596</f>
        <v>242079</v>
      </c>
      <c r="CF596" s="90" t="str">
        <f>CA596</f>
        <v/>
      </c>
      <c r="CG596" s="90"/>
      <c r="CH596" s="90"/>
      <c r="CI596" s="90"/>
      <c r="CJ596" s="90"/>
      <c r="CK596" s="90"/>
      <c r="CL596" s="90"/>
      <c r="CM596" s="90"/>
      <c r="CN596" s="90"/>
      <c r="CO596" s="90"/>
      <c r="CP596" s="90"/>
      <c r="CQ596" s="90"/>
      <c r="CR596" s="90"/>
      <c r="CS596" s="90"/>
      <c r="CT596" s="137"/>
    </row>
    <row r="597" spans="1:98" ht="90">
      <c r="A597" s="89">
        <v>242079</v>
      </c>
      <c r="B597" s="90">
        <v>2020</v>
      </c>
      <c r="C597" s="90" t="s">
        <v>81</v>
      </c>
      <c r="D597" s="90" t="s">
        <v>1582</v>
      </c>
      <c r="E597" s="125" t="s">
        <v>791</v>
      </c>
      <c r="F597" s="24" t="s">
        <v>1583</v>
      </c>
      <c r="G597" s="90" t="s">
        <v>85</v>
      </c>
      <c r="H597" s="90" t="s">
        <v>132</v>
      </c>
      <c r="I597" s="90">
        <v>93</v>
      </c>
      <c r="J597" s="90">
        <v>157</v>
      </c>
      <c r="K597" s="90" t="s">
        <v>85</v>
      </c>
      <c r="L597" s="90" t="s">
        <v>1584</v>
      </c>
      <c r="M597" s="90" t="s">
        <v>119</v>
      </c>
      <c r="N597" s="24" t="s">
        <v>1371</v>
      </c>
      <c r="O597" s="24" t="str">
        <f>IF(ISNUMBER(SEARCH("Cancer",N597)),"Cancer",IF(ISNUMBER(SEARCH("health",N597)),"Public health",IF(ISNUMBER(SEARCH("disabilities",N597)),"Disabilities","Other")))</f>
        <v>Other</v>
      </c>
      <c r="P597" s="126">
        <v>9488587</v>
      </c>
      <c r="Q597" s="90" t="s">
        <v>85</v>
      </c>
      <c r="R597" s="90" t="str">
        <f>IF(P597&gt;20000000,"B","A")</f>
        <v>A</v>
      </c>
      <c r="S597" s="90" t="s">
        <v>90</v>
      </c>
      <c r="T597" s="90" t="s">
        <v>119</v>
      </c>
      <c r="U597" s="90" t="s">
        <v>119</v>
      </c>
      <c r="V597" s="90" t="s">
        <v>119</v>
      </c>
      <c r="W597" s="90" t="s">
        <v>119</v>
      </c>
      <c r="X597" s="90" t="s">
        <v>119</v>
      </c>
      <c r="Y597" s="90" t="s">
        <v>119</v>
      </c>
      <c r="Z597" s="90" t="s">
        <v>119</v>
      </c>
      <c r="AA597" s="90" t="s">
        <v>119</v>
      </c>
      <c r="AB597" s="90" t="s">
        <v>119</v>
      </c>
      <c r="AC597" s="90" t="s">
        <v>119</v>
      </c>
      <c r="AD597" s="90" t="s">
        <v>119</v>
      </c>
      <c r="AE597" s="24">
        <v>0</v>
      </c>
      <c r="AF597" s="90">
        <v>0</v>
      </c>
      <c r="AG597" s="24">
        <v>0</v>
      </c>
      <c r="AH597" s="90">
        <v>90901</v>
      </c>
      <c r="AI597" s="24" t="s">
        <v>102</v>
      </c>
      <c r="AJ597" s="24" t="s">
        <v>1586</v>
      </c>
      <c r="AK597" s="90" t="s">
        <v>85</v>
      </c>
      <c r="AL597" s="90">
        <v>242079</v>
      </c>
      <c r="AM597" s="90" t="s">
        <v>81</v>
      </c>
      <c r="AN597" s="90" t="s">
        <v>1582</v>
      </c>
      <c r="AO597" s="125" t="s">
        <v>791</v>
      </c>
      <c r="AP597" s="24" t="s">
        <v>1371</v>
      </c>
      <c r="AQ597" s="90" t="s">
        <v>1584</v>
      </c>
      <c r="AR597" s="24" t="s">
        <v>1371</v>
      </c>
      <c r="AS597" s="90" t="s">
        <v>119</v>
      </c>
      <c r="AT597" s="24" t="s">
        <v>102</v>
      </c>
      <c r="AU597" s="90" t="s">
        <v>119</v>
      </c>
      <c r="AV597" s="90" t="str">
        <f>IF(ISNUMBER(SEARCH("disagree",AE597)),"N","Y")</f>
        <v>Y</v>
      </c>
      <c r="AW597" s="90" t="s">
        <v>119</v>
      </c>
      <c r="AX597" s="24" t="s">
        <v>119</v>
      </c>
      <c r="AY597" s="90" t="str">
        <f>CONCATENATE(AZ597,BA597,BB597,BC597)</f>
        <v/>
      </c>
      <c r="AZ597" s="90" t="str">
        <f>IF(ISNUMBER(SEARCH("Y",AC597)),"R","")</f>
        <v/>
      </c>
      <c r="BA597" s="90" t="str">
        <f>IF(ISNUMBER(SEARCH("Y",Y597)),"M","")</f>
        <v/>
      </c>
      <c r="BB597" s="90" t="str">
        <f>IF(ISNUMBER(SEARCH("Y",AB597)),"QC","")</f>
        <v/>
      </c>
      <c r="BC597" s="90" t="str">
        <f>IF(ISNUMBER(SEARCH("Y",Z597)),"S","")</f>
        <v/>
      </c>
      <c r="BD597" s="90"/>
      <c r="BE597" s="24" t="s">
        <v>119</v>
      </c>
      <c r="BF597" s="125" t="str">
        <f>IF(AND(AW597&gt;=56543,AW597&lt;=76543,LEN(AW597)&gt;0),"3 Feb 2020",IF(AND(AW597&gt;=66544,AW597&lt;=99999,LEN(AW597)&gt;0),"12 Sep 2020",""))</f>
        <v/>
      </c>
      <c r="BG597" s="125" t="str">
        <f>IF((AND(BF597="3 Feb 2020",LEN(BF597)&gt;0)),"Completed",IF((AND(BF597="12 Sep 2020",LEN(BF597)&gt;0)),"Pending",""))</f>
        <v/>
      </c>
      <c r="BH597" s="90" t="str">
        <f>IF((AND(BF597="3 Feb 2020",LEN(BF597)&gt;0)),"3 Feb 2020","")</f>
        <v/>
      </c>
      <c r="BI597" s="90">
        <v>242079</v>
      </c>
      <c r="BJ597" s="90" t="str">
        <f>L597</f>
        <v>9T27CT844460-51</v>
      </c>
      <c r="BK597" s="127">
        <v>43508</v>
      </c>
      <c r="BL597" s="127">
        <v>44239</v>
      </c>
      <c r="BM597" s="128">
        <f>P597*1.1</f>
        <v>10437445.700000001</v>
      </c>
      <c r="BN597" s="129">
        <f>P597*0.9</f>
        <v>8539728.3000000007</v>
      </c>
      <c r="BO597" s="130">
        <f>P597*0.8</f>
        <v>7590869.6000000006</v>
      </c>
      <c r="BP597" s="90">
        <f>IF(Z597="Y",BM597*0.4,BM597*1.05)</f>
        <v>10959317.985000001</v>
      </c>
      <c r="BQ597" s="90">
        <f>BP597*0.8</f>
        <v>8767454.3880000021</v>
      </c>
      <c r="BR597" s="90" t="str">
        <f>IF(ISNUMBER(SEARCH("subrecipient",AI593)),P597*0.6,"")</f>
        <v/>
      </c>
      <c r="BS597" s="90">
        <v>242079</v>
      </c>
      <c r="BT597" s="90" t="str">
        <f>BJ597</f>
        <v>9T27CT844460-51</v>
      </c>
      <c r="BU597" s="127">
        <f>BK597</f>
        <v>43508</v>
      </c>
      <c r="BV597" s="127">
        <f>BL597</f>
        <v>44239</v>
      </c>
      <c r="BW597" s="90" t="str">
        <f>H597</f>
        <v>FDA</v>
      </c>
      <c r="BX597" s="90" t="str">
        <f>IF(H597="NATIONAL HEMOPHILIA FOUNDATION","Non Federal","Federal")</f>
        <v>Federal</v>
      </c>
      <c r="BY597" s="128">
        <f>BM597</f>
        <v>10437445.700000001</v>
      </c>
      <c r="BZ597" s="90" t="str">
        <f>IF(LEN(BR597)&gt;0,1,"")</f>
        <v/>
      </c>
      <c r="CA597" s="90" t="str">
        <f>IF(LEN(BR597)&gt;0,"VIRAL HEPATITIS PROJECT","")</f>
        <v/>
      </c>
      <c r="CB597" s="129" t="str">
        <f>IF(LEN(BR597)&gt;0,BM597*0.7,"")</f>
        <v/>
      </c>
      <c r="CC597" s="90">
        <f>BP597</f>
        <v>10959317.985000001</v>
      </c>
      <c r="CD597" s="90" t="str">
        <f>IF(LEN(BR597)&gt;0,"70%","")</f>
        <v/>
      </c>
      <c r="CE597" s="90">
        <f>BS597</f>
        <v>242079</v>
      </c>
      <c r="CF597" s="90" t="str">
        <f>CA597</f>
        <v/>
      </c>
      <c r="CG597" s="90"/>
      <c r="CH597" s="90"/>
      <c r="CI597" s="90"/>
      <c r="CJ597" s="90"/>
      <c r="CK597" s="90"/>
      <c r="CL597" s="90"/>
      <c r="CM597" s="90"/>
      <c r="CN597" s="90"/>
      <c r="CO597" s="90"/>
      <c r="CP597" s="90"/>
      <c r="CQ597" s="90"/>
      <c r="CR597" s="90"/>
      <c r="CS597" s="90"/>
      <c r="CT597" s="137"/>
    </row>
    <row r="598" spans="1:98" ht="90">
      <c r="A598" s="89">
        <v>242079</v>
      </c>
      <c r="B598" s="90">
        <v>2020</v>
      </c>
      <c r="C598" s="90" t="s">
        <v>81</v>
      </c>
      <c r="D598" s="90" t="s">
        <v>1582</v>
      </c>
      <c r="E598" s="125" t="s">
        <v>793</v>
      </c>
      <c r="F598" s="24" t="s">
        <v>1583</v>
      </c>
      <c r="G598" s="90" t="s">
        <v>85</v>
      </c>
      <c r="H598" s="90" t="s">
        <v>132</v>
      </c>
      <c r="I598" s="90">
        <v>93</v>
      </c>
      <c r="J598" s="90">
        <v>157</v>
      </c>
      <c r="K598" s="90" t="s">
        <v>85</v>
      </c>
      <c r="L598" s="90" t="s">
        <v>1584</v>
      </c>
      <c r="M598" s="90" t="s">
        <v>119</v>
      </c>
      <c r="N598" s="24" t="s">
        <v>1371</v>
      </c>
      <c r="O598" s="24" t="str">
        <f>IF(ISNUMBER(SEARCH("Cancer",N598)),"Cancer",IF(ISNUMBER(SEARCH("health",N598)),"Public health",IF(ISNUMBER(SEARCH("disabilities",N598)),"Disabilities","Other")))</f>
        <v>Other</v>
      </c>
      <c r="P598" s="126">
        <v>9488587</v>
      </c>
      <c r="Q598" s="90" t="s">
        <v>85</v>
      </c>
      <c r="R598" s="90" t="str">
        <f>IF(P598&gt;20000000,"B","A")</f>
        <v>A</v>
      </c>
      <c r="S598" s="90" t="s">
        <v>90</v>
      </c>
      <c r="T598" s="90" t="s">
        <v>119</v>
      </c>
      <c r="U598" s="90" t="s">
        <v>119</v>
      </c>
      <c r="V598" s="90" t="s">
        <v>119</v>
      </c>
      <c r="W598" s="90" t="s">
        <v>119</v>
      </c>
      <c r="X598" s="90" t="s">
        <v>119</v>
      </c>
      <c r="Y598" s="90" t="s">
        <v>119</v>
      </c>
      <c r="Z598" s="90" t="s">
        <v>119</v>
      </c>
      <c r="AA598" s="90" t="s">
        <v>119</v>
      </c>
      <c r="AB598" s="90" t="s">
        <v>119</v>
      </c>
      <c r="AC598" s="90" t="s">
        <v>119</v>
      </c>
      <c r="AD598" s="90" t="s">
        <v>119</v>
      </c>
      <c r="AE598" s="24">
        <v>0</v>
      </c>
      <c r="AF598" s="90">
        <v>0</v>
      </c>
      <c r="AG598" s="24">
        <v>0</v>
      </c>
      <c r="AH598" s="90">
        <v>90902</v>
      </c>
      <c r="AI598" s="24" t="s">
        <v>110</v>
      </c>
      <c r="AJ598" s="24" t="s">
        <v>1587</v>
      </c>
      <c r="AK598" s="90" t="s">
        <v>85</v>
      </c>
      <c r="AL598" s="90">
        <v>242079</v>
      </c>
      <c r="AM598" s="90" t="s">
        <v>81</v>
      </c>
      <c r="AN598" s="90" t="s">
        <v>1582</v>
      </c>
      <c r="AO598" s="125" t="s">
        <v>793</v>
      </c>
      <c r="AP598" s="24" t="s">
        <v>1371</v>
      </c>
      <c r="AQ598" s="90" t="s">
        <v>1584</v>
      </c>
      <c r="AR598" s="24" t="s">
        <v>1371</v>
      </c>
      <c r="AS598" s="90" t="s">
        <v>119</v>
      </c>
      <c r="AT598" s="24" t="s">
        <v>110</v>
      </c>
      <c r="AU598" s="90" t="s">
        <v>119</v>
      </c>
      <c r="AV598" s="90" t="str">
        <f>IF(ISNUMBER(SEARCH("disagree",AE598)),"N","Y")</f>
        <v>Y</v>
      </c>
      <c r="AW598" s="90" t="s">
        <v>119</v>
      </c>
      <c r="AX598" s="24" t="s">
        <v>119</v>
      </c>
      <c r="AY598" s="90" t="str">
        <f>CONCATENATE(AZ598,BA598,BB598,BC598)</f>
        <v/>
      </c>
      <c r="AZ598" s="90" t="str">
        <f>IF(ISNUMBER(SEARCH("Y",AC598)),"R","")</f>
        <v/>
      </c>
      <c r="BA598" s="90" t="str">
        <f>IF(ISNUMBER(SEARCH("Y",Y598)),"M","")</f>
        <v/>
      </c>
      <c r="BB598" s="90" t="str">
        <f>IF(ISNUMBER(SEARCH("Y",AB598)),"QC","")</f>
        <v/>
      </c>
      <c r="BC598" s="90" t="str">
        <f>IF(ISNUMBER(SEARCH("Y",Z598)),"S","")</f>
        <v/>
      </c>
      <c r="BD598" s="90"/>
      <c r="BE598" s="24" t="s">
        <v>119</v>
      </c>
      <c r="BF598" s="125" t="str">
        <f>IF(AND(AW598&gt;=56543,AW598&lt;=76543,LEN(AW598)&gt;0),"3 Feb 2020",IF(AND(AW598&gt;=66544,AW598&lt;=99999,LEN(AW598)&gt;0),"12 Sep 2020",""))</f>
        <v/>
      </c>
      <c r="BG598" s="125" t="str">
        <f>IF((AND(BF598="3 Feb 2020",LEN(BF598)&gt;0)),"Completed",IF((AND(BF598="12 Sep 2020",LEN(BF598)&gt;0)),"Pending",""))</f>
        <v/>
      </c>
      <c r="BH598" s="90" t="str">
        <f>IF((AND(BF598="3 Feb 2020",LEN(BF598)&gt;0)),"3 Feb 2020","")</f>
        <v/>
      </c>
      <c r="BI598" s="90">
        <v>242079</v>
      </c>
      <c r="BJ598" s="90" t="str">
        <f>L598</f>
        <v>9T27CT844460-51</v>
      </c>
      <c r="BK598" s="127">
        <v>43508</v>
      </c>
      <c r="BL598" s="127">
        <v>44239</v>
      </c>
      <c r="BM598" s="128">
        <f>P598*1.1</f>
        <v>10437445.700000001</v>
      </c>
      <c r="BN598" s="129">
        <f>P598*0.9</f>
        <v>8539728.3000000007</v>
      </c>
      <c r="BO598" s="130">
        <f>P598*0.8</f>
        <v>7590869.6000000006</v>
      </c>
      <c r="BP598" s="90">
        <f>IF(Z598="Y",BM598*0.4,BM598*1.05)</f>
        <v>10959317.985000001</v>
      </c>
      <c r="BQ598" s="90">
        <f>BP598*0.8</f>
        <v>8767454.3880000021</v>
      </c>
      <c r="BR598" s="90" t="str">
        <f>IF(ISNUMBER(SEARCH("subrecipient",AI594)),P598*0.6,"")</f>
        <v/>
      </c>
      <c r="BS598" s="90">
        <v>242079</v>
      </c>
      <c r="BT598" s="90" t="str">
        <f>BJ598</f>
        <v>9T27CT844460-51</v>
      </c>
      <c r="BU598" s="127">
        <f>BK598</f>
        <v>43508</v>
      </c>
      <c r="BV598" s="127">
        <f>BL598</f>
        <v>44239</v>
      </c>
      <c r="BW598" s="90" t="str">
        <f>H598</f>
        <v>FDA</v>
      </c>
      <c r="BX598" s="90" t="str">
        <f>IF(H598="NATIONAL HEMOPHILIA FOUNDATION","Non Federal","Federal")</f>
        <v>Federal</v>
      </c>
      <c r="BY598" s="128">
        <f>BM598</f>
        <v>10437445.700000001</v>
      </c>
      <c r="BZ598" s="90" t="str">
        <f>IF(LEN(BR598)&gt;0,1,"")</f>
        <v/>
      </c>
      <c r="CA598" s="90" t="str">
        <f>IF(LEN(BR598)&gt;0,"VIRAL HEPATITIS PROJECT","")</f>
        <v/>
      </c>
      <c r="CB598" s="129" t="str">
        <f>IF(LEN(BR598)&gt;0,BM598*0.7,"")</f>
        <v/>
      </c>
      <c r="CC598" s="90">
        <f>BP598</f>
        <v>10959317.985000001</v>
      </c>
      <c r="CD598" s="90" t="str">
        <f>IF(LEN(BR598)&gt;0,"70%","")</f>
        <v/>
      </c>
      <c r="CE598" s="90">
        <f>BS598</f>
        <v>242079</v>
      </c>
      <c r="CF598" s="90" t="str">
        <f>CA598</f>
        <v/>
      </c>
      <c r="CG598" s="90"/>
      <c r="CH598" s="90"/>
      <c r="CI598" s="90"/>
      <c r="CJ598" s="90"/>
      <c r="CK598" s="90"/>
      <c r="CL598" s="90"/>
      <c r="CM598" s="90"/>
      <c r="CN598" s="90"/>
      <c r="CO598" s="90"/>
      <c r="CP598" s="90"/>
      <c r="CQ598" s="90"/>
      <c r="CR598" s="90"/>
      <c r="CS598" s="90"/>
      <c r="CT598" s="137"/>
    </row>
    <row r="599" spans="1:98" ht="120">
      <c r="A599" s="89">
        <v>243314</v>
      </c>
      <c r="B599" s="90">
        <v>2020</v>
      </c>
      <c r="C599" s="90" t="s">
        <v>81</v>
      </c>
      <c r="D599" s="90" t="s">
        <v>1588</v>
      </c>
      <c r="E599" s="125" t="s">
        <v>780</v>
      </c>
      <c r="F599" s="24" t="s">
        <v>1589</v>
      </c>
      <c r="G599" s="90" t="s">
        <v>85</v>
      </c>
      <c r="H599" s="90" t="s">
        <v>150</v>
      </c>
      <c r="I599" s="90">
        <v>93</v>
      </c>
      <c r="J599" s="90">
        <v>157</v>
      </c>
      <c r="K599" s="90" t="s">
        <v>85</v>
      </c>
      <c r="L599" s="90" t="s">
        <v>1590</v>
      </c>
      <c r="M599" s="90" t="s">
        <v>119</v>
      </c>
      <c r="N599" s="24" t="s">
        <v>333</v>
      </c>
      <c r="O599" s="24" t="str">
        <f>IF(ISNUMBER(SEARCH("Cancer",N599)),"Cancer",IF(ISNUMBER(SEARCH("health",N599)),"Public health",IF(ISNUMBER(SEARCH("disabilities",N599)),"Disabilities","Other")))</f>
        <v>Public health</v>
      </c>
      <c r="P599" s="126">
        <v>139008240</v>
      </c>
      <c r="Q599" s="90" t="s">
        <v>85</v>
      </c>
      <c r="R599" s="90" t="str">
        <f>IF(P599&gt;20000000,"B","A")</f>
        <v>B</v>
      </c>
      <c r="S599" s="90" t="s">
        <v>90</v>
      </c>
      <c r="T599" s="90" t="s">
        <v>119</v>
      </c>
      <c r="U599" s="90" t="s">
        <v>119</v>
      </c>
      <c r="V599" s="90" t="s">
        <v>119</v>
      </c>
      <c r="W599" s="90" t="s">
        <v>119</v>
      </c>
      <c r="X599" s="90" t="s">
        <v>119</v>
      </c>
      <c r="Y599" s="90" t="s">
        <v>119</v>
      </c>
      <c r="Z599" s="90" t="s">
        <v>119</v>
      </c>
      <c r="AA599" s="90" t="s">
        <v>119</v>
      </c>
      <c r="AB599" s="90" t="s">
        <v>119</v>
      </c>
      <c r="AC599" s="90" t="s">
        <v>119</v>
      </c>
      <c r="AD599" s="90" t="s">
        <v>119</v>
      </c>
      <c r="AE599" s="24">
        <v>0</v>
      </c>
      <c r="AF599" s="90">
        <v>0</v>
      </c>
      <c r="AG599" s="24">
        <v>0</v>
      </c>
      <c r="AH599" s="90">
        <v>90962</v>
      </c>
      <c r="AI599" s="24" t="s">
        <v>94</v>
      </c>
      <c r="AJ599" s="24" t="s">
        <v>1591</v>
      </c>
      <c r="AK599" s="90" t="s">
        <v>85</v>
      </c>
      <c r="AL599" s="90">
        <v>243314</v>
      </c>
      <c r="AM599" s="90" t="s">
        <v>81</v>
      </c>
      <c r="AN599" s="90" t="s">
        <v>1588</v>
      </c>
      <c r="AO599" s="125" t="s">
        <v>780</v>
      </c>
      <c r="AP599" s="24" t="s">
        <v>333</v>
      </c>
      <c r="AQ599" s="90" t="s">
        <v>1590</v>
      </c>
      <c r="AR599" s="24" t="s">
        <v>333</v>
      </c>
      <c r="AS599" s="90" t="s">
        <v>119</v>
      </c>
      <c r="AT599" s="24" t="s">
        <v>94</v>
      </c>
      <c r="AU599" s="90" t="s">
        <v>119</v>
      </c>
      <c r="AV599" s="90" t="str">
        <f>IF(ISNUMBER(SEARCH("disagree",AE599)),"N","Y")</f>
        <v>Y</v>
      </c>
      <c r="AW599" s="90" t="s">
        <v>119</v>
      </c>
      <c r="AX599" s="24" t="s">
        <v>119</v>
      </c>
      <c r="AY599" s="90" t="str">
        <f>CONCATENATE(AZ599,BA599,BB599,BC599)</f>
        <v/>
      </c>
      <c r="AZ599" s="90" t="str">
        <f>IF(ISNUMBER(SEARCH("Y",AC599)),"R","")</f>
        <v/>
      </c>
      <c r="BA599" s="90" t="str">
        <f>IF(ISNUMBER(SEARCH("Y",Y599)),"M","")</f>
        <v/>
      </c>
      <c r="BB599" s="90" t="str">
        <f>IF(ISNUMBER(SEARCH("Y",AB599)),"QC","")</f>
        <v/>
      </c>
      <c r="BC599" s="90" t="str">
        <f>IF(ISNUMBER(SEARCH("Y",Z599)),"S","")</f>
        <v/>
      </c>
      <c r="BD599" s="90"/>
      <c r="BE599" s="24" t="s">
        <v>119</v>
      </c>
      <c r="BF599" s="125" t="str">
        <f>IF(AND(AW599&gt;=56543,AW599&lt;=76543,LEN(AW599)&gt;0),"3 Feb 2020",IF(AND(AW599&gt;=66544,AW599&lt;=99999,LEN(AW599)&gt;0),"12 Sep 2020",""))</f>
        <v/>
      </c>
      <c r="BG599" s="125" t="str">
        <f>IF((AND(BF599="3 Feb 2020",LEN(BF599)&gt;0)),"Completed",IF((AND(BF599="12 Sep 2020",LEN(BF599)&gt;0)),"Pending",""))</f>
        <v/>
      </c>
      <c r="BH599" s="90" t="str">
        <f>IF((AND(BF599="3 Feb 2020",LEN(BF599)&gt;0)),"3 Feb 2020","")</f>
        <v/>
      </c>
      <c r="BI599" s="90">
        <v>243314</v>
      </c>
      <c r="BJ599" s="90" t="str">
        <f>L599</f>
        <v>4T98GT844334-20</v>
      </c>
      <c r="BK599" s="127">
        <v>43508</v>
      </c>
      <c r="BL599" s="127">
        <v>44239</v>
      </c>
      <c r="BM599" s="128">
        <f>P599*1.1</f>
        <v>152909064</v>
      </c>
      <c r="BN599" s="129">
        <f>P599*0.9</f>
        <v>125107416</v>
      </c>
      <c r="BO599" s="130">
        <f>P599*0.8</f>
        <v>111206592</v>
      </c>
      <c r="BP599" s="90">
        <f>IF(Z599="Y",BM599*0.4,BM599*1.05)</f>
        <v>160554517.20000002</v>
      </c>
      <c r="BQ599" s="90">
        <f>BP599*0.8</f>
        <v>128443613.76000002</v>
      </c>
      <c r="BR599" s="90" t="str">
        <f>IF(ISNUMBER(SEARCH("subrecipient",AI595)),P599*0.6,"")</f>
        <v/>
      </c>
      <c r="BS599" s="90">
        <v>243314</v>
      </c>
      <c r="BT599" s="90" t="str">
        <f>BJ599</f>
        <v>4T98GT844334-20</v>
      </c>
      <c r="BU599" s="127">
        <f>BK599</f>
        <v>43508</v>
      </c>
      <c r="BV599" s="127">
        <f>BL599</f>
        <v>44239</v>
      </c>
      <c r="BW599" s="90" t="str">
        <f>H599</f>
        <v>ACF</v>
      </c>
      <c r="BX599" s="90" t="str">
        <f>IF(H599="NATIONAL HEMOPHILIA FOUNDATION","Non Federal","Federal")</f>
        <v>Federal</v>
      </c>
      <c r="BY599" s="128">
        <f>BM599</f>
        <v>152909064</v>
      </c>
      <c r="BZ599" s="90" t="str">
        <f>IF(LEN(BR599)&gt;0,1,"")</f>
        <v/>
      </c>
      <c r="CA599" s="90" t="str">
        <f>IF(LEN(BR599)&gt;0,"VIRAL HEPATITIS PROJECT","")</f>
        <v/>
      </c>
      <c r="CB599" s="129" t="str">
        <f>IF(LEN(BR599)&gt;0,BM599*0.7,"")</f>
        <v/>
      </c>
      <c r="CC599" s="90">
        <f>BP599</f>
        <v>160554517.20000002</v>
      </c>
      <c r="CD599" s="90" t="str">
        <f>IF(LEN(BR599)&gt;0,"70%","")</f>
        <v/>
      </c>
      <c r="CE599" s="90">
        <f>BS599</f>
        <v>243314</v>
      </c>
      <c r="CF599" s="90" t="str">
        <f>CA599</f>
        <v/>
      </c>
      <c r="CG599" s="90"/>
      <c r="CH599" s="90"/>
      <c r="CI599" s="90"/>
      <c r="CJ599" s="90"/>
      <c r="CK599" s="90"/>
      <c r="CL599" s="90"/>
      <c r="CM599" s="90"/>
      <c r="CN599" s="90"/>
      <c r="CO599" s="90"/>
      <c r="CP599" s="90"/>
      <c r="CQ599" s="90"/>
      <c r="CR599" s="90"/>
      <c r="CS599" s="90"/>
      <c r="CT599" s="137"/>
    </row>
    <row r="600" spans="1:98" ht="45">
      <c r="A600" s="89">
        <v>243314</v>
      </c>
      <c r="B600" s="90">
        <v>2020</v>
      </c>
      <c r="C600" s="90" t="s">
        <v>81</v>
      </c>
      <c r="D600" s="90" t="s">
        <v>1588</v>
      </c>
      <c r="E600" s="125" t="s">
        <v>781</v>
      </c>
      <c r="F600" s="24" t="s">
        <v>1589</v>
      </c>
      <c r="G600" s="90" t="s">
        <v>85</v>
      </c>
      <c r="H600" s="90" t="s">
        <v>150</v>
      </c>
      <c r="I600" s="90">
        <v>93</v>
      </c>
      <c r="J600" s="90">
        <v>157</v>
      </c>
      <c r="K600" s="90" t="s">
        <v>85</v>
      </c>
      <c r="L600" s="90" t="s">
        <v>1590</v>
      </c>
      <c r="M600" s="90" t="s">
        <v>119</v>
      </c>
      <c r="N600" s="24" t="s">
        <v>333</v>
      </c>
      <c r="O600" s="24" t="str">
        <f>IF(ISNUMBER(SEARCH("Cancer",N600)),"Cancer",IF(ISNUMBER(SEARCH("health",N600)),"Public health",IF(ISNUMBER(SEARCH("disabilities",N600)),"Disabilities","Other")))</f>
        <v>Public health</v>
      </c>
      <c r="P600" s="126">
        <v>139008240</v>
      </c>
      <c r="Q600" s="90" t="s">
        <v>85</v>
      </c>
      <c r="R600" s="90" t="str">
        <f>IF(P600&gt;20000000,"B","A")</f>
        <v>B</v>
      </c>
      <c r="S600" s="90" t="s">
        <v>90</v>
      </c>
      <c r="T600" s="90" t="s">
        <v>119</v>
      </c>
      <c r="U600" s="90" t="s">
        <v>119</v>
      </c>
      <c r="V600" s="90" t="s">
        <v>119</v>
      </c>
      <c r="W600" s="90" t="s">
        <v>119</v>
      </c>
      <c r="X600" s="90" t="s">
        <v>119</v>
      </c>
      <c r="Y600" s="90" t="s">
        <v>119</v>
      </c>
      <c r="Z600" s="90" t="s">
        <v>119</v>
      </c>
      <c r="AA600" s="90" t="s">
        <v>119</v>
      </c>
      <c r="AB600" s="90" t="s">
        <v>119</v>
      </c>
      <c r="AC600" s="90" t="s">
        <v>119</v>
      </c>
      <c r="AD600" s="90" t="s">
        <v>119</v>
      </c>
      <c r="AE600" s="24">
        <v>0</v>
      </c>
      <c r="AF600" s="90">
        <v>0</v>
      </c>
      <c r="AG600" s="24">
        <v>0</v>
      </c>
      <c r="AH600" s="90">
        <v>90963</v>
      </c>
      <c r="AI600" s="24" t="s">
        <v>102</v>
      </c>
      <c r="AJ600" s="24" t="s">
        <v>1526</v>
      </c>
      <c r="AK600" s="90" t="s">
        <v>85</v>
      </c>
      <c r="AL600" s="90">
        <v>243314</v>
      </c>
      <c r="AM600" s="90" t="s">
        <v>81</v>
      </c>
      <c r="AN600" s="90" t="s">
        <v>1588</v>
      </c>
      <c r="AO600" s="125" t="s">
        <v>781</v>
      </c>
      <c r="AP600" s="24" t="s">
        <v>333</v>
      </c>
      <c r="AQ600" s="90" t="s">
        <v>1590</v>
      </c>
      <c r="AR600" s="24" t="s">
        <v>333</v>
      </c>
      <c r="AS600" s="90" t="s">
        <v>119</v>
      </c>
      <c r="AT600" s="24" t="s">
        <v>102</v>
      </c>
      <c r="AU600" s="90" t="s">
        <v>119</v>
      </c>
      <c r="AV600" s="90" t="str">
        <f>IF(ISNUMBER(SEARCH("disagree",AE600)),"N","Y")</f>
        <v>Y</v>
      </c>
      <c r="AW600" s="90" t="s">
        <v>119</v>
      </c>
      <c r="AX600" s="24" t="s">
        <v>119</v>
      </c>
      <c r="AY600" s="90" t="str">
        <f>CONCATENATE(AZ600,BA600,BB600,BC600)</f>
        <v/>
      </c>
      <c r="AZ600" s="90" t="str">
        <f>IF(ISNUMBER(SEARCH("Y",AC600)),"R","")</f>
        <v/>
      </c>
      <c r="BA600" s="90" t="str">
        <f>IF(ISNUMBER(SEARCH("Y",Y600)),"M","")</f>
        <v/>
      </c>
      <c r="BB600" s="90" t="str">
        <f>IF(ISNUMBER(SEARCH("Y",AB600)),"QC","")</f>
        <v/>
      </c>
      <c r="BC600" s="90" t="str">
        <f>IF(ISNUMBER(SEARCH("Y",Z600)),"S","")</f>
        <v/>
      </c>
      <c r="BD600" s="90"/>
      <c r="BE600" s="24" t="s">
        <v>119</v>
      </c>
      <c r="BF600" s="125" t="str">
        <f>IF(AND(AW600&gt;=56543,AW600&lt;=76543,LEN(AW600)&gt;0),"3 Feb 2020",IF(AND(AW600&gt;=66544,AW600&lt;=99999,LEN(AW600)&gt;0),"12 Sep 2020",""))</f>
        <v/>
      </c>
      <c r="BG600" s="125" t="str">
        <f>IF((AND(BF600="3 Feb 2020",LEN(BF600)&gt;0)),"Completed",IF((AND(BF600="12 Sep 2020",LEN(BF600)&gt;0)),"Pending",""))</f>
        <v/>
      </c>
      <c r="BH600" s="90" t="str">
        <f>IF((AND(BF600="3 Feb 2020",LEN(BF600)&gt;0)),"3 Feb 2020","")</f>
        <v/>
      </c>
      <c r="BI600" s="90">
        <v>243314</v>
      </c>
      <c r="BJ600" s="90" t="str">
        <f>L600</f>
        <v>4T98GT844334-20</v>
      </c>
      <c r="BK600" s="127">
        <v>43508</v>
      </c>
      <c r="BL600" s="127">
        <v>44239</v>
      </c>
      <c r="BM600" s="128">
        <f>P600*1.1</f>
        <v>152909064</v>
      </c>
      <c r="BN600" s="129">
        <f>P600*0.9</f>
        <v>125107416</v>
      </c>
      <c r="BO600" s="130">
        <f>P600*0.8</f>
        <v>111206592</v>
      </c>
      <c r="BP600" s="90">
        <f>IF(Z600="Y",BM600*0.4,BM600*1.05)</f>
        <v>160554517.20000002</v>
      </c>
      <c r="BQ600" s="90">
        <f>BP600*0.8</f>
        <v>128443613.76000002</v>
      </c>
      <c r="BR600" s="90" t="str">
        <f>IF(ISNUMBER(SEARCH("subrecipient",AI596)),P600*0.6,"")</f>
        <v/>
      </c>
      <c r="BS600" s="90">
        <v>243314</v>
      </c>
      <c r="BT600" s="90" t="str">
        <f>BJ600</f>
        <v>4T98GT844334-20</v>
      </c>
      <c r="BU600" s="127">
        <f>BK600</f>
        <v>43508</v>
      </c>
      <c r="BV600" s="127">
        <f>BL600</f>
        <v>44239</v>
      </c>
      <c r="BW600" s="90" t="str">
        <f>H600</f>
        <v>ACF</v>
      </c>
      <c r="BX600" s="90" t="str">
        <f>IF(H600="NATIONAL HEMOPHILIA FOUNDATION","Non Federal","Federal")</f>
        <v>Federal</v>
      </c>
      <c r="BY600" s="128">
        <f>BM600</f>
        <v>152909064</v>
      </c>
      <c r="BZ600" s="90" t="str">
        <f>IF(LEN(BR600)&gt;0,1,"")</f>
        <v/>
      </c>
      <c r="CA600" s="90" t="str">
        <f>IF(LEN(BR600)&gt;0,"VIRAL HEPATITIS PROJECT","")</f>
        <v/>
      </c>
      <c r="CB600" s="129" t="str">
        <f>IF(LEN(BR600)&gt;0,BM600*0.7,"")</f>
        <v/>
      </c>
      <c r="CC600" s="90">
        <f>BP600</f>
        <v>160554517.20000002</v>
      </c>
      <c r="CD600" s="90" t="str">
        <f>IF(LEN(BR600)&gt;0,"70%","")</f>
        <v/>
      </c>
      <c r="CE600" s="90">
        <f>BS600</f>
        <v>243314</v>
      </c>
      <c r="CF600" s="90" t="str">
        <f>CA600</f>
        <v/>
      </c>
      <c r="CG600" s="90"/>
      <c r="CH600" s="90"/>
      <c r="CI600" s="90"/>
      <c r="CJ600" s="90"/>
      <c r="CK600" s="90"/>
      <c r="CL600" s="90"/>
      <c r="CM600" s="90"/>
      <c r="CN600" s="90"/>
      <c r="CO600" s="90"/>
      <c r="CP600" s="90"/>
      <c r="CQ600" s="90"/>
      <c r="CR600" s="90"/>
      <c r="CS600" s="90"/>
      <c r="CT600" s="137"/>
    </row>
    <row r="601" spans="1:98" ht="120">
      <c r="A601" s="89">
        <v>243314</v>
      </c>
      <c r="B601" s="90">
        <v>2020</v>
      </c>
      <c r="C601" s="90" t="s">
        <v>81</v>
      </c>
      <c r="D601" s="90" t="s">
        <v>1588</v>
      </c>
      <c r="E601" s="125" t="s">
        <v>784</v>
      </c>
      <c r="F601" s="24" t="s">
        <v>1589</v>
      </c>
      <c r="G601" s="90" t="s">
        <v>85</v>
      </c>
      <c r="H601" s="90" t="s">
        <v>150</v>
      </c>
      <c r="I601" s="90">
        <v>93</v>
      </c>
      <c r="J601" s="90">
        <v>157</v>
      </c>
      <c r="K601" s="90" t="s">
        <v>85</v>
      </c>
      <c r="L601" s="90" t="s">
        <v>1590</v>
      </c>
      <c r="M601" s="90" t="s">
        <v>119</v>
      </c>
      <c r="N601" s="24" t="s">
        <v>333</v>
      </c>
      <c r="O601" s="24" t="str">
        <f>IF(ISNUMBER(SEARCH("Cancer",N601)),"Cancer",IF(ISNUMBER(SEARCH("health",N601)),"Public health",IF(ISNUMBER(SEARCH("disabilities",N601)),"Disabilities","Other")))</f>
        <v>Public health</v>
      </c>
      <c r="P601" s="126">
        <v>139008240</v>
      </c>
      <c r="Q601" s="90" t="s">
        <v>85</v>
      </c>
      <c r="R601" s="90" t="str">
        <f>IF(P601&gt;20000000,"B","A")</f>
        <v>B</v>
      </c>
      <c r="S601" s="90" t="s">
        <v>90</v>
      </c>
      <c r="T601" s="90" t="s">
        <v>119</v>
      </c>
      <c r="U601" s="90" t="s">
        <v>119</v>
      </c>
      <c r="V601" s="90" t="s">
        <v>119</v>
      </c>
      <c r="W601" s="90" t="s">
        <v>119</v>
      </c>
      <c r="X601" s="90" t="s">
        <v>119</v>
      </c>
      <c r="Y601" s="90" t="s">
        <v>119</v>
      </c>
      <c r="Z601" s="90" t="s">
        <v>119</v>
      </c>
      <c r="AA601" s="90" t="s">
        <v>119</v>
      </c>
      <c r="AB601" s="90" t="s">
        <v>119</v>
      </c>
      <c r="AC601" s="90" t="s">
        <v>119</v>
      </c>
      <c r="AD601" s="90" t="s">
        <v>119</v>
      </c>
      <c r="AE601" s="24">
        <v>0</v>
      </c>
      <c r="AF601" s="90">
        <v>0</v>
      </c>
      <c r="AG601" s="24">
        <v>0</v>
      </c>
      <c r="AH601" s="90">
        <v>90964</v>
      </c>
      <c r="AI601" s="24" t="s">
        <v>1527</v>
      </c>
      <c r="AJ601" s="24" t="s">
        <v>1592</v>
      </c>
      <c r="AK601" s="90" t="s">
        <v>85</v>
      </c>
      <c r="AL601" s="90">
        <v>243314</v>
      </c>
      <c r="AM601" s="90" t="s">
        <v>81</v>
      </c>
      <c r="AN601" s="90" t="s">
        <v>1588</v>
      </c>
      <c r="AO601" s="125" t="s">
        <v>784</v>
      </c>
      <c r="AP601" s="24" t="s">
        <v>333</v>
      </c>
      <c r="AQ601" s="90" t="s">
        <v>1590</v>
      </c>
      <c r="AR601" s="24" t="s">
        <v>333</v>
      </c>
      <c r="AS601" s="90" t="s">
        <v>119</v>
      </c>
      <c r="AT601" s="24" t="s">
        <v>1527</v>
      </c>
      <c r="AU601" s="90" t="s">
        <v>119</v>
      </c>
      <c r="AV601" s="90" t="str">
        <f>IF(ISNUMBER(SEARCH("disagree",AE601)),"N","Y")</f>
        <v>Y</v>
      </c>
      <c r="AW601" s="90" t="s">
        <v>119</v>
      </c>
      <c r="AX601" s="24" t="s">
        <v>119</v>
      </c>
      <c r="AY601" s="90" t="str">
        <f>CONCATENATE(AZ601,BA601,BB601,BC601)</f>
        <v/>
      </c>
      <c r="AZ601" s="90" t="str">
        <f>IF(ISNUMBER(SEARCH("Y",AC601)),"R","")</f>
        <v/>
      </c>
      <c r="BA601" s="90" t="str">
        <f>IF(ISNUMBER(SEARCH("Y",Y601)),"M","")</f>
        <v/>
      </c>
      <c r="BB601" s="90" t="str">
        <f>IF(ISNUMBER(SEARCH("Y",AB601)),"QC","")</f>
        <v/>
      </c>
      <c r="BC601" s="90" t="str">
        <f>IF(ISNUMBER(SEARCH("Y",Z601)),"S","")</f>
        <v/>
      </c>
      <c r="BD601" s="90"/>
      <c r="BE601" s="24" t="s">
        <v>119</v>
      </c>
      <c r="BF601" s="125" t="str">
        <f>IF(AND(AW601&gt;=56543,AW601&lt;=76543,LEN(AW601)&gt;0),"3 Feb 2020",IF(AND(AW601&gt;=66544,AW601&lt;=99999,LEN(AW601)&gt;0),"12 Sep 2020",""))</f>
        <v/>
      </c>
      <c r="BG601" s="125" t="str">
        <f>IF((AND(BF601="3 Feb 2020",LEN(BF601)&gt;0)),"Completed",IF((AND(BF601="12 Sep 2020",LEN(BF601)&gt;0)),"Pending",""))</f>
        <v/>
      </c>
      <c r="BH601" s="90" t="str">
        <f>IF((AND(BF601="3 Feb 2020",LEN(BF601)&gt;0)),"3 Feb 2020","")</f>
        <v/>
      </c>
      <c r="BI601" s="90">
        <v>243314</v>
      </c>
      <c r="BJ601" s="90" t="str">
        <f>L601</f>
        <v>4T98GT844334-20</v>
      </c>
      <c r="BK601" s="127">
        <v>43508</v>
      </c>
      <c r="BL601" s="127">
        <v>44239</v>
      </c>
      <c r="BM601" s="128">
        <f>P601*1.1</f>
        <v>152909064</v>
      </c>
      <c r="BN601" s="129">
        <f>P601*0.9</f>
        <v>125107416</v>
      </c>
      <c r="BO601" s="130">
        <f>P601*0.8</f>
        <v>111206592</v>
      </c>
      <c r="BP601" s="90">
        <f>IF(Z601="Y",BM601*0.4,BM601*1.05)</f>
        <v>160554517.20000002</v>
      </c>
      <c r="BQ601" s="90">
        <f>BP601*0.8</f>
        <v>128443613.76000002</v>
      </c>
      <c r="BR601" s="90" t="str">
        <f>IF(ISNUMBER(SEARCH("subrecipient",AI597)),P601*0.6,"")</f>
        <v/>
      </c>
      <c r="BS601" s="90">
        <v>243314</v>
      </c>
      <c r="BT601" s="90" t="str">
        <f>BJ601</f>
        <v>4T98GT844334-20</v>
      </c>
      <c r="BU601" s="127">
        <f>BK601</f>
        <v>43508</v>
      </c>
      <c r="BV601" s="127">
        <f>BL601</f>
        <v>44239</v>
      </c>
      <c r="BW601" s="90" t="str">
        <f>H601</f>
        <v>ACF</v>
      </c>
      <c r="BX601" s="90" t="str">
        <f>IF(H601="NATIONAL HEMOPHILIA FOUNDATION","Non Federal","Federal")</f>
        <v>Federal</v>
      </c>
      <c r="BY601" s="128">
        <f>BM601</f>
        <v>152909064</v>
      </c>
      <c r="BZ601" s="90" t="str">
        <f>IF(LEN(BR601)&gt;0,1,"")</f>
        <v/>
      </c>
      <c r="CA601" s="90" t="str">
        <f>IF(LEN(BR601)&gt;0,"VIRAL HEPATITIS PROJECT","")</f>
        <v/>
      </c>
      <c r="CB601" s="129" t="str">
        <f>IF(LEN(BR601)&gt;0,BM601*0.7,"")</f>
        <v/>
      </c>
      <c r="CC601" s="90">
        <f>BP601</f>
        <v>160554517.20000002</v>
      </c>
      <c r="CD601" s="90" t="str">
        <f>IF(LEN(BR601)&gt;0,"70%","")</f>
        <v/>
      </c>
      <c r="CE601" s="90">
        <f>BS601</f>
        <v>243314</v>
      </c>
      <c r="CF601" s="90" t="str">
        <f>CA601</f>
        <v/>
      </c>
      <c r="CG601" s="90"/>
      <c r="CH601" s="90"/>
      <c r="CI601" s="90"/>
      <c r="CJ601" s="90"/>
      <c r="CK601" s="90"/>
      <c r="CL601" s="90"/>
      <c r="CM601" s="90"/>
      <c r="CN601" s="90"/>
      <c r="CO601" s="90"/>
      <c r="CP601" s="90"/>
      <c r="CQ601" s="90"/>
      <c r="CR601" s="90"/>
      <c r="CS601" s="90"/>
      <c r="CT601" s="137"/>
    </row>
    <row r="602" spans="1:98" ht="210">
      <c r="A602" s="89">
        <v>243325</v>
      </c>
      <c r="B602" s="90">
        <v>2020</v>
      </c>
      <c r="C602" s="90" t="s">
        <v>81</v>
      </c>
      <c r="D602" s="90" t="s">
        <v>1593</v>
      </c>
      <c r="E602" s="125" t="s">
        <v>790</v>
      </c>
      <c r="F602" s="24" t="s">
        <v>1594</v>
      </c>
      <c r="G602" s="90" t="s">
        <v>85</v>
      </c>
      <c r="H602" s="90" t="s">
        <v>86</v>
      </c>
      <c r="I602" s="90">
        <v>93</v>
      </c>
      <c r="J602" s="90">
        <v>157</v>
      </c>
      <c r="K602" s="90" t="s">
        <v>85</v>
      </c>
      <c r="L602" s="90" t="s">
        <v>1595</v>
      </c>
      <c r="M602" s="90" t="s">
        <v>119</v>
      </c>
      <c r="N602" s="24" t="s">
        <v>1596</v>
      </c>
      <c r="O602" s="24" t="str">
        <f>IF(ISNUMBER(SEARCH("Cancer",N602)),"Cancer",IF(ISNUMBER(SEARCH("health",N602)),"Public health",IF(ISNUMBER(SEARCH("disabilities",N602)),"Disabilities","Other")))</f>
        <v>Other</v>
      </c>
      <c r="P602" s="126">
        <v>93018480</v>
      </c>
      <c r="Q602" s="90" t="s">
        <v>85</v>
      </c>
      <c r="R602" s="90" t="str">
        <f>IF(P602&gt;20000000,"B","A")</f>
        <v>B</v>
      </c>
      <c r="S602" s="90" t="s">
        <v>90</v>
      </c>
      <c r="T602" s="90" t="s">
        <v>119</v>
      </c>
      <c r="U602" s="90" t="s">
        <v>119</v>
      </c>
      <c r="V602" s="90" t="s">
        <v>119</v>
      </c>
      <c r="W602" s="90" t="s">
        <v>119</v>
      </c>
      <c r="X602" s="90" t="s">
        <v>119</v>
      </c>
      <c r="Y602" s="90" t="s">
        <v>119</v>
      </c>
      <c r="Z602" s="90" t="s">
        <v>119</v>
      </c>
      <c r="AA602" s="90" t="s">
        <v>119</v>
      </c>
      <c r="AB602" s="90" t="s">
        <v>119</v>
      </c>
      <c r="AC602" s="90" t="s">
        <v>119</v>
      </c>
      <c r="AD602" s="90" t="s">
        <v>119</v>
      </c>
      <c r="AE602" s="24">
        <v>0</v>
      </c>
      <c r="AF602" s="90">
        <v>0</v>
      </c>
      <c r="AG602" s="24">
        <v>0</v>
      </c>
      <c r="AH602" s="90">
        <v>87090</v>
      </c>
      <c r="AI602" s="24" t="s">
        <v>94</v>
      </c>
      <c r="AJ602" s="24" t="s">
        <v>1597</v>
      </c>
      <c r="AK602" s="90" t="s">
        <v>85</v>
      </c>
      <c r="AL602" s="90">
        <v>243325</v>
      </c>
      <c r="AM602" s="90" t="s">
        <v>81</v>
      </c>
      <c r="AN602" s="90" t="s">
        <v>1593</v>
      </c>
      <c r="AO602" s="125" t="s">
        <v>790</v>
      </c>
      <c r="AP602" s="24" t="s">
        <v>1596</v>
      </c>
      <c r="AQ602" s="90" t="s">
        <v>1595</v>
      </c>
      <c r="AR602" s="24" t="s">
        <v>1596</v>
      </c>
      <c r="AS602" s="90" t="s">
        <v>119</v>
      </c>
      <c r="AT602" s="24" t="s">
        <v>94</v>
      </c>
      <c r="AU602" s="90" t="s">
        <v>119</v>
      </c>
      <c r="AV602" s="90" t="s">
        <v>85</v>
      </c>
      <c r="AW602" s="90" t="s">
        <v>119</v>
      </c>
      <c r="AX602" s="24" t="s">
        <v>119</v>
      </c>
      <c r="AY602" s="90" t="str">
        <f>CONCATENATE(AZ602,BA602,BB602,BC602)</f>
        <v/>
      </c>
      <c r="AZ602" s="90" t="str">
        <f>IF(ISNUMBER(SEARCH("Y",AC602)),"R","")</f>
        <v/>
      </c>
      <c r="BA602" s="90" t="str">
        <f>IF(ISNUMBER(SEARCH("Y",Y602)),"M","")</f>
        <v/>
      </c>
      <c r="BB602" s="90" t="str">
        <f>IF(ISNUMBER(SEARCH("Y",AB602)),"QC","")</f>
        <v/>
      </c>
      <c r="BC602" s="90" t="str">
        <f>IF(ISNUMBER(SEARCH("Y",Z602)),"S","")</f>
        <v/>
      </c>
      <c r="BD602" s="90"/>
      <c r="BE602" s="24" t="s">
        <v>119</v>
      </c>
      <c r="BF602" s="125" t="str">
        <f>IF(AND(AW602&gt;=56543,AW602&lt;=76543,LEN(AW602)&gt;0),"3 Feb 2020",IF(AND(AW602&gt;=66544,AW602&lt;=99999,LEN(AW602)&gt;0),"12 Sep 2020",""))</f>
        <v/>
      </c>
      <c r="BG602" s="125" t="str">
        <f>IF((AND(BF602="3 Feb 2020",LEN(BF602)&gt;0)),"Completed",IF((AND(BF602="12 Sep 2020",LEN(BF602)&gt;0)),"Pending",""))</f>
        <v/>
      </c>
      <c r="BH602" s="90" t="str">
        <f>IF((AND(BF602="3 Feb 2020",LEN(BF602)&gt;0)),"3 Feb 2020","")</f>
        <v/>
      </c>
      <c r="BI602" s="90">
        <v>243325</v>
      </c>
      <c r="BJ602" s="90" t="str">
        <f>L602</f>
        <v>3T65AT844334-74</v>
      </c>
      <c r="BK602" s="127">
        <v>43508</v>
      </c>
      <c r="BL602" s="127">
        <v>44239</v>
      </c>
      <c r="BM602" s="128">
        <f>P602*1.1</f>
        <v>102320328.00000001</v>
      </c>
      <c r="BN602" s="129">
        <f>P602*0.9</f>
        <v>83716632</v>
      </c>
      <c r="BO602" s="130">
        <f>P602*0.8</f>
        <v>74414784</v>
      </c>
      <c r="BP602" s="90">
        <f>IF(Z602="Y",BM602*0.4,BM602*1.05)</f>
        <v>107436344.40000002</v>
      </c>
      <c r="BQ602" s="90">
        <f>BP602*0.8</f>
        <v>85949075.520000026</v>
      </c>
      <c r="BR602" s="90" t="str">
        <f>IF(ISNUMBER(SEARCH("subrecipient",AI598)),P602*0.6,"")</f>
        <v/>
      </c>
      <c r="BS602" s="90">
        <v>243325</v>
      </c>
      <c r="BT602" s="90" t="str">
        <f>BJ602</f>
        <v>3T65AT844334-74</v>
      </c>
      <c r="BU602" s="127">
        <f>BK602</f>
        <v>43508</v>
      </c>
      <c r="BV602" s="127">
        <f>BL602</f>
        <v>44239</v>
      </c>
      <c r="BW602" s="90" t="str">
        <f>H602</f>
        <v>CDC</v>
      </c>
      <c r="BX602" s="90" t="str">
        <f>IF(H602="NATIONAL HEMOPHILIA FOUNDATION","Non Federal","Federal")</f>
        <v>Federal</v>
      </c>
      <c r="BY602" s="128">
        <f>BM602</f>
        <v>102320328.00000001</v>
      </c>
      <c r="BZ602" s="90" t="str">
        <f>IF(LEN(BR602)&gt;0,1,"")</f>
        <v/>
      </c>
      <c r="CA602" s="90" t="str">
        <f>IF(LEN(BR602)&gt;0,"VIRAL HEPATITIS PROJECT","")</f>
        <v/>
      </c>
      <c r="CB602" s="129" t="str">
        <f>IF(LEN(BR602)&gt;0,BM602*0.7,"")</f>
        <v/>
      </c>
      <c r="CC602" s="90">
        <f>BP602</f>
        <v>107436344.40000002</v>
      </c>
      <c r="CD602" s="90" t="str">
        <f>IF(LEN(BR602)&gt;0,"70%","")</f>
        <v/>
      </c>
      <c r="CE602" s="90">
        <f>BS602</f>
        <v>243325</v>
      </c>
      <c r="CF602" s="90" t="str">
        <f>CA602</f>
        <v/>
      </c>
      <c r="CG602" s="90"/>
      <c r="CH602" s="90"/>
      <c r="CI602" s="90"/>
      <c r="CJ602" s="90"/>
      <c r="CK602" s="90"/>
      <c r="CL602" s="90"/>
      <c r="CM602" s="90"/>
      <c r="CN602" s="90"/>
      <c r="CO602" s="90"/>
      <c r="CP602" s="90"/>
      <c r="CQ602" s="90"/>
      <c r="CR602" s="90"/>
      <c r="CS602" s="90"/>
      <c r="CT602" s="137"/>
    </row>
    <row r="603" spans="1:98" ht="45">
      <c r="A603" s="89">
        <v>243325</v>
      </c>
      <c r="B603" s="90">
        <v>2020</v>
      </c>
      <c r="C603" s="90" t="s">
        <v>81</v>
      </c>
      <c r="D603" s="90" t="s">
        <v>1593</v>
      </c>
      <c r="E603" s="125" t="s">
        <v>791</v>
      </c>
      <c r="F603" s="24" t="s">
        <v>1594</v>
      </c>
      <c r="G603" s="90" t="s">
        <v>85</v>
      </c>
      <c r="H603" s="90" t="s">
        <v>86</v>
      </c>
      <c r="I603" s="90">
        <v>93</v>
      </c>
      <c r="J603" s="90">
        <v>157</v>
      </c>
      <c r="K603" s="90" t="s">
        <v>85</v>
      </c>
      <c r="L603" s="90" t="s">
        <v>1595</v>
      </c>
      <c r="M603" s="90" t="s">
        <v>119</v>
      </c>
      <c r="N603" s="24" t="s">
        <v>1596</v>
      </c>
      <c r="O603" s="24" t="str">
        <f>IF(ISNUMBER(SEARCH("Cancer",N603)),"Cancer",IF(ISNUMBER(SEARCH("health",N603)),"Public health",IF(ISNUMBER(SEARCH("disabilities",N603)),"Disabilities","Other")))</f>
        <v>Other</v>
      </c>
      <c r="P603" s="126">
        <v>93018480</v>
      </c>
      <c r="Q603" s="90" t="s">
        <v>85</v>
      </c>
      <c r="R603" s="90" t="str">
        <f>IF(P603&gt;20000000,"B","A")</f>
        <v>B</v>
      </c>
      <c r="S603" s="90" t="s">
        <v>90</v>
      </c>
      <c r="T603" s="90" t="s">
        <v>119</v>
      </c>
      <c r="U603" s="90" t="s">
        <v>119</v>
      </c>
      <c r="V603" s="90" t="s">
        <v>119</v>
      </c>
      <c r="W603" s="90" t="s">
        <v>119</v>
      </c>
      <c r="X603" s="90" t="s">
        <v>119</v>
      </c>
      <c r="Y603" s="90" t="s">
        <v>119</v>
      </c>
      <c r="Z603" s="90" t="s">
        <v>119</v>
      </c>
      <c r="AA603" s="90" t="s">
        <v>119</v>
      </c>
      <c r="AB603" s="90" t="s">
        <v>119</v>
      </c>
      <c r="AC603" s="90" t="s">
        <v>119</v>
      </c>
      <c r="AD603" s="90" t="s">
        <v>119</v>
      </c>
      <c r="AE603" s="24">
        <v>0</v>
      </c>
      <c r="AF603" s="90">
        <v>0</v>
      </c>
      <c r="AG603" s="24">
        <v>0</v>
      </c>
      <c r="AH603" s="90">
        <v>87089</v>
      </c>
      <c r="AI603" s="24" t="s">
        <v>102</v>
      </c>
      <c r="AJ603" s="24" t="s">
        <v>103</v>
      </c>
      <c r="AK603" s="90" t="s">
        <v>85</v>
      </c>
      <c r="AL603" s="90">
        <v>243325</v>
      </c>
      <c r="AM603" s="90" t="s">
        <v>81</v>
      </c>
      <c r="AN603" s="90" t="s">
        <v>1593</v>
      </c>
      <c r="AO603" s="125" t="s">
        <v>791</v>
      </c>
      <c r="AP603" s="24" t="s">
        <v>1596</v>
      </c>
      <c r="AQ603" s="90" t="s">
        <v>1595</v>
      </c>
      <c r="AR603" s="24" t="s">
        <v>1596</v>
      </c>
      <c r="AS603" s="90" t="s">
        <v>119</v>
      </c>
      <c r="AT603" s="24" t="s">
        <v>102</v>
      </c>
      <c r="AU603" s="90" t="s">
        <v>119</v>
      </c>
      <c r="AV603" s="90" t="s">
        <v>85</v>
      </c>
      <c r="AW603" s="90" t="s">
        <v>119</v>
      </c>
      <c r="AX603" s="24" t="s">
        <v>119</v>
      </c>
      <c r="AY603" s="90" t="str">
        <f>CONCATENATE(AZ603,BA603,BB603,BC603)</f>
        <v/>
      </c>
      <c r="AZ603" s="90" t="str">
        <f>IF(ISNUMBER(SEARCH("Y",AC603)),"R","")</f>
        <v/>
      </c>
      <c r="BA603" s="90" t="str">
        <f>IF(ISNUMBER(SEARCH("Y",Y603)),"M","")</f>
        <v/>
      </c>
      <c r="BB603" s="90" t="str">
        <f>IF(ISNUMBER(SEARCH("Y",AB603)),"QC","")</f>
        <v/>
      </c>
      <c r="BC603" s="90" t="str">
        <f>IF(ISNUMBER(SEARCH("Y",Z603)),"S","")</f>
        <v/>
      </c>
      <c r="BD603" s="90"/>
      <c r="BE603" s="24" t="s">
        <v>119</v>
      </c>
      <c r="BF603" s="125" t="str">
        <f>IF(AND(AW603&gt;=56543,AW603&lt;=76543,LEN(AW603)&gt;0),"3 Feb 2020",IF(AND(AW603&gt;=66544,AW603&lt;=99999,LEN(AW603)&gt;0),"12 Sep 2020",""))</f>
        <v/>
      </c>
      <c r="BG603" s="125" t="str">
        <f>IF((AND(BF603="3 Feb 2020",LEN(BF603)&gt;0)),"Completed",IF((AND(BF603="12 Sep 2020",LEN(BF603)&gt;0)),"Pending",""))</f>
        <v/>
      </c>
      <c r="BH603" s="90" t="str">
        <f>IF((AND(BF603="3 Feb 2020",LEN(BF603)&gt;0)),"3 Feb 2020","")</f>
        <v/>
      </c>
      <c r="BI603" s="90">
        <v>243325</v>
      </c>
      <c r="BJ603" s="90" t="str">
        <f>L603</f>
        <v>3T65AT844334-74</v>
      </c>
      <c r="BK603" s="127">
        <v>43508</v>
      </c>
      <c r="BL603" s="127">
        <v>44239</v>
      </c>
      <c r="BM603" s="128">
        <f>P603*1.1</f>
        <v>102320328.00000001</v>
      </c>
      <c r="BN603" s="129">
        <f>P603*0.9</f>
        <v>83716632</v>
      </c>
      <c r="BO603" s="130">
        <f>P603*0.8</f>
        <v>74414784</v>
      </c>
      <c r="BP603" s="90">
        <f>IF(Z603="Y",BM603*0.4,BM603*1.05)</f>
        <v>107436344.40000002</v>
      </c>
      <c r="BQ603" s="90">
        <f>BP603*0.8</f>
        <v>85949075.520000026</v>
      </c>
      <c r="BR603" s="90" t="str">
        <f>IF(ISNUMBER(SEARCH("subrecipient",AI599)),P603*0.6,"")</f>
        <v/>
      </c>
      <c r="BS603" s="90">
        <v>243325</v>
      </c>
      <c r="BT603" s="90" t="str">
        <f>BJ603</f>
        <v>3T65AT844334-74</v>
      </c>
      <c r="BU603" s="127">
        <f>BK603</f>
        <v>43508</v>
      </c>
      <c r="BV603" s="127">
        <f>BL603</f>
        <v>44239</v>
      </c>
      <c r="BW603" s="90" t="str">
        <f>H603</f>
        <v>CDC</v>
      </c>
      <c r="BX603" s="90" t="str">
        <f>IF(H603="NATIONAL HEMOPHILIA FOUNDATION","Non Federal","Federal")</f>
        <v>Federal</v>
      </c>
      <c r="BY603" s="128">
        <f>BM603</f>
        <v>102320328.00000001</v>
      </c>
      <c r="BZ603" s="90" t="str">
        <f>IF(LEN(BR603)&gt;0,1,"")</f>
        <v/>
      </c>
      <c r="CA603" s="90" t="str">
        <f>IF(LEN(BR603)&gt;0,"VIRAL HEPATITIS PROJECT","")</f>
        <v/>
      </c>
      <c r="CB603" s="129" t="str">
        <f>IF(LEN(BR603)&gt;0,BM603*0.7,"")</f>
        <v/>
      </c>
      <c r="CC603" s="90">
        <f>BP603</f>
        <v>107436344.40000002</v>
      </c>
      <c r="CD603" s="90" t="str">
        <f>IF(LEN(BR603)&gt;0,"70%","")</f>
        <v/>
      </c>
      <c r="CE603" s="90">
        <f>BS603</f>
        <v>243325</v>
      </c>
      <c r="CF603" s="90" t="str">
        <f>CA603</f>
        <v/>
      </c>
      <c r="CG603" s="90"/>
      <c r="CH603" s="90"/>
      <c r="CI603" s="90"/>
      <c r="CJ603" s="90"/>
      <c r="CK603" s="90"/>
      <c r="CL603" s="90"/>
      <c r="CM603" s="90"/>
      <c r="CN603" s="90"/>
      <c r="CO603" s="90"/>
      <c r="CP603" s="90"/>
      <c r="CQ603" s="90"/>
      <c r="CR603" s="90"/>
      <c r="CS603" s="90"/>
      <c r="CT603" s="137"/>
    </row>
    <row r="604" spans="1:98" ht="90">
      <c r="A604" s="89">
        <v>243501</v>
      </c>
      <c r="B604" s="90">
        <v>2020</v>
      </c>
      <c r="C604" s="90" t="s">
        <v>81</v>
      </c>
      <c r="D604" s="90" t="s">
        <v>1598</v>
      </c>
      <c r="E604" s="125" t="s">
        <v>793</v>
      </c>
      <c r="F604" s="24" t="s">
        <v>1599</v>
      </c>
      <c r="G604" s="90" t="s">
        <v>85</v>
      </c>
      <c r="H604" s="90" t="s">
        <v>117</v>
      </c>
      <c r="I604" s="90">
        <v>93</v>
      </c>
      <c r="J604" s="90">
        <v>157</v>
      </c>
      <c r="K604" s="90" t="s">
        <v>85</v>
      </c>
      <c r="L604" s="90" t="s">
        <v>1600</v>
      </c>
      <c r="M604" s="90" t="s">
        <v>119</v>
      </c>
      <c r="N604" s="24" t="s">
        <v>1601</v>
      </c>
      <c r="O604" s="24" t="str">
        <f>IF(ISNUMBER(SEARCH("Cancer",N604)),"Cancer",IF(ISNUMBER(SEARCH("health",N604)),"Public health",IF(ISNUMBER(SEARCH("disabilities",N604)),"Disabilities","Other")))</f>
        <v>Other</v>
      </c>
      <c r="P604" s="126">
        <v>173255355</v>
      </c>
      <c r="Q604" s="90" t="s">
        <v>85</v>
      </c>
      <c r="R604" s="90" t="str">
        <f>IF(P604&gt;20000000,"B","A")</f>
        <v>B</v>
      </c>
      <c r="S604" s="90" t="s">
        <v>90</v>
      </c>
      <c r="T604" s="90" t="s">
        <v>119</v>
      </c>
      <c r="U604" s="90" t="s">
        <v>119</v>
      </c>
      <c r="V604" s="90" t="s">
        <v>119</v>
      </c>
      <c r="W604" s="90" t="s">
        <v>119</v>
      </c>
      <c r="X604" s="90" t="s">
        <v>119</v>
      </c>
      <c r="Y604" s="90" t="s">
        <v>119</v>
      </c>
      <c r="Z604" s="90" t="s">
        <v>119</v>
      </c>
      <c r="AA604" s="90" t="s">
        <v>119</v>
      </c>
      <c r="AB604" s="90" t="s">
        <v>119</v>
      </c>
      <c r="AC604" s="90" t="s">
        <v>119</v>
      </c>
      <c r="AD604" s="90" t="s">
        <v>119</v>
      </c>
      <c r="AE604" s="24">
        <v>0</v>
      </c>
      <c r="AF604" s="90">
        <v>0</v>
      </c>
      <c r="AG604" s="24">
        <v>0</v>
      </c>
      <c r="AH604" s="90">
        <v>88405</v>
      </c>
      <c r="AI604" s="24" t="s">
        <v>94</v>
      </c>
      <c r="AJ604" s="24" t="s">
        <v>873</v>
      </c>
      <c r="AK604" s="90" t="s">
        <v>85</v>
      </c>
      <c r="AL604" s="90">
        <v>243501</v>
      </c>
      <c r="AM604" s="90" t="s">
        <v>81</v>
      </c>
      <c r="AN604" s="90" t="s">
        <v>1598</v>
      </c>
      <c r="AO604" s="125" t="s">
        <v>793</v>
      </c>
      <c r="AP604" s="24" t="s">
        <v>1601</v>
      </c>
      <c r="AQ604" s="90" t="s">
        <v>1600</v>
      </c>
      <c r="AR604" s="24" t="s">
        <v>1601</v>
      </c>
      <c r="AS604" s="90" t="s">
        <v>119</v>
      </c>
      <c r="AT604" s="24" t="s">
        <v>94</v>
      </c>
      <c r="AU604" s="90" t="s">
        <v>119</v>
      </c>
      <c r="AV604" s="90" t="str">
        <f>IF(ISNUMBER(SEARCH("disagree",AE604)),"N","Y")</f>
        <v>Y</v>
      </c>
      <c r="AW604" s="90" t="s">
        <v>119</v>
      </c>
      <c r="AX604" s="24" t="s">
        <v>119</v>
      </c>
      <c r="AY604" s="90" t="str">
        <f>CONCATENATE(AZ604,BA604,BB604,BC604)</f>
        <v/>
      </c>
      <c r="AZ604" s="90" t="str">
        <f>IF(ISNUMBER(SEARCH("Y",AC604)),"R","")</f>
        <v/>
      </c>
      <c r="BA604" s="90" t="str">
        <f>IF(ISNUMBER(SEARCH("Y",Y604)),"M","")</f>
        <v/>
      </c>
      <c r="BB604" s="90" t="str">
        <f>IF(ISNUMBER(SEARCH("Y",AB604)),"QC","")</f>
        <v/>
      </c>
      <c r="BC604" s="90" t="str">
        <f>IF(ISNUMBER(SEARCH("Y",Z604)),"S","")</f>
        <v/>
      </c>
      <c r="BD604" s="90"/>
      <c r="BE604" s="24" t="s">
        <v>119</v>
      </c>
      <c r="BF604" s="125" t="str">
        <f>IF(AND(AW604&gt;=56543,AW604&lt;=76543,LEN(AW604)&gt;0),"3 Feb 2020",IF(AND(AW604&gt;=66544,AW604&lt;=99999,LEN(AW604)&gt;0),"12 Sep 2020",""))</f>
        <v/>
      </c>
      <c r="BG604" s="125" t="str">
        <f>IF((AND(BF604="3 Feb 2020",LEN(BF604)&gt;0)),"Completed",IF((AND(BF604="12 Sep 2020",LEN(BF604)&gt;0)),"Pending",""))</f>
        <v/>
      </c>
      <c r="BH604" s="90" t="str">
        <f>IF((AND(BF604="3 Feb 2020",LEN(BF604)&gt;0)),"3 Feb 2020","")</f>
        <v/>
      </c>
      <c r="BI604" s="90">
        <v>243501</v>
      </c>
      <c r="BJ604" s="90" t="str">
        <f>L604</f>
        <v>3S86BS845607-77</v>
      </c>
      <c r="BK604" s="127">
        <v>43508</v>
      </c>
      <c r="BL604" s="127">
        <v>44239</v>
      </c>
      <c r="BM604" s="128">
        <f>P604*1.1</f>
        <v>190580890.50000003</v>
      </c>
      <c r="BN604" s="129">
        <f>P604*0.9</f>
        <v>155929819.5</v>
      </c>
      <c r="BO604" s="130">
        <f>P604*0.8</f>
        <v>138604284</v>
      </c>
      <c r="BP604" s="90">
        <f>IF(Z604="Y",BM604*0.4,BM604*1.05)</f>
        <v>200109935.02500004</v>
      </c>
      <c r="BQ604" s="90">
        <f>BP604*0.8</f>
        <v>160087948.02000004</v>
      </c>
      <c r="BR604" s="90" t="str">
        <f>IF(ISNUMBER(SEARCH("subrecipient",AI600)),P604*0.6,"")</f>
        <v/>
      </c>
      <c r="BS604" s="90">
        <v>243501</v>
      </c>
      <c r="BT604" s="90" t="str">
        <f>BJ604</f>
        <v>3S86BS845607-77</v>
      </c>
      <c r="BU604" s="127">
        <f>BK604</f>
        <v>43508</v>
      </c>
      <c r="BV604" s="127">
        <f>BL604</f>
        <v>44239</v>
      </c>
      <c r="BW604" s="90" t="str">
        <f>H604</f>
        <v>NIH</v>
      </c>
      <c r="BX604" s="90" t="str">
        <f>IF(H604="NATIONAL HEMOPHILIA FOUNDATION","Non Federal","Federal")</f>
        <v>Federal</v>
      </c>
      <c r="BY604" s="128">
        <f>BM604</f>
        <v>190580890.50000003</v>
      </c>
      <c r="BZ604" s="90" t="str">
        <f>IF(LEN(BR604)&gt;0,1,"")</f>
        <v/>
      </c>
      <c r="CA604" s="90" t="str">
        <f>IF(LEN(BR604)&gt;0,"VIRAL HEPATITIS PROJECT","")</f>
        <v/>
      </c>
      <c r="CB604" s="129" t="str">
        <f>IF(LEN(BR604)&gt;0,BM604*0.7,"")</f>
        <v/>
      </c>
      <c r="CC604" s="90">
        <f>BP604</f>
        <v>200109935.02500004</v>
      </c>
      <c r="CD604" s="90" t="str">
        <f>IF(LEN(BR604)&gt;0,"70%","")</f>
        <v/>
      </c>
      <c r="CE604" s="90">
        <f>BS604</f>
        <v>243501</v>
      </c>
      <c r="CF604" s="90" t="str">
        <f>CA604</f>
        <v/>
      </c>
      <c r="CG604" s="90"/>
      <c r="CH604" s="90"/>
      <c r="CI604" s="90"/>
      <c r="CJ604" s="90"/>
      <c r="CK604" s="90"/>
      <c r="CL604" s="90"/>
      <c r="CM604" s="90"/>
      <c r="CN604" s="90"/>
      <c r="CO604" s="90"/>
      <c r="CP604" s="90"/>
      <c r="CQ604" s="90"/>
      <c r="CR604" s="90"/>
      <c r="CS604" s="90"/>
      <c r="CT604" s="137"/>
    </row>
    <row r="605" spans="1:98" ht="90">
      <c r="A605" s="89">
        <v>243501</v>
      </c>
      <c r="B605" s="90">
        <v>2020</v>
      </c>
      <c r="C605" s="90" t="s">
        <v>81</v>
      </c>
      <c r="D605" s="90" t="s">
        <v>1598</v>
      </c>
      <c r="E605" s="125" t="s">
        <v>780</v>
      </c>
      <c r="F605" s="24" t="s">
        <v>1599</v>
      </c>
      <c r="G605" s="90" t="s">
        <v>85</v>
      </c>
      <c r="H605" s="90" t="s">
        <v>117</v>
      </c>
      <c r="I605" s="90">
        <v>93</v>
      </c>
      <c r="J605" s="90">
        <v>157</v>
      </c>
      <c r="K605" s="90" t="s">
        <v>85</v>
      </c>
      <c r="L605" s="90" t="s">
        <v>1600</v>
      </c>
      <c r="M605" s="90" t="s">
        <v>119</v>
      </c>
      <c r="N605" s="24" t="s">
        <v>1601</v>
      </c>
      <c r="O605" s="24" t="str">
        <f>IF(ISNUMBER(SEARCH("Cancer",N605)),"Cancer",IF(ISNUMBER(SEARCH("health",N605)),"Public health",IF(ISNUMBER(SEARCH("disabilities",N605)),"Disabilities","Other")))</f>
        <v>Other</v>
      </c>
      <c r="P605" s="126">
        <v>173255355</v>
      </c>
      <c r="Q605" s="90" t="s">
        <v>85</v>
      </c>
      <c r="R605" s="90" t="str">
        <f>IF(P605&gt;20000000,"B","A")</f>
        <v>B</v>
      </c>
      <c r="S605" s="90" t="s">
        <v>90</v>
      </c>
      <c r="T605" s="90" t="s">
        <v>119</v>
      </c>
      <c r="U605" s="90" t="s">
        <v>119</v>
      </c>
      <c r="V605" s="90" t="s">
        <v>119</v>
      </c>
      <c r="W605" s="90" t="s">
        <v>119</v>
      </c>
      <c r="X605" s="90" t="s">
        <v>119</v>
      </c>
      <c r="Y605" s="90" t="s">
        <v>119</v>
      </c>
      <c r="Z605" s="90" t="s">
        <v>119</v>
      </c>
      <c r="AA605" s="90" t="s">
        <v>119</v>
      </c>
      <c r="AB605" s="90" t="s">
        <v>119</v>
      </c>
      <c r="AC605" s="90" t="s">
        <v>119</v>
      </c>
      <c r="AD605" s="90" t="s">
        <v>119</v>
      </c>
      <c r="AE605" s="24">
        <v>0</v>
      </c>
      <c r="AF605" s="90">
        <v>0</v>
      </c>
      <c r="AG605" s="24">
        <v>0</v>
      </c>
      <c r="AH605" s="90">
        <v>88406</v>
      </c>
      <c r="AI605" s="24" t="s">
        <v>102</v>
      </c>
      <c r="AJ605" s="24" t="s">
        <v>103</v>
      </c>
      <c r="AK605" s="90" t="s">
        <v>85</v>
      </c>
      <c r="AL605" s="90">
        <v>243501</v>
      </c>
      <c r="AM605" s="90" t="s">
        <v>81</v>
      </c>
      <c r="AN605" s="90" t="s">
        <v>1598</v>
      </c>
      <c r="AO605" s="125" t="s">
        <v>780</v>
      </c>
      <c r="AP605" s="24" t="s">
        <v>1601</v>
      </c>
      <c r="AQ605" s="90" t="s">
        <v>1600</v>
      </c>
      <c r="AR605" s="24" t="s">
        <v>1601</v>
      </c>
      <c r="AS605" s="90" t="s">
        <v>119</v>
      </c>
      <c r="AT605" s="24" t="s">
        <v>102</v>
      </c>
      <c r="AU605" s="90" t="s">
        <v>119</v>
      </c>
      <c r="AV605" s="90" t="str">
        <f>IF(ISNUMBER(SEARCH("disagree",AE605)),"N","Y")</f>
        <v>Y</v>
      </c>
      <c r="AW605" s="90" t="s">
        <v>119</v>
      </c>
      <c r="AX605" s="24" t="s">
        <v>119</v>
      </c>
      <c r="AY605" s="90" t="str">
        <f>CONCATENATE(AZ605,BA605,BB605,BC605)</f>
        <v/>
      </c>
      <c r="AZ605" s="90" t="str">
        <f>IF(ISNUMBER(SEARCH("Y",AC605)),"R","")</f>
        <v/>
      </c>
      <c r="BA605" s="90" t="str">
        <f>IF(ISNUMBER(SEARCH("Y",Y605)),"M","")</f>
        <v/>
      </c>
      <c r="BB605" s="90" t="str">
        <f>IF(ISNUMBER(SEARCH("Y",AB605)),"QC","")</f>
        <v/>
      </c>
      <c r="BC605" s="90" t="str">
        <f>IF(ISNUMBER(SEARCH("Y",Z605)),"S","")</f>
        <v/>
      </c>
      <c r="BD605" s="90"/>
      <c r="BE605" s="24" t="s">
        <v>119</v>
      </c>
      <c r="BF605" s="125" t="str">
        <f>IF(AND(AW605&gt;=56543,AW605&lt;=76543,LEN(AW605)&gt;0),"3 Feb 2020",IF(AND(AW605&gt;=66544,AW605&lt;=99999,LEN(AW605)&gt;0),"12 Sep 2020",""))</f>
        <v/>
      </c>
      <c r="BG605" s="125" t="str">
        <f>IF((AND(BF605="3 Feb 2020",LEN(BF605)&gt;0)),"Completed",IF((AND(BF605="12 Sep 2020",LEN(BF605)&gt;0)),"Pending",""))</f>
        <v/>
      </c>
      <c r="BH605" s="90" t="str">
        <f>IF((AND(BF605="3 Feb 2020",LEN(BF605)&gt;0)),"3 Feb 2020","")</f>
        <v/>
      </c>
      <c r="BI605" s="90">
        <v>243501</v>
      </c>
      <c r="BJ605" s="90" t="str">
        <f>L605</f>
        <v>3S86BS845607-77</v>
      </c>
      <c r="BK605" s="127">
        <v>43508</v>
      </c>
      <c r="BL605" s="127">
        <v>44239</v>
      </c>
      <c r="BM605" s="128">
        <f>P605*1.1</f>
        <v>190580890.50000003</v>
      </c>
      <c r="BN605" s="129">
        <f>P605*0.9</f>
        <v>155929819.5</v>
      </c>
      <c r="BO605" s="130">
        <f>P605*0.8</f>
        <v>138604284</v>
      </c>
      <c r="BP605" s="90">
        <f>IF(Z605="Y",BM605*0.4,BM605*1.05)</f>
        <v>200109935.02500004</v>
      </c>
      <c r="BQ605" s="90">
        <f>BP605*0.8</f>
        <v>160087948.02000004</v>
      </c>
      <c r="BR605" s="90" t="str">
        <f>IF(ISNUMBER(SEARCH("subrecipient",AI601)),P605*0.6,"")</f>
        <v/>
      </c>
      <c r="BS605" s="90">
        <v>243501</v>
      </c>
      <c r="BT605" s="90" t="str">
        <f>BJ605</f>
        <v>3S86BS845607-77</v>
      </c>
      <c r="BU605" s="127">
        <f>BK605</f>
        <v>43508</v>
      </c>
      <c r="BV605" s="127">
        <f>BL605</f>
        <v>44239</v>
      </c>
      <c r="BW605" s="90" t="str">
        <f>H605</f>
        <v>NIH</v>
      </c>
      <c r="BX605" s="90" t="str">
        <f>IF(H605="NATIONAL HEMOPHILIA FOUNDATION","Non Federal","Federal")</f>
        <v>Federal</v>
      </c>
      <c r="BY605" s="128">
        <f>BM605</f>
        <v>190580890.50000003</v>
      </c>
      <c r="BZ605" s="90" t="str">
        <f>IF(LEN(BR605)&gt;0,1,"")</f>
        <v/>
      </c>
      <c r="CA605" s="90" t="str">
        <f>IF(LEN(BR605)&gt;0,"VIRAL HEPATITIS PROJECT","")</f>
        <v/>
      </c>
      <c r="CB605" s="129" t="str">
        <f>IF(LEN(BR605)&gt;0,BM605*0.7,"")</f>
        <v/>
      </c>
      <c r="CC605" s="90">
        <f>BP605</f>
        <v>200109935.02500004</v>
      </c>
      <c r="CD605" s="90" t="str">
        <f>IF(LEN(BR605)&gt;0,"70%","")</f>
        <v/>
      </c>
      <c r="CE605" s="90">
        <f>BS605</f>
        <v>243501</v>
      </c>
      <c r="CF605" s="90" t="str">
        <f>CA605</f>
        <v/>
      </c>
      <c r="CG605" s="90"/>
      <c r="CH605" s="90"/>
      <c r="CI605" s="90"/>
      <c r="CJ605" s="90"/>
      <c r="CK605" s="90"/>
      <c r="CL605" s="90"/>
      <c r="CM605" s="90"/>
      <c r="CN605" s="90"/>
      <c r="CO605" s="90"/>
      <c r="CP605" s="90"/>
      <c r="CQ605" s="90"/>
      <c r="CR605" s="90"/>
      <c r="CS605" s="90"/>
      <c r="CT605" s="137"/>
    </row>
    <row r="606" spans="1:98" ht="90">
      <c r="A606" s="89">
        <v>243501</v>
      </c>
      <c r="B606" s="90">
        <v>2020</v>
      </c>
      <c r="C606" s="90" t="s">
        <v>81</v>
      </c>
      <c r="D606" s="90" t="s">
        <v>1598</v>
      </c>
      <c r="E606" s="125" t="s">
        <v>781</v>
      </c>
      <c r="F606" s="24" t="s">
        <v>1599</v>
      </c>
      <c r="G606" s="90" t="s">
        <v>85</v>
      </c>
      <c r="H606" s="90" t="s">
        <v>117</v>
      </c>
      <c r="I606" s="90">
        <v>93</v>
      </c>
      <c r="J606" s="90">
        <v>157</v>
      </c>
      <c r="K606" s="90" t="s">
        <v>85</v>
      </c>
      <c r="L606" s="90" t="s">
        <v>1600</v>
      </c>
      <c r="M606" s="90" t="s">
        <v>119</v>
      </c>
      <c r="N606" s="24" t="s">
        <v>1601</v>
      </c>
      <c r="O606" s="24" t="str">
        <f>IF(ISNUMBER(SEARCH("Cancer",N606)),"Cancer",IF(ISNUMBER(SEARCH("health",N606)),"Public health",IF(ISNUMBER(SEARCH("disabilities",N606)),"Disabilities","Other")))</f>
        <v>Other</v>
      </c>
      <c r="P606" s="126">
        <v>173255355</v>
      </c>
      <c r="Q606" s="90" t="s">
        <v>85</v>
      </c>
      <c r="R606" s="90" t="str">
        <f>IF(P606&gt;20000000,"B","A")</f>
        <v>B</v>
      </c>
      <c r="S606" s="90" t="s">
        <v>90</v>
      </c>
      <c r="T606" s="90" t="s">
        <v>119</v>
      </c>
      <c r="U606" s="90" t="s">
        <v>119</v>
      </c>
      <c r="V606" s="90" t="s">
        <v>119</v>
      </c>
      <c r="W606" s="90" t="s">
        <v>119</v>
      </c>
      <c r="X606" s="90" t="s">
        <v>119</v>
      </c>
      <c r="Y606" s="90" t="s">
        <v>119</v>
      </c>
      <c r="Z606" s="90" t="s">
        <v>119</v>
      </c>
      <c r="AA606" s="90" t="s">
        <v>119</v>
      </c>
      <c r="AB606" s="90" t="s">
        <v>119</v>
      </c>
      <c r="AC606" s="90" t="s">
        <v>119</v>
      </c>
      <c r="AD606" s="90" t="s">
        <v>119</v>
      </c>
      <c r="AE606" s="24">
        <v>0</v>
      </c>
      <c r="AF606" s="90">
        <v>0</v>
      </c>
      <c r="AG606" s="24">
        <v>0</v>
      </c>
      <c r="AH606" s="90">
        <v>88404</v>
      </c>
      <c r="AI606" s="24" t="s">
        <v>110</v>
      </c>
      <c r="AJ606" s="24" t="s">
        <v>1602</v>
      </c>
      <c r="AK606" s="90" t="s">
        <v>85</v>
      </c>
      <c r="AL606" s="90">
        <v>243501</v>
      </c>
      <c r="AM606" s="90" t="s">
        <v>81</v>
      </c>
      <c r="AN606" s="90" t="s">
        <v>1598</v>
      </c>
      <c r="AO606" s="125" t="s">
        <v>781</v>
      </c>
      <c r="AP606" s="24" t="s">
        <v>1601</v>
      </c>
      <c r="AQ606" s="90" t="s">
        <v>1600</v>
      </c>
      <c r="AR606" s="24" t="s">
        <v>1601</v>
      </c>
      <c r="AS606" s="90" t="s">
        <v>119</v>
      </c>
      <c r="AT606" s="24" t="s">
        <v>110</v>
      </c>
      <c r="AU606" s="90" t="s">
        <v>119</v>
      </c>
      <c r="AV606" s="90" t="str">
        <f>IF(ISNUMBER(SEARCH("disagree",AE606)),"N","Y")</f>
        <v>Y</v>
      </c>
      <c r="AW606" s="90" t="s">
        <v>119</v>
      </c>
      <c r="AX606" s="24" t="s">
        <v>119</v>
      </c>
      <c r="AY606" s="90" t="str">
        <f>CONCATENATE(AZ606,BA606,BB606,BC606)</f>
        <v/>
      </c>
      <c r="AZ606" s="90" t="str">
        <f>IF(ISNUMBER(SEARCH("Y",AC606)),"R","")</f>
        <v/>
      </c>
      <c r="BA606" s="90" t="str">
        <f>IF(ISNUMBER(SEARCH("Y",Y606)),"M","")</f>
        <v/>
      </c>
      <c r="BB606" s="90" t="str">
        <f>IF(ISNUMBER(SEARCH("Y",AB606)),"QC","")</f>
        <v/>
      </c>
      <c r="BC606" s="90" t="str">
        <f>IF(ISNUMBER(SEARCH("Y",Z606)),"S","")</f>
        <v/>
      </c>
      <c r="BD606" s="90"/>
      <c r="BE606" s="24" t="s">
        <v>119</v>
      </c>
      <c r="BF606" s="125" t="str">
        <f>IF(AND(AW606&gt;=56543,AW606&lt;=76543,LEN(AW606)&gt;0),"3 Feb 2020",IF(AND(AW606&gt;=66544,AW606&lt;=99999,LEN(AW606)&gt;0),"12 Sep 2020",""))</f>
        <v/>
      </c>
      <c r="BG606" s="125" t="str">
        <f>IF((AND(BF606="3 Feb 2020",LEN(BF606)&gt;0)),"Completed",IF((AND(BF606="12 Sep 2020",LEN(BF606)&gt;0)),"Pending",""))</f>
        <v/>
      </c>
      <c r="BH606" s="90" t="str">
        <f>IF((AND(BF606="3 Feb 2020",LEN(BF606)&gt;0)),"3 Feb 2020","")</f>
        <v/>
      </c>
      <c r="BI606" s="90">
        <v>243501</v>
      </c>
      <c r="BJ606" s="90" t="str">
        <f>L606</f>
        <v>3S86BS845607-77</v>
      </c>
      <c r="BK606" s="127">
        <v>43508</v>
      </c>
      <c r="BL606" s="127">
        <v>44239</v>
      </c>
      <c r="BM606" s="128">
        <f>P606*1.1</f>
        <v>190580890.50000003</v>
      </c>
      <c r="BN606" s="129">
        <f>P606*0.9</f>
        <v>155929819.5</v>
      </c>
      <c r="BO606" s="130">
        <f>P606*0.8</f>
        <v>138604284</v>
      </c>
      <c r="BP606" s="90">
        <f>IF(Z606="Y",BM606*0.4,BM606*1.05)</f>
        <v>200109935.02500004</v>
      </c>
      <c r="BQ606" s="90">
        <f>BP606*0.8</f>
        <v>160087948.02000004</v>
      </c>
      <c r="BR606" s="90" t="str">
        <f>IF(ISNUMBER(SEARCH("subrecipient",AI602)),P606*0.6,"")</f>
        <v/>
      </c>
      <c r="BS606" s="90">
        <v>243501</v>
      </c>
      <c r="BT606" s="90" t="str">
        <f>BJ606</f>
        <v>3S86BS845607-77</v>
      </c>
      <c r="BU606" s="127">
        <f>BK606</f>
        <v>43508</v>
      </c>
      <c r="BV606" s="127">
        <f>BL606</f>
        <v>44239</v>
      </c>
      <c r="BW606" s="90" t="str">
        <f>H606</f>
        <v>NIH</v>
      </c>
      <c r="BX606" s="90" t="str">
        <f>IF(H606="NATIONAL HEMOPHILIA FOUNDATION","Non Federal","Federal")</f>
        <v>Federal</v>
      </c>
      <c r="BY606" s="128">
        <f>BM606</f>
        <v>190580890.50000003</v>
      </c>
      <c r="BZ606" s="90" t="str">
        <f>IF(LEN(BR606)&gt;0,1,"")</f>
        <v/>
      </c>
      <c r="CA606" s="90" t="str">
        <f>IF(LEN(BR606)&gt;0,"VIRAL HEPATITIS PROJECT","")</f>
        <v/>
      </c>
      <c r="CB606" s="129" t="str">
        <f>IF(LEN(BR606)&gt;0,BM606*0.7,"")</f>
        <v/>
      </c>
      <c r="CC606" s="90">
        <f>BP606</f>
        <v>200109935.02500004</v>
      </c>
      <c r="CD606" s="90" t="str">
        <f>IF(LEN(BR606)&gt;0,"70%","")</f>
        <v/>
      </c>
      <c r="CE606" s="90">
        <f>BS606</f>
        <v>243501</v>
      </c>
      <c r="CF606" s="90" t="str">
        <f>CA606</f>
        <v/>
      </c>
      <c r="CG606" s="90"/>
      <c r="CH606" s="90"/>
      <c r="CI606" s="90"/>
      <c r="CJ606" s="90"/>
      <c r="CK606" s="90"/>
      <c r="CL606" s="90"/>
      <c r="CM606" s="90"/>
      <c r="CN606" s="90"/>
      <c r="CO606" s="90"/>
      <c r="CP606" s="90"/>
      <c r="CQ606" s="90"/>
      <c r="CR606" s="90"/>
      <c r="CS606" s="90"/>
      <c r="CT606" s="137"/>
    </row>
    <row r="607" spans="1:98" ht="90">
      <c r="A607" s="89">
        <v>243501</v>
      </c>
      <c r="B607" s="90">
        <v>2020</v>
      </c>
      <c r="C607" s="90" t="s">
        <v>81</v>
      </c>
      <c r="D607" s="90" t="s">
        <v>1598</v>
      </c>
      <c r="E607" s="125" t="s">
        <v>784</v>
      </c>
      <c r="F607" s="24" t="s">
        <v>1599</v>
      </c>
      <c r="G607" s="90" t="s">
        <v>85</v>
      </c>
      <c r="H607" s="90" t="s">
        <v>117</v>
      </c>
      <c r="I607" s="90">
        <v>93</v>
      </c>
      <c r="J607" s="90">
        <v>157</v>
      </c>
      <c r="K607" s="90" t="s">
        <v>85</v>
      </c>
      <c r="L607" s="90" t="s">
        <v>1600</v>
      </c>
      <c r="M607" s="90" t="s">
        <v>119</v>
      </c>
      <c r="N607" s="24" t="s">
        <v>1601</v>
      </c>
      <c r="O607" s="24" t="str">
        <f>IF(ISNUMBER(SEARCH("Cancer",N607)),"Cancer",IF(ISNUMBER(SEARCH("health",N607)),"Public health",IF(ISNUMBER(SEARCH("disabilities",N607)),"Disabilities","Other")))</f>
        <v>Other</v>
      </c>
      <c r="P607" s="126">
        <v>173255355</v>
      </c>
      <c r="Q607" s="90" t="s">
        <v>85</v>
      </c>
      <c r="R607" s="90" t="str">
        <f>IF(P607&gt;20000000,"B","A")</f>
        <v>B</v>
      </c>
      <c r="S607" s="90" t="s">
        <v>90</v>
      </c>
      <c r="T607" s="90" t="s">
        <v>119</v>
      </c>
      <c r="U607" s="90" t="s">
        <v>119</v>
      </c>
      <c r="V607" s="90" t="s">
        <v>119</v>
      </c>
      <c r="W607" s="90" t="s">
        <v>119</v>
      </c>
      <c r="X607" s="90" t="s">
        <v>119</v>
      </c>
      <c r="Y607" s="90" t="s">
        <v>119</v>
      </c>
      <c r="Z607" s="90" t="s">
        <v>119</v>
      </c>
      <c r="AA607" s="90" t="s">
        <v>119</v>
      </c>
      <c r="AB607" s="90" t="s">
        <v>119</v>
      </c>
      <c r="AC607" s="90" t="s">
        <v>119</v>
      </c>
      <c r="AD607" s="90" t="s">
        <v>119</v>
      </c>
      <c r="AE607" s="24">
        <v>0</v>
      </c>
      <c r="AF607" s="90">
        <v>0</v>
      </c>
      <c r="AG607" s="24">
        <v>0</v>
      </c>
      <c r="AH607" s="90">
        <v>88407</v>
      </c>
      <c r="AI607" s="24" t="s">
        <v>269</v>
      </c>
      <c r="AJ607" s="24" t="s">
        <v>1603</v>
      </c>
      <c r="AK607" s="90" t="s">
        <v>85</v>
      </c>
      <c r="AL607" s="90">
        <v>243501</v>
      </c>
      <c r="AM607" s="90" t="s">
        <v>81</v>
      </c>
      <c r="AN607" s="90" t="s">
        <v>1598</v>
      </c>
      <c r="AO607" s="125" t="s">
        <v>784</v>
      </c>
      <c r="AP607" s="24" t="s">
        <v>1601</v>
      </c>
      <c r="AQ607" s="90" t="s">
        <v>1600</v>
      </c>
      <c r="AR607" s="24" t="s">
        <v>1601</v>
      </c>
      <c r="AS607" s="90" t="s">
        <v>119</v>
      </c>
      <c r="AT607" s="24" t="s">
        <v>269</v>
      </c>
      <c r="AU607" s="90" t="s">
        <v>119</v>
      </c>
      <c r="AV607" s="90" t="str">
        <f>IF(ISNUMBER(SEARCH("disagree",AE607)),"N","Y")</f>
        <v>Y</v>
      </c>
      <c r="AW607" s="90" t="s">
        <v>119</v>
      </c>
      <c r="AX607" s="24" t="s">
        <v>119</v>
      </c>
      <c r="AY607" s="90" t="str">
        <f>CONCATENATE(AZ607,BA607,BB607,BC607)</f>
        <v/>
      </c>
      <c r="AZ607" s="90" t="str">
        <f>IF(ISNUMBER(SEARCH("Y",AC607)),"R","")</f>
        <v/>
      </c>
      <c r="BA607" s="90" t="str">
        <f>IF(ISNUMBER(SEARCH("Y",Y607)),"M","")</f>
        <v/>
      </c>
      <c r="BB607" s="90" t="str">
        <f>IF(ISNUMBER(SEARCH("Y",AB607)),"QC","")</f>
        <v/>
      </c>
      <c r="BC607" s="90" t="str">
        <f>IF(ISNUMBER(SEARCH("Y",Z607)),"S","")</f>
        <v/>
      </c>
      <c r="BD607" s="90"/>
      <c r="BE607" s="24" t="s">
        <v>119</v>
      </c>
      <c r="BF607" s="125" t="str">
        <f>IF(AND(AW607&gt;=56543,AW607&lt;=76543,LEN(AW607)&gt;0),"3 Feb 2020",IF(AND(AW607&gt;=66544,AW607&lt;=99999,LEN(AW607)&gt;0),"12 Sep 2020",""))</f>
        <v/>
      </c>
      <c r="BG607" s="125" t="str">
        <f>IF((AND(BF607="3 Feb 2020",LEN(BF607)&gt;0)),"Completed",IF((AND(BF607="12 Sep 2020",LEN(BF607)&gt;0)),"Pending",""))</f>
        <v/>
      </c>
      <c r="BH607" s="90" t="str">
        <f>IF((AND(BF607="3 Feb 2020",LEN(BF607)&gt;0)),"3 Feb 2020","")</f>
        <v/>
      </c>
      <c r="BI607" s="90">
        <v>243501</v>
      </c>
      <c r="BJ607" s="90" t="str">
        <f>L607</f>
        <v>3S86BS845607-77</v>
      </c>
      <c r="BK607" s="127">
        <v>43508</v>
      </c>
      <c r="BL607" s="127">
        <v>44239</v>
      </c>
      <c r="BM607" s="128">
        <f>P607*1.1</f>
        <v>190580890.50000003</v>
      </c>
      <c r="BN607" s="129">
        <f>P607*0.9</f>
        <v>155929819.5</v>
      </c>
      <c r="BO607" s="130">
        <f>P607*0.8</f>
        <v>138604284</v>
      </c>
      <c r="BP607" s="90">
        <f>IF(Z607="Y",BM607*0.4,BM607*1.05)</f>
        <v>200109935.02500004</v>
      </c>
      <c r="BQ607" s="90">
        <f>BP607*0.8</f>
        <v>160087948.02000004</v>
      </c>
      <c r="BR607" s="90" t="str">
        <f>IF(ISNUMBER(SEARCH("subrecipient",AI603)),P607*0.6,"")</f>
        <v/>
      </c>
      <c r="BS607" s="90">
        <v>243501</v>
      </c>
      <c r="BT607" s="90" t="str">
        <f>BJ607</f>
        <v>3S86BS845607-77</v>
      </c>
      <c r="BU607" s="127">
        <f>BK607</f>
        <v>43508</v>
      </c>
      <c r="BV607" s="127">
        <f>BL607</f>
        <v>44239</v>
      </c>
      <c r="BW607" s="90" t="str">
        <f>H607</f>
        <v>NIH</v>
      </c>
      <c r="BX607" s="90" t="str">
        <f>IF(H607="NATIONAL HEMOPHILIA FOUNDATION","Non Federal","Federal")</f>
        <v>Federal</v>
      </c>
      <c r="BY607" s="128">
        <f>BM607</f>
        <v>190580890.50000003</v>
      </c>
      <c r="BZ607" s="90" t="str">
        <f>IF(LEN(BR607)&gt;0,1,"")</f>
        <v/>
      </c>
      <c r="CA607" s="90" t="str">
        <f>IF(LEN(BR607)&gt;0,"VIRAL HEPATITIS PROJECT","")</f>
        <v/>
      </c>
      <c r="CB607" s="129" t="str">
        <f>IF(LEN(BR607)&gt;0,BM607*0.7,"")</f>
        <v/>
      </c>
      <c r="CC607" s="90">
        <f>BP607</f>
        <v>200109935.02500004</v>
      </c>
      <c r="CD607" s="90" t="str">
        <f>IF(LEN(BR607)&gt;0,"70%","")</f>
        <v/>
      </c>
      <c r="CE607" s="90">
        <f>BS607</f>
        <v>243501</v>
      </c>
      <c r="CF607" s="90" t="str">
        <f>CA607</f>
        <v/>
      </c>
      <c r="CG607" s="90"/>
      <c r="CH607" s="90"/>
      <c r="CI607" s="90"/>
      <c r="CJ607" s="90"/>
      <c r="CK607" s="90"/>
      <c r="CL607" s="90"/>
      <c r="CM607" s="90"/>
      <c r="CN607" s="90"/>
      <c r="CO607" s="90"/>
      <c r="CP607" s="90"/>
      <c r="CQ607" s="90"/>
      <c r="CR607" s="90"/>
      <c r="CS607" s="90"/>
      <c r="CT607" s="137"/>
    </row>
    <row r="608" spans="1:98" ht="135">
      <c r="A608" s="89">
        <v>243528</v>
      </c>
      <c r="B608" s="90">
        <v>2020</v>
      </c>
      <c r="C608" s="90" t="s">
        <v>81</v>
      </c>
      <c r="D608" s="90" t="s">
        <v>1604</v>
      </c>
      <c r="E608" s="125" t="s">
        <v>790</v>
      </c>
      <c r="F608" s="24" t="s">
        <v>1605</v>
      </c>
      <c r="G608" s="90" t="s">
        <v>85</v>
      </c>
      <c r="H608" s="90" t="s">
        <v>132</v>
      </c>
      <c r="I608" s="90">
        <v>93</v>
      </c>
      <c r="J608" s="90">
        <v>157</v>
      </c>
      <c r="K608" s="90" t="s">
        <v>85</v>
      </c>
      <c r="L608" s="90" t="s">
        <v>1606</v>
      </c>
      <c r="M608" s="90" t="s">
        <v>119</v>
      </c>
      <c r="N608" s="24" t="s">
        <v>1607</v>
      </c>
      <c r="O608" s="24" t="str">
        <f>IF(ISNUMBER(SEARCH("Cancer",N608)),"Cancer",IF(ISNUMBER(SEARCH("health",N608)),"Public health",IF(ISNUMBER(SEARCH("disabilities",N608)),"Disabilities","Other")))</f>
        <v>Other</v>
      </c>
      <c r="P608" s="126">
        <v>268694865</v>
      </c>
      <c r="Q608" s="90" t="s">
        <v>85</v>
      </c>
      <c r="R608" s="90" t="str">
        <f>IF(P608&gt;20000000,"B","A")</f>
        <v>B</v>
      </c>
      <c r="S608" s="90" t="s">
        <v>90</v>
      </c>
      <c r="T608" s="90" t="s">
        <v>119</v>
      </c>
      <c r="U608" s="90" t="s">
        <v>119</v>
      </c>
      <c r="V608" s="90" t="s">
        <v>119</v>
      </c>
      <c r="W608" s="90" t="s">
        <v>119</v>
      </c>
      <c r="X608" s="90" t="s">
        <v>119</v>
      </c>
      <c r="Y608" s="90" t="s">
        <v>119</v>
      </c>
      <c r="Z608" s="90" t="s">
        <v>119</v>
      </c>
      <c r="AA608" s="90" t="s">
        <v>119</v>
      </c>
      <c r="AB608" s="90" t="s">
        <v>119</v>
      </c>
      <c r="AC608" s="90" t="s">
        <v>119</v>
      </c>
      <c r="AD608" s="90" t="s">
        <v>119</v>
      </c>
      <c r="AE608" s="24">
        <v>0</v>
      </c>
      <c r="AF608" s="90">
        <v>0</v>
      </c>
      <c r="AG608" s="24">
        <v>0</v>
      </c>
      <c r="AH608" s="90">
        <v>90704</v>
      </c>
      <c r="AI608" s="24" t="s">
        <v>94</v>
      </c>
      <c r="AJ608" s="24" t="s">
        <v>1608</v>
      </c>
      <c r="AK608" s="90" t="s">
        <v>85</v>
      </c>
      <c r="AL608" s="90">
        <v>243528</v>
      </c>
      <c r="AM608" s="90" t="s">
        <v>81</v>
      </c>
      <c r="AN608" s="90" t="s">
        <v>1604</v>
      </c>
      <c r="AO608" s="125" t="s">
        <v>790</v>
      </c>
      <c r="AP608" s="24" t="s">
        <v>1607</v>
      </c>
      <c r="AQ608" s="90" t="s">
        <v>1606</v>
      </c>
      <c r="AR608" s="24" t="s">
        <v>1607</v>
      </c>
      <c r="AS608" s="90" t="s">
        <v>119</v>
      </c>
      <c r="AT608" s="24" t="s">
        <v>94</v>
      </c>
      <c r="AU608" s="90" t="s">
        <v>119</v>
      </c>
      <c r="AV608" s="90" t="str">
        <f>IF(ISNUMBER(SEARCH("disagree",AE608)),"N","Y")</f>
        <v>Y</v>
      </c>
      <c r="AW608" s="90" t="s">
        <v>119</v>
      </c>
      <c r="AX608" s="24" t="s">
        <v>119</v>
      </c>
      <c r="AY608" s="90" t="str">
        <f>CONCATENATE(AZ608,BA608,BB608,BC608)</f>
        <v/>
      </c>
      <c r="AZ608" s="90" t="str">
        <f>IF(ISNUMBER(SEARCH("Y",AC608)),"R","")</f>
        <v/>
      </c>
      <c r="BA608" s="90" t="str">
        <f>IF(ISNUMBER(SEARCH("Y",Y608)),"M","")</f>
        <v/>
      </c>
      <c r="BB608" s="90" t="str">
        <f>IF(ISNUMBER(SEARCH("Y",AB608)),"QC","")</f>
        <v/>
      </c>
      <c r="BC608" s="90" t="str">
        <f>IF(ISNUMBER(SEARCH("Y",Z608)),"S","")</f>
        <v/>
      </c>
      <c r="BD608" s="90"/>
      <c r="BE608" s="24" t="s">
        <v>119</v>
      </c>
      <c r="BF608" s="125" t="str">
        <f>IF(AND(AW608&gt;=56543,AW608&lt;=76543,LEN(AW608)&gt;0),"3 Feb 2020",IF(AND(AW608&gt;=66544,AW608&lt;=99999,LEN(AW608)&gt;0),"12 Sep 2020",""))</f>
        <v/>
      </c>
      <c r="BG608" s="125" t="str">
        <f>IF((AND(BF608="3 Feb 2020",LEN(BF608)&gt;0)),"Completed",IF((AND(BF608="12 Sep 2020",LEN(BF608)&gt;0)),"Pending",""))</f>
        <v/>
      </c>
      <c r="BH608" s="90" t="str">
        <f>IF((AND(BF608="3 Feb 2020",LEN(BF608)&gt;0)),"3 Feb 2020","")</f>
        <v/>
      </c>
      <c r="BI608" s="90">
        <v>243528</v>
      </c>
      <c r="BJ608" s="90" t="str">
        <f>L608</f>
        <v>7T57CT844112-55</v>
      </c>
      <c r="BK608" s="127">
        <v>43508</v>
      </c>
      <c r="BL608" s="127">
        <v>44239</v>
      </c>
      <c r="BM608" s="128">
        <f>P608*1.1</f>
        <v>295564351.5</v>
      </c>
      <c r="BN608" s="129">
        <f>P608*0.9</f>
        <v>241825378.5</v>
      </c>
      <c r="BO608" s="130">
        <f>P608*0.8</f>
        <v>214955892</v>
      </c>
      <c r="BP608" s="90">
        <f>IF(Z608="Y",BM608*0.4,BM608*1.05)</f>
        <v>310342569.07499999</v>
      </c>
      <c r="BQ608" s="90">
        <f>BP608*0.8</f>
        <v>248274055.25999999</v>
      </c>
      <c r="BR608" s="90" t="str">
        <f>IF(ISNUMBER(SEARCH("subrecipient",AI604)),P608*0.6,"")</f>
        <v/>
      </c>
      <c r="BS608" s="90">
        <v>243528</v>
      </c>
      <c r="BT608" s="90" t="str">
        <f>BJ608</f>
        <v>7T57CT844112-55</v>
      </c>
      <c r="BU608" s="127">
        <f>BK608</f>
        <v>43508</v>
      </c>
      <c r="BV608" s="127">
        <f>BL608</f>
        <v>44239</v>
      </c>
      <c r="BW608" s="90" t="str">
        <f>H608</f>
        <v>FDA</v>
      </c>
      <c r="BX608" s="90" t="str">
        <f>IF(H608="NATIONAL HEMOPHILIA FOUNDATION","Non Federal","Federal")</f>
        <v>Federal</v>
      </c>
      <c r="BY608" s="128">
        <f>BM608</f>
        <v>295564351.5</v>
      </c>
      <c r="BZ608" s="90" t="str">
        <f>IF(LEN(BR608)&gt;0,1,"")</f>
        <v/>
      </c>
      <c r="CA608" s="90" t="str">
        <f>IF(LEN(BR608)&gt;0,"VIRAL HEPATITIS PROJECT","")</f>
        <v/>
      </c>
      <c r="CB608" s="129" t="str">
        <f>IF(LEN(BR608)&gt;0,BM608*0.7,"")</f>
        <v/>
      </c>
      <c r="CC608" s="90">
        <f>BP608</f>
        <v>310342569.07499999</v>
      </c>
      <c r="CD608" s="90" t="str">
        <f>IF(LEN(BR608)&gt;0,"70%","")</f>
        <v/>
      </c>
      <c r="CE608" s="90">
        <f>BS608</f>
        <v>243528</v>
      </c>
      <c r="CF608" s="90" t="str">
        <f>CA608</f>
        <v/>
      </c>
      <c r="CG608" s="90"/>
      <c r="CH608" s="90"/>
      <c r="CI608" s="90"/>
      <c r="CJ608" s="90"/>
      <c r="CK608" s="90"/>
      <c r="CL608" s="90"/>
      <c r="CM608" s="90"/>
      <c r="CN608" s="90"/>
      <c r="CO608" s="90"/>
      <c r="CP608" s="90"/>
      <c r="CQ608" s="90"/>
      <c r="CR608" s="90"/>
      <c r="CS608" s="90"/>
      <c r="CT608" s="137"/>
    </row>
    <row r="609" spans="1:98" ht="90">
      <c r="A609" s="89">
        <v>243528</v>
      </c>
      <c r="B609" s="90">
        <v>2020</v>
      </c>
      <c r="C609" s="90" t="s">
        <v>81</v>
      </c>
      <c r="D609" s="90" t="s">
        <v>1604</v>
      </c>
      <c r="E609" s="125" t="s">
        <v>791</v>
      </c>
      <c r="F609" s="24" t="s">
        <v>1605</v>
      </c>
      <c r="G609" s="90" t="s">
        <v>85</v>
      </c>
      <c r="H609" s="90" t="s">
        <v>132</v>
      </c>
      <c r="I609" s="90">
        <v>93</v>
      </c>
      <c r="J609" s="90">
        <v>157</v>
      </c>
      <c r="K609" s="90" t="s">
        <v>85</v>
      </c>
      <c r="L609" s="90" t="s">
        <v>1606</v>
      </c>
      <c r="M609" s="90" t="s">
        <v>119</v>
      </c>
      <c r="N609" s="24" t="s">
        <v>1607</v>
      </c>
      <c r="O609" s="24" t="str">
        <f>IF(ISNUMBER(SEARCH("Cancer",N609)),"Cancer",IF(ISNUMBER(SEARCH("health",N609)),"Public health",IF(ISNUMBER(SEARCH("disabilities",N609)),"Disabilities","Other")))</f>
        <v>Other</v>
      </c>
      <c r="P609" s="126">
        <v>268694865</v>
      </c>
      <c r="Q609" s="90" t="s">
        <v>85</v>
      </c>
      <c r="R609" s="90" t="str">
        <f>IF(P609&gt;20000000,"B","A")</f>
        <v>B</v>
      </c>
      <c r="S609" s="90" t="s">
        <v>90</v>
      </c>
      <c r="T609" s="90" t="s">
        <v>119</v>
      </c>
      <c r="U609" s="90" t="s">
        <v>119</v>
      </c>
      <c r="V609" s="90" t="s">
        <v>119</v>
      </c>
      <c r="W609" s="90" t="s">
        <v>119</v>
      </c>
      <c r="X609" s="90" t="s">
        <v>119</v>
      </c>
      <c r="Y609" s="90" t="s">
        <v>119</v>
      </c>
      <c r="Z609" s="90" t="s">
        <v>119</v>
      </c>
      <c r="AA609" s="90" t="s">
        <v>119</v>
      </c>
      <c r="AB609" s="90" t="s">
        <v>119</v>
      </c>
      <c r="AC609" s="90" t="s">
        <v>119</v>
      </c>
      <c r="AD609" s="90" t="s">
        <v>119</v>
      </c>
      <c r="AE609" s="24">
        <v>0</v>
      </c>
      <c r="AF609" s="90">
        <v>0</v>
      </c>
      <c r="AG609" s="24">
        <v>0</v>
      </c>
      <c r="AH609" s="90">
        <v>90703</v>
      </c>
      <c r="AI609" s="24" t="s">
        <v>102</v>
      </c>
      <c r="AJ609" s="24" t="s">
        <v>1429</v>
      </c>
      <c r="AK609" s="90" t="s">
        <v>85</v>
      </c>
      <c r="AL609" s="90">
        <v>243528</v>
      </c>
      <c r="AM609" s="90" t="s">
        <v>81</v>
      </c>
      <c r="AN609" s="90" t="s">
        <v>1604</v>
      </c>
      <c r="AO609" s="125" t="s">
        <v>791</v>
      </c>
      <c r="AP609" s="24" t="s">
        <v>1607</v>
      </c>
      <c r="AQ609" s="90" t="s">
        <v>1606</v>
      </c>
      <c r="AR609" s="24" t="s">
        <v>1607</v>
      </c>
      <c r="AS609" s="90" t="s">
        <v>119</v>
      </c>
      <c r="AT609" s="24" t="s">
        <v>102</v>
      </c>
      <c r="AU609" s="90" t="s">
        <v>119</v>
      </c>
      <c r="AV609" s="90" t="str">
        <f>IF(ISNUMBER(SEARCH("disagree",AE609)),"N","Y")</f>
        <v>Y</v>
      </c>
      <c r="AW609" s="90" t="s">
        <v>119</v>
      </c>
      <c r="AX609" s="24" t="s">
        <v>119</v>
      </c>
      <c r="AY609" s="90" t="str">
        <f>CONCATENATE(AZ609,BA609,BB609,BC609)</f>
        <v/>
      </c>
      <c r="AZ609" s="90" t="str">
        <f>IF(ISNUMBER(SEARCH("Y",AC609)),"R","")</f>
        <v/>
      </c>
      <c r="BA609" s="90" t="str">
        <f>IF(ISNUMBER(SEARCH("Y",Y609)),"M","")</f>
        <v/>
      </c>
      <c r="BB609" s="90" t="str">
        <f>IF(ISNUMBER(SEARCH("Y",AB609)),"QC","")</f>
        <v/>
      </c>
      <c r="BC609" s="90" t="str">
        <f>IF(ISNUMBER(SEARCH("Y",Z609)),"S","")</f>
        <v/>
      </c>
      <c r="BD609" s="90"/>
      <c r="BE609" s="24" t="s">
        <v>119</v>
      </c>
      <c r="BF609" s="125" t="str">
        <f>IF(AND(AW609&gt;=56543,AW609&lt;=76543,LEN(AW609)&gt;0),"3 Feb 2020",IF(AND(AW609&gt;=66544,AW609&lt;=99999,LEN(AW609)&gt;0),"12 Sep 2020",""))</f>
        <v/>
      </c>
      <c r="BG609" s="125" t="str">
        <f>IF((AND(BF609="3 Feb 2020",LEN(BF609)&gt;0)),"Completed",IF((AND(BF609="12 Sep 2020",LEN(BF609)&gt;0)),"Pending",""))</f>
        <v/>
      </c>
      <c r="BH609" s="90" t="str">
        <f>IF((AND(BF609="3 Feb 2020",LEN(BF609)&gt;0)),"3 Feb 2020","")</f>
        <v/>
      </c>
      <c r="BI609" s="90">
        <v>243528</v>
      </c>
      <c r="BJ609" s="90" t="str">
        <f>L609</f>
        <v>7T57CT844112-55</v>
      </c>
      <c r="BK609" s="127">
        <v>43508</v>
      </c>
      <c r="BL609" s="127">
        <v>44239</v>
      </c>
      <c r="BM609" s="128">
        <f>P609*1.1</f>
        <v>295564351.5</v>
      </c>
      <c r="BN609" s="129">
        <f>P609*0.9</f>
        <v>241825378.5</v>
      </c>
      <c r="BO609" s="130">
        <f>P609*0.8</f>
        <v>214955892</v>
      </c>
      <c r="BP609" s="90">
        <f>IF(Z609="Y",BM609*0.4,BM609*1.05)</f>
        <v>310342569.07499999</v>
      </c>
      <c r="BQ609" s="90">
        <f>BP609*0.8</f>
        <v>248274055.25999999</v>
      </c>
      <c r="BR609" s="90" t="str">
        <f>IF(ISNUMBER(SEARCH("subrecipient",AI605)),P609*0.6,"")</f>
        <v/>
      </c>
      <c r="BS609" s="90">
        <v>243528</v>
      </c>
      <c r="BT609" s="90" t="str">
        <f>BJ609</f>
        <v>7T57CT844112-55</v>
      </c>
      <c r="BU609" s="127">
        <f>BK609</f>
        <v>43508</v>
      </c>
      <c r="BV609" s="127">
        <f>BL609</f>
        <v>44239</v>
      </c>
      <c r="BW609" s="90" t="str">
        <f>H609</f>
        <v>FDA</v>
      </c>
      <c r="BX609" s="90" t="str">
        <f>IF(H609="NATIONAL HEMOPHILIA FOUNDATION","Non Federal","Federal")</f>
        <v>Federal</v>
      </c>
      <c r="BY609" s="128">
        <f>BM609</f>
        <v>295564351.5</v>
      </c>
      <c r="BZ609" s="90" t="str">
        <f>IF(LEN(BR609)&gt;0,1,"")</f>
        <v/>
      </c>
      <c r="CA609" s="90" t="str">
        <f>IF(LEN(BR609)&gt;0,"VIRAL HEPATITIS PROJECT","")</f>
        <v/>
      </c>
      <c r="CB609" s="129" t="str">
        <f>IF(LEN(BR609)&gt;0,BM609*0.7,"")</f>
        <v/>
      </c>
      <c r="CC609" s="90">
        <f>BP609</f>
        <v>310342569.07499999</v>
      </c>
      <c r="CD609" s="90" t="str">
        <f>IF(LEN(BR609)&gt;0,"70%","")</f>
        <v/>
      </c>
      <c r="CE609" s="90">
        <f>BS609</f>
        <v>243528</v>
      </c>
      <c r="CF609" s="90" t="str">
        <f>CA609</f>
        <v/>
      </c>
      <c r="CG609" s="90"/>
      <c r="CH609" s="90"/>
      <c r="CI609" s="90"/>
      <c r="CJ609" s="90"/>
      <c r="CK609" s="90"/>
      <c r="CL609" s="90"/>
      <c r="CM609" s="90"/>
      <c r="CN609" s="90"/>
      <c r="CO609" s="90"/>
      <c r="CP609" s="90"/>
      <c r="CQ609" s="90"/>
      <c r="CR609" s="90"/>
      <c r="CS609" s="90"/>
      <c r="CT609" s="137"/>
    </row>
    <row r="610" spans="1:98" ht="90">
      <c r="A610" s="89">
        <v>243528</v>
      </c>
      <c r="B610" s="90">
        <v>2020</v>
      </c>
      <c r="C610" s="90" t="s">
        <v>81</v>
      </c>
      <c r="D610" s="90" t="s">
        <v>1604</v>
      </c>
      <c r="E610" s="125" t="s">
        <v>793</v>
      </c>
      <c r="F610" s="24" t="s">
        <v>1605</v>
      </c>
      <c r="G610" s="90" t="s">
        <v>85</v>
      </c>
      <c r="H610" s="90" t="s">
        <v>132</v>
      </c>
      <c r="I610" s="90">
        <v>93</v>
      </c>
      <c r="J610" s="90">
        <v>157</v>
      </c>
      <c r="K610" s="90" t="s">
        <v>85</v>
      </c>
      <c r="L610" s="90" t="s">
        <v>1606</v>
      </c>
      <c r="M610" s="90" t="s">
        <v>119</v>
      </c>
      <c r="N610" s="24" t="s">
        <v>1607</v>
      </c>
      <c r="O610" s="24" t="str">
        <f>IF(ISNUMBER(SEARCH("Cancer",N610)),"Cancer",IF(ISNUMBER(SEARCH("health",N610)),"Public health",IF(ISNUMBER(SEARCH("disabilities",N610)),"Disabilities","Other")))</f>
        <v>Other</v>
      </c>
      <c r="P610" s="126">
        <v>268694865</v>
      </c>
      <c r="Q610" s="90" t="s">
        <v>85</v>
      </c>
      <c r="R610" s="90" t="str">
        <f>IF(P610&gt;20000000,"B","A")</f>
        <v>B</v>
      </c>
      <c r="S610" s="90" t="s">
        <v>90</v>
      </c>
      <c r="T610" s="90" t="s">
        <v>119</v>
      </c>
      <c r="U610" s="90" t="s">
        <v>119</v>
      </c>
      <c r="V610" s="90" t="s">
        <v>119</v>
      </c>
      <c r="W610" s="90" t="s">
        <v>119</v>
      </c>
      <c r="X610" s="90" t="s">
        <v>119</v>
      </c>
      <c r="Y610" s="90" t="s">
        <v>119</v>
      </c>
      <c r="Z610" s="90" t="s">
        <v>119</v>
      </c>
      <c r="AA610" s="90" t="s">
        <v>119</v>
      </c>
      <c r="AB610" s="90" t="s">
        <v>119</v>
      </c>
      <c r="AC610" s="90" t="s">
        <v>119</v>
      </c>
      <c r="AD610" s="90" t="s">
        <v>119</v>
      </c>
      <c r="AE610" s="24">
        <v>0</v>
      </c>
      <c r="AF610" s="90">
        <v>0</v>
      </c>
      <c r="AG610" s="24">
        <v>0</v>
      </c>
      <c r="AH610" s="90">
        <v>90705</v>
      </c>
      <c r="AI610" s="24" t="s">
        <v>363</v>
      </c>
      <c r="AJ610" s="24" t="s">
        <v>1609</v>
      </c>
      <c r="AK610" s="90" t="s">
        <v>85</v>
      </c>
      <c r="AL610" s="90">
        <v>243528</v>
      </c>
      <c r="AM610" s="90" t="s">
        <v>81</v>
      </c>
      <c r="AN610" s="90" t="s">
        <v>1604</v>
      </c>
      <c r="AO610" s="125" t="s">
        <v>793</v>
      </c>
      <c r="AP610" s="24" t="s">
        <v>1607</v>
      </c>
      <c r="AQ610" s="90" t="s">
        <v>1606</v>
      </c>
      <c r="AR610" s="24" t="s">
        <v>1607</v>
      </c>
      <c r="AS610" s="90" t="s">
        <v>119</v>
      </c>
      <c r="AT610" s="24" t="s">
        <v>363</v>
      </c>
      <c r="AU610" s="90" t="s">
        <v>119</v>
      </c>
      <c r="AV610" s="90" t="str">
        <f>IF(ISNUMBER(SEARCH("disagree",AE610)),"N","Y")</f>
        <v>Y</v>
      </c>
      <c r="AW610" s="90" t="s">
        <v>119</v>
      </c>
      <c r="AX610" s="24" t="s">
        <v>119</v>
      </c>
      <c r="AY610" s="90" t="str">
        <f>CONCATENATE(AZ610,BA610,BB610,BC610)</f>
        <v/>
      </c>
      <c r="AZ610" s="90" t="str">
        <f>IF(ISNUMBER(SEARCH("Y",AC610)),"R","")</f>
        <v/>
      </c>
      <c r="BA610" s="90" t="str">
        <f>IF(ISNUMBER(SEARCH("Y",Y610)),"M","")</f>
        <v/>
      </c>
      <c r="BB610" s="90" t="str">
        <f>IF(ISNUMBER(SEARCH("Y",AB610)),"QC","")</f>
        <v/>
      </c>
      <c r="BC610" s="90" t="str">
        <f>IF(ISNUMBER(SEARCH("Y",Z610)),"S","")</f>
        <v/>
      </c>
      <c r="BD610" s="90"/>
      <c r="BE610" s="24" t="s">
        <v>119</v>
      </c>
      <c r="BF610" s="125" t="str">
        <f>IF(AND(AW610&gt;=56543,AW610&lt;=76543,LEN(AW610)&gt;0),"3 Feb 2020",IF(AND(AW610&gt;=66544,AW610&lt;=99999,LEN(AW610)&gt;0),"12 Sep 2020",""))</f>
        <v/>
      </c>
      <c r="BG610" s="125" t="str">
        <f>IF((AND(BF610="3 Feb 2020",LEN(BF610)&gt;0)),"Completed",IF((AND(BF610="12 Sep 2020",LEN(BF610)&gt;0)),"Pending",""))</f>
        <v/>
      </c>
      <c r="BH610" s="90" t="str">
        <f>IF((AND(BF610="3 Feb 2020",LEN(BF610)&gt;0)),"3 Feb 2020","")</f>
        <v/>
      </c>
      <c r="BI610" s="90">
        <v>243528</v>
      </c>
      <c r="BJ610" s="90" t="str">
        <f>L610</f>
        <v>7T57CT844112-55</v>
      </c>
      <c r="BK610" s="127">
        <v>43508</v>
      </c>
      <c r="BL610" s="127">
        <v>44239</v>
      </c>
      <c r="BM610" s="128">
        <f>P610*1.1</f>
        <v>295564351.5</v>
      </c>
      <c r="BN610" s="129">
        <f>P610*0.9</f>
        <v>241825378.5</v>
      </c>
      <c r="BO610" s="130">
        <f>P610*0.8</f>
        <v>214955892</v>
      </c>
      <c r="BP610" s="90">
        <f>IF(Z610="Y",BM610*0.4,BM610*1.05)</f>
        <v>310342569.07499999</v>
      </c>
      <c r="BQ610" s="90">
        <f>BP610*0.8</f>
        <v>248274055.25999999</v>
      </c>
      <c r="BR610" s="90" t="str">
        <f>IF(ISNUMBER(SEARCH("subrecipient",AI606)),P610*0.6,"")</f>
        <v/>
      </c>
      <c r="BS610" s="90">
        <v>243528</v>
      </c>
      <c r="BT610" s="90" t="str">
        <f>BJ610</f>
        <v>7T57CT844112-55</v>
      </c>
      <c r="BU610" s="127">
        <f>BK610</f>
        <v>43508</v>
      </c>
      <c r="BV610" s="127">
        <f>BL610</f>
        <v>44239</v>
      </c>
      <c r="BW610" s="90" t="str">
        <f>H610</f>
        <v>FDA</v>
      </c>
      <c r="BX610" s="90" t="str">
        <f>IF(H610="NATIONAL HEMOPHILIA FOUNDATION","Non Federal","Federal")</f>
        <v>Federal</v>
      </c>
      <c r="BY610" s="128">
        <f>BM610</f>
        <v>295564351.5</v>
      </c>
      <c r="BZ610" s="90" t="str">
        <f>IF(LEN(BR610)&gt;0,1,"")</f>
        <v/>
      </c>
      <c r="CA610" s="90" t="str">
        <f>IF(LEN(BR610)&gt;0,"VIRAL HEPATITIS PROJECT","")</f>
        <v/>
      </c>
      <c r="CB610" s="129" t="str">
        <f>IF(LEN(BR610)&gt;0,BM610*0.7,"")</f>
        <v/>
      </c>
      <c r="CC610" s="90">
        <f>BP610</f>
        <v>310342569.07499999</v>
      </c>
      <c r="CD610" s="90" t="str">
        <f>IF(LEN(BR610)&gt;0,"70%","")</f>
        <v/>
      </c>
      <c r="CE610" s="90">
        <f>BS610</f>
        <v>243528</v>
      </c>
      <c r="CF610" s="90" t="str">
        <f>CA610</f>
        <v/>
      </c>
      <c r="CG610" s="90"/>
      <c r="CH610" s="90"/>
      <c r="CI610" s="90"/>
      <c r="CJ610" s="90"/>
      <c r="CK610" s="90"/>
      <c r="CL610" s="90"/>
      <c r="CM610" s="90"/>
      <c r="CN610" s="90"/>
      <c r="CO610" s="90"/>
      <c r="CP610" s="90"/>
      <c r="CQ610" s="90"/>
      <c r="CR610" s="90"/>
      <c r="CS610" s="90"/>
      <c r="CT610" s="137"/>
    </row>
    <row r="611" spans="1:98" ht="90">
      <c r="A611" s="89">
        <v>243528</v>
      </c>
      <c r="B611" s="90">
        <v>2020</v>
      </c>
      <c r="C611" s="90" t="s">
        <v>81</v>
      </c>
      <c r="D611" s="90" t="s">
        <v>1604</v>
      </c>
      <c r="E611" s="125" t="s">
        <v>780</v>
      </c>
      <c r="F611" s="24" t="s">
        <v>1605</v>
      </c>
      <c r="G611" s="90" t="s">
        <v>85</v>
      </c>
      <c r="H611" s="90" t="s">
        <v>132</v>
      </c>
      <c r="I611" s="90">
        <v>93</v>
      </c>
      <c r="J611" s="90">
        <v>157</v>
      </c>
      <c r="K611" s="90" t="s">
        <v>85</v>
      </c>
      <c r="L611" s="90" t="s">
        <v>1606</v>
      </c>
      <c r="M611" s="90" t="s">
        <v>119</v>
      </c>
      <c r="N611" s="24" t="s">
        <v>1607</v>
      </c>
      <c r="O611" s="24" t="str">
        <f>IF(ISNUMBER(SEARCH("Cancer",N611)),"Cancer",IF(ISNUMBER(SEARCH("health",N611)),"Public health",IF(ISNUMBER(SEARCH("disabilities",N611)),"Disabilities","Other")))</f>
        <v>Other</v>
      </c>
      <c r="P611" s="126">
        <v>268694865</v>
      </c>
      <c r="Q611" s="90" t="s">
        <v>85</v>
      </c>
      <c r="R611" s="90" t="str">
        <f>IF(P611&gt;20000000,"B","A")</f>
        <v>B</v>
      </c>
      <c r="S611" s="90" t="s">
        <v>90</v>
      </c>
      <c r="T611" s="90" t="s">
        <v>119</v>
      </c>
      <c r="U611" s="90" t="s">
        <v>119</v>
      </c>
      <c r="V611" s="90" t="s">
        <v>119</v>
      </c>
      <c r="W611" s="90" t="s">
        <v>119</v>
      </c>
      <c r="X611" s="90" t="s">
        <v>119</v>
      </c>
      <c r="Y611" s="90" t="s">
        <v>119</v>
      </c>
      <c r="Z611" s="90" t="s">
        <v>119</v>
      </c>
      <c r="AA611" s="90" t="s">
        <v>119</v>
      </c>
      <c r="AB611" s="90" t="s">
        <v>119</v>
      </c>
      <c r="AC611" s="90" t="s">
        <v>119</v>
      </c>
      <c r="AD611" s="90" t="s">
        <v>119</v>
      </c>
      <c r="AE611" s="24">
        <v>0</v>
      </c>
      <c r="AF611" s="90">
        <v>0</v>
      </c>
      <c r="AG611" s="24">
        <v>0</v>
      </c>
      <c r="AH611" s="90">
        <v>90707</v>
      </c>
      <c r="AI611" s="24" t="s">
        <v>1431</v>
      </c>
      <c r="AJ611" s="24" t="s">
        <v>1610</v>
      </c>
      <c r="AK611" s="90" t="s">
        <v>85</v>
      </c>
      <c r="AL611" s="90">
        <v>243528</v>
      </c>
      <c r="AM611" s="90" t="s">
        <v>81</v>
      </c>
      <c r="AN611" s="90" t="s">
        <v>1604</v>
      </c>
      <c r="AO611" s="125" t="s">
        <v>780</v>
      </c>
      <c r="AP611" s="24" t="s">
        <v>1607</v>
      </c>
      <c r="AQ611" s="90" t="s">
        <v>1606</v>
      </c>
      <c r="AR611" s="24" t="s">
        <v>1607</v>
      </c>
      <c r="AS611" s="90" t="s">
        <v>119</v>
      </c>
      <c r="AT611" s="24" t="s">
        <v>1431</v>
      </c>
      <c r="AU611" s="90" t="s">
        <v>119</v>
      </c>
      <c r="AV611" s="90" t="str">
        <f>IF(ISNUMBER(SEARCH("disagree",AE611)),"N","Y")</f>
        <v>Y</v>
      </c>
      <c r="AW611" s="90" t="s">
        <v>119</v>
      </c>
      <c r="AX611" s="24" t="s">
        <v>119</v>
      </c>
      <c r="AY611" s="90" t="str">
        <f>CONCATENATE(AZ611,BA611,BB611,BC611)</f>
        <v/>
      </c>
      <c r="AZ611" s="90" t="str">
        <f>IF(ISNUMBER(SEARCH("Y",AC611)),"R","")</f>
        <v/>
      </c>
      <c r="BA611" s="90" t="str">
        <f>IF(ISNUMBER(SEARCH("Y",Y611)),"M","")</f>
        <v/>
      </c>
      <c r="BB611" s="90" t="str">
        <f>IF(ISNUMBER(SEARCH("Y",AB611)),"QC","")</f>
        <v/>
      </c>
      <c r="BC611" s="90" t="str">
        <f>IF(ISNUMBER(SEARCH("Y",Z611)),"S","")</f>
        <v/>
      </c>
      <c r="BD611" s="90"/>
      <c r="BE611" s="24" t="s">
        <v>119</v>
      </c>
      <c r="BF611" s="125" t="str">
        <f>IF(AND(AW611&gt;=56543,AW611&lt;=76543,LEN(AW611)&gt;0),"3 Feb 2020",IF(AND(AW611&gt;=66544,AW611&lt;=99999,LEN(AW611)&gt;0),"12 Sep 2020",""))</f>
        <v/>
      </c>
      <c r="BG611" s="125" t="str">
        <f>IF((AND(BF611="3 Feb 2020",LEN(BF611)&gt;0)),"Completed",IF((AND(BF611="12 Sep 2020",LEN(BF611)&gt;0)),"Pending",""))</f>
        <v/>
      </c>
      <c r="BH611" s="90" t="str">
        <f>IF((AND(BF611="3 Feb 2020",LEN(BF611)&gt;0)),"3 Feb 2020","")</f>
        <v/>
      </c>
      <c r="BI611" s="90">
        <v>243528</v>
      </c>
      <c r="BJ611" s="90" t="str">
        <f>L611</f>
        <v>7T57CT844112-55</v>
      </c>
      <c r="BK611" s="127">
        <v>43508</v>
      </c>
      <c r="BL611" s="127">
        <v>44239</v>
      </c>
      <c r="BM611" s="128">
        <f>P611*1.1</f>
        <v>295564351.5</v>
      </c>
      <c r="BN611" s="129">
        <f>P611*0.9</f>
        <v>241825378.5</v>
      </c>
      <c r="BO611" s="130">
        <f>P611*0.8</f>
        <v>214955892</v>
      </c>
      <c r="BP611" s="90">
        <f>IF(Z611="Y",BM611*0.4,BM611*1.05)</f>
        <v>310342569.07499999</v>
      </c>
      <c r="BQ611" s="90">
        <f>BP611*0.8</f>
        <v>248274055.25999999</v>
      </c>
      <c r="BR611" s="90" t="str">
        <f>IF(ISNUMBER(SEARCH("subrecipient",AI607)),P611*0.6,"")</f>
        <v/>
      </c>
      <c r="BS611" s="90">
        <v>243528</v>
      </c>
      <c r="BT611" s="90" t="str">
        <f>BJ611</f>
        <v>7T57CT844112-55</v>
      </c>
      <c r="BU611" s="127">
        <f>BK611</f>
        <v>43508</v>
      </c>
      <c r="BV611" s="127">
        <f>BL611</f>
        <v>44239</v>
      </c>
      <c r="BW611" s="90" t="str">
        <f>H611</f>
        <v>FDA</v>
      </c>
      <c r="BX611" s="90" t="str">
        <f>IF(H611="NATIONAL HEMOPHILIA FOUNDATION","Non Federal","Federal")</f>
        <v>Federal</v>
      </c>
      <c r="BY611" s="128">
        <f>BM611</f>
        <v>295564351.5</v>
      </c>
      <c r="BZ611" s="90" t="str">
        <f>IF(LEN(BR611)&gt;0,1,"")</f>
        <v/>
      </c>
      <c r="CA611" s="90" t="str">
        <f>IF(LEN(BR611)&gt;0,"VIRAL HEPATITIS PROJECT","")</f>
        <v/>
      </c>
      <c r="CB611" s="129" t="str">
        <f>IF(LEN(BR611)&gt;0,BM611*0.7,"")</f>
        <v/>
      </c>
      <c r="CC611" s="90">
        <f>BP611</f>
        <v>310342569.07499999</v>
      </c>
      <c r="CD611" s="90" t="str">
        <f>IF(LEN(BR611)&gt;0,"70%","")</f>
        <v/>
      </c>
      <c r="CE611" s="90">
        <f>BS611</f>
        <v>243528</v>
      </c>
      <c r="CF611" s="90" t="str">
        <f>CA611</f>
        <v/>
      </c>
      <c r="CG611" s="90"/>
      <c r="CH611" s="90"/>
      <c r="CI611" s="90"/>
      <c r="CJ611" s="90"/>
      <c r="CK611" s="90"/>
      <c r="CL611" s="90"/>
      <c r="CM611" s="90"/>
      <c r="CN611" s="90"/>
      <c r="CO611" s="90"/>
      <c r="CP611" s="90"/>
      <c r="CQ611" s="90"/>
      <c r="CR611" s="90"/>
      <c r="CS611" s="90"/>
      <c r="CT611" s="137"/>
    </row>
    <row r="612" spans="1:98" ht="90">
      <c r="A612" s="89">
        <v>243528</v>
      </c>
      <c r="B612" s="90">
        <v>2020</v>
      </c>
      <c r="C612" s="90" t="s">
        <v>81</v>
      </c>
      <c r="D612" s="90" t="s">
        <v>1604</v>
      </c>
      <c r="E612" s="125" t="s">
        <v>781</v>
      </c>
      <c r="F612" s="24" t="s">
        <v>1605</v>
      </c>
      <c r="G612" s="90" t="s">
        <v>85</v>
      </c>
      <c r="H612" s="90" t="s">
        <v>132</v>
      </c>
      <c r="I612" s="90">
        <v>93</v>
      </c>
      <c r="J612" s="90">
        <v>157</v>
      </c>
      <c r="K612" s="90" t="s">
        <v>85</v>
      </c>
      <c r="L612" s="90" t="s">
        <v>1606</v>
      </c>
      <c r="M612" s="90" t="s">
        <v>119</v>
      </c>
      <c r="N612" s="24" t="s">
        <v>1607</v>
      </c>
      <c r="O612" s="24" t="str">
        <f>IF(ISNUMBER(SEARCH("Cancer",N612)),"Cancer",IF(ISNUMBER(SEARCH("health",N612)),"Public health",IF(ISNUMBER(SEARCH("disabilities",N612)),"Disabilities","Other")))</f>
        <v>Other</v>
      </c>
      <c r="P612" s="126">
        <v>268694865</v>
      </c>
      <c r="Q612" s="90" t="s">
        <v>85</v>
      </c>
      <c r="R612" s="90" t="str">
        <f>IF(P612&gt;20000000,"B","A")</f>
        <v>B</v>
      </c>
      <c r="S612" s="90" t="s">
        <v>90</v>
      </c>
      <c r="T612" s="90" t="s">
        <v>119</v>
      </c>
      <c r="U612" s="90" t="s">
        <v>119</v>
      </c>
      <c r="V612" s="90" t="s">
        <v>119</v>
      </c>
      <c r="W612" s="90" t="s">
        <v>119</v>
      </c>
      <c r="X612" s="90" t="s">
        <v>119</v>
      </c>
      <c r="Y612" s="90" t="s">
        <v>119</v>
      </c>
      <c r="Z612" s="90" t="s">
        <v>119</v>
      </c>
      <c r="AA612" s="90" t="s">
        <v>119</v>
      </c>
      <c r="AB612" s="90" t="s">
        <v>119</v>
      </c>
      <c r="AC612" s="90" t="s">
        <v>119</v>
      </c>
      <c r="AD612" s="90" t="s">
        <v>119</v>
      </c>
      <c r="AE612" s="24">
        <v>0</v>
      </c>
      <c r="AF612" s="90">
        <v>0</v>
      </c>
      <c r="AG612" s="24">
        <v>0</v>
      </c>
      <c r="AH612" s="90">
        <v>90706</v>
      </c>
      <c r="AI612" s="24" t="s">
        <v>1433</v>
      </c>
      <c r="AJ612" s="24" t="s">
        <v>1434</v>
      </c>
      <c r="AK612" s="90" t="s">
        <v>85</v>
      </c>
      <c r="AL612" s="90">
        <v>243528</v>
      </c>
      <c r="AM612" s="90" t="s">
        <v>81</v>
      </c>
      <c r="AN612" s="90" t="s">
        <v>1604</v>
      </c>
      <c r="AO612" s="125" t="s">
        <v>781</v>
      </c>
      <c r="AP612" s="24" t="s">
        <v>1607</v>
      </c>
      <c r="AQ612" s="90" t="s">
        <v>1606</v>
      </c>
      <c r="AR612" s="24" t="s">
        <v>1607</v>
      </c>
      <c r="AS612" s="90" t="s">
        <v>119</v>
      </c>
      <c r="AT612" s="24" t="s">
        <v>1433</v>
      </c>
      <c r="AU612" s="90" t="s">
        <v>119</v>
      </c>
      <c r="AV612" s="90" t="str">
        <f>IF(ISNUMBER(SEARCH("disagree",AE612)),"N","Y")</f>
        <v>Y</v>
      </c>
      <c r="AW612" s="90" t="s">
        <v>119</v>
      </c>
      <c r="AX612" s="24" t="s">
        <v>119</v>
      </c>
      <c r="AY612" s="90" t="str">
        <f>CONCATENATE(AZ612,BA612,BB612,BC612)</f>
        <v/>
      </c>
      <c r="AZ612" s="90" t="str">
        <f>IF(ISNUMBER(SEARCH("Y",AC612)),"R","")</f>
        <v/>
      </c>
      <c r="BA612" s="90" t="str">
        <f>IF(ISNUMBER(SEARCH("Y",Y612)),"M","")</f>
        <v/>
      </c>
      <c r="BB612" s="90" t="str">
        <f>IF(ISNUMBER(SEARCH("Y",AB612)),"QC","")</f>
        <v/>
      </c>
      <c r="BC612" s="90" t="str">
        <f>IF(ISNUMBER(SEARCH("Y",Z612)),"S","")</f>
        <v/>
      </c>
      <c r="BD612" s="90"/>
      <c r="BE612" s="24" t="s">
        <v>119</v>
      </c>
      <c r="BF612" s="125" t="str">
        <f>IF(AND(AW612&gt;=56543,AW612&lt;=76543,LEN(AW612)&gt;0),"3 Feb 2020",IF(AND(AW612&gt;=66544,AW612&lt;=99999,LEN(AW612)&gt;0),"12 Sep 2020",""))</f>
        <v/>
      </c>
      <c r="BG612" s="125" t="str">
        <f>IF((AND(BF612="3 Feb 2020",LEN(BF612)&gt;0)),"Completed",IF((AND(BF612="12 Sep 2020",LEN(BF612)&gt;0)),"Pending",""))</f>
        <v/>
      </c>
      <c r="BH612" s="90" t="str">
        <f>IF((AND(BF612="3 Feb 2020",LEN(BF612)&gt;0)),"3 Feb 2020","")</f>
        <v/>
      </c>
      <c r="BI612" s="90">
        <v>243528</v>
      </c>
      <c r="BJ612" s="90" t="str">
        <f>L612</f>
        <v>7T57CT844112-55</v>
      </c>
      <c r="BK612" s="127">
        <v>43508</v>
      </c>
      <c r="BL612" s="127">
        <v>44239</v>
      </c>
      <c r="BM612" s="128">
        <f>P612*1.1</f>
        <v>295564351.5</v>
      </c>
      <c r="BN612" s="129">
        <f>P612*0.9</f>
        <v>241825378.5</v>
      </c>
      <c r="BO612" s="130">
        <f>P612*0.8</f>
        <v>214955892</v>
      </c>
      <c r="BP612" s="90">
        <f>IF(Z612="Y",BM612*0.4,BM612*1.05)</f>
        <v>310342569.07499999</v>
      </c>
      <c r="BQ612" s="90">
        <f>BP612*0.8</f>
        <v>248274055.25999999</v>
      </c>
      <c r="BR612" s="90" t="str">
        <f>IF(ISNUMBER(SEARCH("subrecipient",AI608)),P612*0.6,"")</f>
        <v/>
      </c>
      <c r="BS612" s="90">
        <v>243528</v>
      </c>
      <c r="BT612" s="90" t="str">
        <f>BJ612</f>
        <v>7T57CT844112-55</v>
      </c>
      <c r="BU612" s="127">
        <f>BK612</f>
        <v>43508</v>
      </c>
      <c r="BV612" s="127">
        <f>BL612</f>
        <v>44239</v>
      </c>
      <c r="BW612" s="90" t="str">
        <f>H612</f>
        <v>FDA</v>
      </c>
      <c r="BX612" s="90" t="str">
        <f>IF(H612="NATIONAL HEMOPHILIA FOUNDATION","Non Federal","Federal")</f>
        <v>Federal</v>
      </c>
      <c r="BY612" s="128">
        <f>BM612</f>
        <v>295564351.5</v>
      </c>
      <c r="BZ612" s="90" t="str">
        <f>IF(LEN(BR612)&gt;0,1,"")</f>
        <v/>
      </c>
      <c r="CA612" s="90" t="str">
        <f>IF(LEN(BR612)&gt;0,"VIRAL HEPATITIS PROJECT","")</f>
        <v/>
      </c>
      <c r="CB612" s="129" t="str">
        <f>IF(LEN(BR612)&gt;0,BM612*0.7,"")</f>
        <v/>
      </c>
      <c r="CC612" s="90">
        <f>BP612</f>
        <v>310342569.07499999</v>
      </c>
      <c r="CD612" s="90" t="str">
        <f>IF(LEN(BR612)&gt;0,"70%","")</f>
        <v/>
      </c>
      <c r="CE612" s="90">
        <f>BS612</f>
        <v>243528</v>
      </c>
      <c r="CF612" s="90" t="str">
        <f>CA612</f>
        <v/>
      </c>
      <c r="CG612" s="90"/>
      <c r="CH612" s="90"/>
      <c r="CI612" s="90"/>
      <c r="CJ612" s="90"/>
      <c r="CK612" s="90"/>
      <c r="CL612" s="90"/>
      <c r="CM612" s="90"/>
      <c r="CN612" s="90"/>
      <c r="CO612" s="90"/>
      <c r="CP612" s="90"/>
      <c r="CQ612" s="90"/>
      <c r="CR612" s="90"/>
      <c r="CS612" s="90"/>
      <c r="CT612" s="137"/>
    </row>
    <row r="613" spans="1:98" ht="180">
      <c r="A613" s="89">
        <v>243616</v>
      </c>
      <c r="B613" s="90">
        <v>2020</v>
      </c>
      <c r="C613" s="90" t="s">
        <v>81</v>
      </c>
      <c r="D613" s="90" t="s">
        <v>1611</v>
      </c>
      <c r="E613" s="125" t="s">
        <v>784</v>
      </c>
      <c r="F613" s="24" t="s">
        <v>1612</v>
      </c>
      <c r="G613" s="90" t="s">
        <v>85</v>
      </c>
      <c r="H613" s="90" t="s">
        <v>150</v>
      </c>
      <c r="I613" s="90">
        <v>93</v>
      </c>
      <c r="J613" s="90">
        <v>157</v>
      </c>
      <c r="K613" s="90" t="s">
        <v>85</v>
      </c>
      <c r="L613" s="90" t="s">
        <v>1613</v>
      </c>
      <c r="M613" s="90" t="s">
        <v>119</v>
      </c>
      <c r="N613" s="24" t="s">
        <v>1614</v>
      </c>
      <c r="O613" s="24" t="str">
        <f>IF(ISNUMBER(SEARCH("Cancer",N613)),"Cancer",IF(ISNUMBER(SEARCH("health",N613)),"Public health",IF(ISNUMBER(SEARCH("disabilities",N613)),"Disabilities","Other")))</f>
        <v>Other</v>
      </c>
      <c r="P613" s="126">
        <v>364149498</v>
      </c>
      <c r="Q613" s="90" t="s">
        <v>85</v>
      </c>
      <c r="R613" s="90" t="str">
        <f>IF(P613&gt;20000000,"B","A")</f>
        <v>B</v>
      </c>
      <c r="S613" s="90" t="s">
        <v>90</v>
      </c>
      <c r="T613" s="90" t="s">
        <v>119</v>
      </c>
      <c r="U613" s="90" t="s">
        <v>119</v>
      </c>
      <c r="V613" s="90" t="s">
        <v>119</v>
      </c>
      <c r="W613" s="90" t="s">
        <v>119</v>
      </c>
      <c r="X613" s="90" t="s">
        <v>119</v>
      </c>
      <c r="Y613" s="90" t="s">
        <v>119</v>
      </c>
      <c r="Z613" s="90" t="s">
        <v>119</v>
      </c>
      <c r="AA613" s="90" t="s">
        <v>119</v>
      </c>
      <c r="AB613" s="90" t="s">
        <v>119</v>
      </c>
      <c r="AC613" s="90" t="s">
        <v>119</v>
      </c>
      <c r="AD613" s="90" t="s">
        <v>119</v>
      </c>
      <c r="AE613" s="24">
        <v>0</v>
      </c>
      <c r="AF613" s="90">
        <v>0</v>
      </c>
      <c r="AG613" s="24">
        <v>0</v>
      </c>
      <c r="AH613" s="90">
        <v>90823</v>
      </c>
      <c r="AI613" s="24" t="s">
        <v>94</v>
      </c>
      <c r="AJ613" s="24" t="s">
        <v>1615</v>
      </c>
      <c r="AK613" s="90" t="s">
        <v>85</v>
      </c>
      <c r="AL613" s="90">
        <v>243616</v>
      </c>
      <c r="AM613" s="90" t="s">
        <v>81</v>
      </c>
      <c r="AN613" s="90" t="s">
        <v>1611</v>
      </c>
      <c r="AO613" s="125" t="s">
        <v>784</v>
      </c>
      <c r="AP613" s="24" t="s">
        <v>1614</v>
      </c>
      <c r="AQ613" s="90" t="s">
        <v>1613</v>
      </c>
      <c r="AR613" s="24" t="s">
        <v>1614</v>
      </c>
      <c r="AS613" s="90" t="s">
        <v>119</v>
      </c>
      <c r="AT613" s="24" t="s">
        <v>94</v>
      </c>
      <c r="AU613" s="90" t="s">
        <v>119</v>
      </c>
      <c r="AV613" s="90" t="str">
        <f>IF(ISNUMBER(SEARCH("disagree",AE613)),"N","Y")</f>
        <v>Y</v>
      </c>
      <c r="AW613" s="90" t="s">
        <v>119</v>
      </c>
      <c r="AX613" s="24" t="s">
        <v>119</v>
      </c>
      <c r="AY613" s="90" t="str">
        <f>CONCATENATE(AZ613,BA613,BB613,BC613)</f>
        <v/>
      </c>
      <c r="AZ613" s="90" t="str">
        <f>IF(ISNUMBER(SEARCH("Y",AC613)),"R","")</f>
        <v/>
      </c>
      <c r="BA613" s="90" t="str">
        <f>IF(ISNUMBER(SEARCH("Y",Y613)),"M","")</f>
        <v/>
      </c>
      <c r="BB613" s="90" t="str">
        <f>IF(ISNUMBER(SEARCH("Y",AB613)),"QC","")</f>
        <v/>
      </c>
      <c r="BC613" s="90" t="str">
        <f>IF(ISNUMBER(SEARCH("Y",Z613)),"S","")</f>
        <v/>
      </c>
      <c r="BD613" s="90"/>
      <c r="BE613" s="24" t="s">
        <v>119</v>
      </c>
      <c r="BF613" s="125" t="str">
        <f>IF(AND(AW613&gt;=56543,AW613&lt;=76543,LEN(AW613)&gt;0),"3 Feb 2020",IF(AND(AW613&gt;=66544,AW613&lt;=99999,LEN(AW613)&gt;0),"12 Sep 2020",""))</f>
        <v/>
      </c>
      <c r="BG613" s="125" t="str">
        <f>IF((AND(BF613="3 Feb 2020",LEN(BF613)&gt;0)),"Completed",IF((AND(BF613="12 Sep 2020",LEN(BF613)&gt;0)),"Pending",""))</f>
        <v/>
      </c>
      <c r="BH613" s="90" t="str">
        <f>IF((AND(BF613="3 Feb 2020",LEN(BF613)&gt;0)),"3 Feb 2020","")</f>
        <v/>
      </c>
      <c r="BI613" s="90">
        <v>243616</v>
      </c>
      <c r="BJ613" s="90" t="str">
        <f>L613</f>
        <v>7S28IS845468-54</v>
      </c>
      <c r="BK613" s="127">
        <v>43508</v>
      </c>
      <c r="BL613" s="127">
        <v>44239</v>
      </c>
      <c r="BM613" s="128">
        <f>P613*1.1</f>
        <v>400564447.80000001</v>
      </c>
      <c r="BN613" s="129">
        <f>P613*0.9</f>
        <v>327734548.19999999</v>
      </c>
      <c r="BO613" s="130">
        <f>P613*0.8</f>
        <v>291319598.40000004</v>
      </c>
      <c r="BP613" s="90">
        <f>IF(Z613="Y",BM613*0.4,BM613*1.05)</f>
        <v>420592670.19000006</v>
      </c>
      <c r="BQ613" s="90">
        <f>BP613*0.8</f>
        <v>336474136.15200007</v>
      </c>
      <c r="BR613" s="90" t="str">
        <f>IF(ISNUMBER(SEARCH("subrecipient",AI609)),P613*0.6,"")</f>
        <v/>
      </c>
      <c r="BS613" s="90">
        <v>243616</v>
      </c>
      <c r="BT613" s="90" t="str">
        <f>BJ613</f>
        <v>7S28IS845468-54</v>
      </c>
      <c r="BU613" s="127">
        <f>BK613</f>
        <v>43508</v>
      </c>
      <c r="BV613" s="127">
        <f>BL613</f>
        <v>44239</v>
      </c>
      <c r="BW613" s="90" t="str">
        <f>H613</f>
        <v>ACF</v>
      </c>
      <c r="BX613" s="90" t="str">
        <f>IF(H613="NATIONAL HEMOPHILIA FOUNDATION","Non Federal","Federal")</f>
        <v>Federal</v>
      </c>
      <c r="BY613" s="128">
        <f>BM613</f>
        <v>400564447.80000001</v>
      </c>
      <c r="BZ613" s="90" t="str">
        <f>IF(LEN(BR613)&gt;0,1,"")</f>
        <v/>
      </c>
      <c r="CA613" s="90" t="str">
        <f>IF(LEN(BR613)&gt;0,"VIRAL HEPATITIS PROJECT","")</f>
        <v/>
      </c>
      <c r="CB613" s="129" t="str">
        <f>IF(LEN(BR613)&gt;0,BM613*0.7,"")</f>
        <v/>
      </c>
      <c r="CC613" s="90">
        <f>BP613</f>
        <v>420592670.19000006</v>
      </c>
      <c r="CD613" s="90" t="str">
        <f>IF(LEN(BR613)&gt;0,"70%","")</f>
        <v/>
      </c>
      <c r="CE613" s="90">
        <f>BS613</f>
        <v>243616</v>
      </c>
      <c r="CF613" s="90" t="str">
        <f>CA613</f>
        <v/>
      </c>
      <c r="CG613" s="90"/>
      <c r="CH613" s="90"/>
      <c r="CI613" s="90"/>
      <c r="CJ613" s="90"/>
      <c r="CK613" s="90"/>
      <c r="CL613" s="90"/>
      <c r="CM613" s="90"/>
      <c r="CN613" s="90"/>
      <c r="CO613" s="90"/>
      <c r="CP613" s="90"/>
      <c r="CQ613" s="90"/>
      <c r="CR613" s="90"/>
      <c r="CS613" s="90"/>
      <c r="CT613" s="137"/>
    </row>
    <row r="614" spans="1:98" ht="180">
      <c r="A614" s="89">
        <v>243616</v>
      </c>
      <c r="B614" s="90">
        <v>2020</v>
      </c>
      <c r="C614" s="90" t="s">
        <v>81</v>
      </c>
      <c r="D614" s="90" t="s">
        <v>1611</v>
      </c>
      <c r="E614" s="125" t="s">
        <v>790</v>
      </c>
      <c r="F614" s="24" t="s">
        <v>1612</v>
      </c>
      <c r="G614" s="90" t="s">
        <v>85</v>
      </c>
      <c r="H614" s="90" t="s">
        <v>150</v>
      </c>
      <c r="I614" s="90">
        <v>93</v>
      </c>
      <c r="J614" s="90">
        <v>157</v>
      </c>
      <c r="K614" s="90" t="s">
        <v>85</v>
      </c>
      <c r="L614" s="90" t="s">
        <v>1613</v>
      </c>
      <c r="M614" s="90" t="s">
        <v>119</v>
      </c>
      <c r="N614" s="24" t="s">
        <v>1614</v>
      </c>
      <c r="O614" s="24" t="str">
        <f>IF(ISNUMBER(SEARCH("Cancer",N614)),"Cancer",IF(ISNUMBER(SEARCH("health",N614)),"Public health",IF(ISNUMBER(SEARCH("disabilities",N614)),"Disabilities","Other")))</f>
        <v>Other</v>
      </c>
      <c r="P614" s="126">
        <v>364149498</v>
      </c>
      <c r="Q614" s="90" t="s">
        <v>85</v>
      </c>
      <c r="R614" s="90" t="str">
        <f>IF(P614&gt;20000000,"B","A")</f>
        <v>B</v>
      </c>
      <c r="S614" s="90" t="s">
        <v>90</v>
      </c>
      <c r="T614" s="90" t="s">
        <v>119</v>
      </c>
      <c r="U614" s="90" t="s">
        <v>119</v>
      </c>
      <c r="V614" s="90" t="s">
        <v>119</v>
      </c>
      <c r="W614" s="90" t="s">
        <v>119</v>
      </c>
      <c r="X614" s="90" t="s">
        <v>119</v>
      </c>
      <c r="Y614" s="90" t="s">
        <v>119</v>
      </c>
      <c r="Z614" s="90" t="s">
        <v>119</v>
      </c>
      <c r="AA614" s="90" t="s">
        <v>119</v>
      </c>
      <c r="AB614" s="90" t="s">
        <v>119</v>
      </c>
      <c r="AC614" s="90" t="s">
        <v>119</v>
      </c>
      <c r="AD614" s="90" t="s">
        <v>119</v>
      </c>
      <c r="AE614" s="24">
        <v>0</v>
      </c>
      <c r="AF614" s="90">
        <v>0</v>
      </c>
      <c r="AG614" s="24">
        <v>0</v>
      </c>
      <c r="AH614" s="90">
        <v>90822</v>
      </c>
      <c r="AI614" s="24" t="s">
        <v>102</v>
      </c>
      <c r="AJ614" s="24" t="s">
        <v>103</v>
      </c>
      <c r="AK614" s="90" t="s">
        <v>85</v>
      </c>
      <c r="AL614" s="90">
        <v>243616</v>
      </c>
      <c r="AM614" s="90" t="s">
        <v>81</v>
      </c>
      <c r="AN614" s="90" t="s">
        <v>1611</v>
      </c>
      <c r="AO614" s="125" t="s">
        <v>790</v>
      </c>
      <c r="AP614" s="24" t="s">
        <v>1614</v>
      </c>
      <c r="AQ614" s="90" t="s">
        <v>1613</v>
      </c>
      <c r="AR614" s="24" t="s">
        <v>1614</v>
      </c>
      <c r="AS614" s="90" t="s">
        <v>119</v>
      </c>
      <c r="AT614" s="24" t="s">
        <v>102</v>
      </c>
      <c r="AU614" s="90" t="s">
        <v>119</v>
      </c>
      <c r="AV614" s="90" t="str">
        <f>IF(ISNUMBER(SEARCH("disagree",AE614)),"N","Y")</f>
        <v>Y</v>
      </c>
      <c r="AW614" s="90" t="s">
        <v>119</v>
      </c>
      <c r="AX614" s="24" t="s">
        <v>119</v>
      </c>
      <c r="AY614" s="90" t="str">
        <f>CONCATENATE(AZ614,BA614,BB614,BC614)</f>
        <v/>
      </c>
      <c r="AZ614" s="90" t="str">
        <f>IF(ISNUMBER(SEARCH("Y",AC614)),"R","")</f>
        <v/>
      </c>
      <c r="BA614" s="90" t="str">
        <f>IF(ISNUMBER(SEARCH("Y",Y614)),"M","")</f>
        <v/>
      </c>
      <c r="BB614" s="90" t="str">
        <f>IF(ISNUMBER(SEARCH("Y",AB614)),"QC","")</f>
        <v/>
      </c>
      <c r="BC614" s="90" t="str">
        <f>IF(ISNUMBER(SEARCH("Y",Z614)),"S","")</f>
        <v/>
      </c>
      <c r="BD614" s="90"/>
      <c r="BE614" s="24" t="s">
        <v>119</v>
      </c>
      <c r="BF614" s="125" t="str">
        <f>IF(AND(AW614&gt;=56543,AW614&lt;=76543,LEN(AW614)&gt;0),"3 Feb 2020",IF(AND(AW614&gt;=66544,AW614&lt;=99999,LEN(AW614)&gt;0),"12 Sep 2020",""))</f>
        <v/>
      </c>
      <c r="BG614" s="125" t="str">
        <f>IF((AND(BF614="3 Feb 2020",LEN(BF614)&gt;0)),"Completed",IF((AND(BF614="12 Sep 2020",LEN(BF614)&gt;0)),"Pending",""))</f>
        <v/>
      </c>
      <c r="BH614" s="90" t="str">
        <f>IF((AND(BF614="3 Feb 2020",LEN(BF614)&gt;0)),"3 Feb 2020","")</f>
        <v/>
      </c>
      <c r="BI614" s="90">
        <v>243616</v>
      </c>
      <c r="BJ614" s="90" t="str">
        <f>L614</f>
        <v>7S28IS845468-54</v>
      </c>
      <c r="BK614" s="127">
        <v>43508</v>
      </c>
      <c r="BL614" s="127">
        <v>44239</v>
      </c>
      <c r="BM614" s="128">
        <f>P614*1.1</f>
        <v>400564447.80000001</v>
      </c>
      <c r="BN614" s="129">
        <f>P614*0.9</f>
        <v>327734548.19999999</v>
      </c>
      <c r="BO614" s="130">
        <f>P614*0.8</f>
        <v>291319598.40000004</v>
      </c>
      <c r="BP614" s="90">
        <f>IF(Z614="Y",BM614*0.4,BM614*1.05)</f>
        <v>420592670.19000006</v>
      </c>
      <c r="BQ614" s="90">
        <f>BP614*0.8</f>
        <v>336474136.15200007</v>
      </c>
      <c r="BR614" s="90" t="str">
        <f>IF(ISNUMBER(SEARCH("subrecipient",AI610)),P614*0.6,"")</f>
        <v/>
      </c>
      <c r="BS614" s="90">
        <v>243616</v>
      </c>
      <c r="BT614" s="90" t="str">
        <f>BJ614</f>
        <v>7S28IS845468-54</v>
      </c>
      <c r="BU614" s="127">
        <f>BK614</f>
        <v>43508</v>
      </c>
      <c r="BV614" s="127">
        <f>BL614</f>
        <v>44239</v>
      </c>
      <c r="BW614" s="90" t="str">
        <f>H614</f>
        <v>ACF</v>
      </c>
      <c r="BX614" s="90" t="str">
        <f>IF(H614="NATIONAL HEMOPHILIA FOUNDATION","Non Federal","Federal")</f>
        <v>Federal</v>
      </c>
      <c r="BY614" s="128">
        <f>BM614</f>
        <v>400564447.80000001</v>
      </c>
      <c r="BZ614" s="90" t="str">
        <f>IF(LEN(BR614)&gt;0,1,"")</f>
        <v/>
      </c>
      <c r="CA614" s="90" t="str">
        <f>IF(LEN(BR614)&gt;0,"VIRAL HEPATITIS PROJECT","")</f>
        <v/>
      </c>
      <c r="CB614" s="129" t="str">
        <f>IF(LEN(BR614)&gt;0,BM614*0.7,"")</f>
        <v/>
      </c>
      <c r="CC614" s="90">
        <f>BP614</f>
        <v>420592670.19000006</v>
      </c>
      <c r="CD614" s="90" t="str">
        <f>IF(LEN(BR614)&gt;0,"70%","")</f>
        <v/>
      </c>
      <c r="CE614" s="90">
        <f>BS614</f>
        <v>243616</v>
      </c>
      <c r="CF614" s="90" t="str">
        <f>CA614</f>
        <v/>
      </c>
      <c r="CG614" s="90"/>
      <c r="CH614" s="90"/>
      <c r="CI614" s="90"/>
      <c r="CJ614" s="90"/>
      <c r="CK614" s="90"/>
      <c r="CL614" s="90"/>
      <c r="CM614" s="90"/>
      <c r="CN614" s="90"/>
      <c r="CO614" s="90"/>
      <c r="CP614" s="90"/>
      <c r="CQ614" s="90"/>
      <c r="CR614" s="90"/>
      <c r="CS614" s="90"/>
      <c r="CT614" s="137"/>
    </row>
    <row r="615" spans="1:98" ht="180">
      <c r="A615" s="89">
        <v>243616</v>
      </c>
      <c r="B615" s="90">
        <v>2020</v>
      </c>
      <c r="C615" s="90" t="s">
        <v>81</v>
      </c>
      <c r="D615" s="90" t="s">
        <v>1611</v>
      </c>
      <c r="E615" s="125" t="s">
        <v>791</v>
      </c>
      <c r="F615" s="24" t="s">
        <v>1612</v>
      </c>
      <c r="G615" s="90" t="s">
        <v>85</v>
      </c>
      <c r="H615" s="90" t="s">
        <v>150</v>
      </c>
      <c r="I615" s="90">
        <v>93</v>
      </c>
      <c r="J615" s="90">
        <v>157</v>
      </c>
      <c r="K615" s="90" t="s">
        <v>85</v>
      </c>
      <c r="L615" s="90" t="s">
        <v>1613</v>
      </c>
      <c r="M615" s="90" t="s">
        <v>119</v>
      </c>
      <c r="N615" s="24" t="s">
        <v>1614</v>
      </c>
      <c r="O615" s="24" t="str">
        <f>IF(ISNUMBER(SEARCH("Cancer",N615)),"Cancer",IF(ISNUMBER(SEARCH("health",N615)),"Public health",IF(ISNUMBER(SEARCH("disabilities",N615)),"Disabilities","Other")))</f>
        <v>Other</v>
      </c>
      <c r="P615" s="126">
        <v>364149498</v>
      </c>
      <c r="Q615" s="90" t="s">
        <v>85</v>
      </c>
      <c r="R615" s="90" t="str">
        <f>IF(P615&gt;20000000,"B","A")</f>
        <v>B</v>
      </c>
      <c r="S615" s="90" t="s">
        <v>90</v>
      </c>
      <c r="T615" s="90" t="s">
        <v>119</v>
      </c>
      <c r="U615" s="90" t="s">
        <v>119</v>
      </c>
      <c r="V615" s="90" t="s">
        <v>119</v>
      </c>
      <c r="W615" s="90" t="s">
        <v>119</v>
      </c>
      <c r="X615" s="90" t="s">
        <v>119</v>
      </c>
      <c r="Y615" s="90" t="s">
        <v>119</v>
      </c>
      <c r="Z615" s="90" t="s">
        <v>119</v>
      </c>
      <c r="AA615" s="90" t="s">
        <v>119</v>
      </c>
      <c r="AB615" s="90" t="s">
        <v>119</v>
      </c>
      <c r="AC615" s="90" t="s">
        <v>119</v>
      </c>
      <c r="AD615" s="90" t="s">
        <v>119</v>
      </c>
      <c r="AE615" s="24">
        <v>0</v>
      </c>
      <c r="AF615" s="90">
        <v>0</v>
      </c>
      <c r="AG615" s="24">
        <v>0</v>
      </c>
      <c r="AH615" s="90">
        <v>90824</v>
      </c>
      <c r="AI615" s="24" t="s">
        <v>110</v>
      </c>
      <c r="AJ615" s="24" t="s">
        <v>1616</v>
      </c>
      <c r="AK615" s="90" t="s">
        <v>85</v>
      </c>
      <c r="AL615" s="90">
        <v>243616</v>
      </c>
      <c r="AM615" s="90" t="s">
        <v>81</v>
      </c>
      <c r="AN615" s="90" t="s">
        <v>1611</v>
      </c>
      <c r="AO615" s="125" t="s">
        <v>791</v>
      </c>
      <c r="AP615" s="24" t="s">
        <v>1614</v>
      </c>
      <c r="AQ615" s="90" t="s">
        <v>1613</v>
      </c>
      <c r="AR615" s="24" t="s">
        <v>1614</v>
      </c>
      <c r="AS615" s="90" t="s">
        <v>119</v>
      </c>
      <c r="AT615" s="24" t="s">
        <v>110</v>
      </c>
      <c r="AU615" s="90" t="s">
        <v>119</v>
      </c>
      <c r="AV615" s="90" t="str">
        <f>IF(ISNUMBER(SEARCH("disagree",AE615)),"N","Y")</f>
        <v>Y</v>
      </c>
      <c r="AW615" s="90" t="s">
        <v>119</v>
      </c>
      <c r="AX615" s="24" t="s">
        <v>119</v>
      </c>
      <c r="AY615" s="90" t="str">
        <f>CONCATENATE(AZ615,BA615,BB615,BC615)</f>
        <v/>
      </c>
      <c r="AZ615" s="90" t="str">
        <f>IF(ISNUMBER(SEARCH("Y",AC615)),"R","")</f>
        <v/>
      </c>
      <c r="BA615" s="90" t="str">
        <f>IF(ISNUMBER(SEARCH("Y",Y615)),"M","")</f>
        <v/>
      </c>
      <c r="BB615" s="90" t="str">
        <f>IF(ISNUMBER(SEARCH("Y",AB615)),"QC","")</f>
        <v/>
      </c>
      <c r="BC615" s="90" t="str">
        <f>IF(ISNUMBER(SEARCH("Y",Z615)),"S","")</f>
        <v/>
      </c>
      <c r="BD615" s="90"/>
      <c r="BE615" s="24" t="s">
        <v>119</v>
      </c>
      <c r="BF615" s="125" t="str">
        <f>IF(AND(AW615&gt;=56543,AW615&lt;=76543,LEN(AW615)&gt;0),"3 Feb 2020",IF(AND(AW615&gt;=66544,AW615&lt;=99999,LEN(AW615)&gt;0),"12 Sep 2020",""))</f>
        <v/>
      </c>
      <c r="BG615" s="125" t="str">
        <f>IF((AND(BF615="3 Feb 2020",LEN(BF615)&gt;0)),"Completed",IF((AND(BF615="12 Sep 2020",LEN(BF615)&gt;0)),"Pending",""))</f>
        <v/>
      </c>
      <c r="BH615" s="90" t="str">
        <f>IF((AND(BF615="3 Feb 2020",LEN(BF615)&gt;0)),"3 Feb 2020","")</f>
        <v/>
      </c>
      <c r="BI615" s="90">
        <v>243616</v>
      </c>
      <c r="BJ615" s="90" t="str">
        <f>L615</f>
        <v>7S28IS845468-54</v>
      </c>
      <c r="BK615" s="127">
        <v>43508</v>
      </c>
      <c r="BL615" s="127">
        <v>44239</v>
      </c>
      <c r="BM615" s="128">
        <f>P615*1.1</f>
        <v>400564447.80000001</v>
      </c>
      <c r="BN615" s="129">
        <f>P615*0.9</f>
        <v>327734548.19999999</v>
      </c>
      <c r="BO615" s="130">
        <f>P615*0.8</f>
        <v>291319598.40000004</v>
      </c>
      <c r="BP615" s="90">
        <f>IF(Z615="Y",BM615*0.4,BM615*1.05)</f>
        <v>420592670.19000006</v>
      </c>
      <c r="BQ615" s="90">
        <f>BP615*0.8</f>
        <v>336474136.15200007</v>
      </c>
      <c r="BR615" s="90" t="str">
        <f>IF(ISNUMBER(SEARCH("subrecipient",AI611)),P615*0.6,"")</f>
        <v/>
      </c>
      <c r="BS615" s="90">
        <v>243616</v>
      </c>
      <c r="BT615" s="90" t="str">
        <f>BJ615</f>
        <v>7S28IS845468-54</v>
      </c>
      <c r="BU615" s="127">
        <f>BK615</f>
        <v>43508</v>
      </c>
      <c r="BV615" s="127">
        <f>BL615</f>
        <v>44239</v>
      </c>
      <c r="BW615" s="90" t="str">
        <f>H615</f>
        <v>ACF</v>
      </c>
      <c r="BX615" s="90" t="str">
        <f>IF(H615="NATIONAL HEMOPHILIA FOUNDATION","Non Federal","Federal")</f>
        <v>Federal</v>
      </c>
      <c r="BY615" s="128">
        <f>BM615</f>
        <v>400564447.80000001</v>
      </c>
      <c r="BZ615" s="90" t="str">
        <f>IF(LEN(BR615)&gt;0,1,"")</f>
        <v/>
      </c>
      <c r="CA615" s="90" t="str">
        <f>IF(LEN(BR615)&gt;0,"VIRAL HEPATITIS PROJECT","")</f>
        <v/>
      </c>
      <c r="CB615" s="129" t="str">
        <f>IF(LEN(BR615)&gt;0,BM615*0.7,"")</f>
        <v/>
      </c>
      <c r="CC615" s="90">
        <f>BP615</f>
        <v>420592670.19000006</v>
      </c>
      <c r="CD615" s="90" t="str">
        <f>IF(LEN(BR615)&gt;0,"70%","")</f>
        <v/>
      </c>
      <c r="CE615" s="90">
        <f>BS615</f>
        <v>243616</v>
      </c>
      <c r="CF615" s="90" t="str">
        <f>CA615</f>
        <v/>
      </c>
      <c r="CG615" s="90"/>
      <c r="CH615" s="90"/>
      <c r="CI615" s="90"/>
      <c r="CJ615" s="90"/>
      <c r="CK615" s="90"/>
      <c r="CL615" s="90"/>
      <c r="CM615" s="90"/>
      <c r="CN615" s="90"/>
      <c r="CO615" s="90"/>
      <c r="CP615" s="90"/>
      <c r="CQ615" s="90"/>
      <c r="CR615" s="90"/>
      <c r="CS615" s="90"/>
      <c r="CT615" s="137"/>
    </row>
    <row r="616" spans="1:98" ht="90">
      <c r="A616" s="89">
        <v>244339</v>
      </c>
      <c r="B616" s="90">
        <v>2020</v>
      </c>
      <c r="C616" s="90" t="s">
        <v>81</v>
      </c>
      <c r="D616" s="90" t="s">
        <v>1617</v>
      </c>
      <c r="E616" s="125" t="s">
        <v>793</v>
      </c>
      <c r="F616" s="24" t="s">
        <v>1618</v>
      </c>
      <c r="G616" s="90" t="s">
        <v>85</v>
      </c>
      <c r="H616" s="90" t="s">
        <v>86</v>
      </c>
      <c r="I616" s="90">
        <v>93</v>
      </c>
      <c r="J616" s="90">
        <v>157</v>
      </c>
      <c r="K616" s="90" t="s">
        <v>85</v>
      </c>
      <c r="L616" s="90" t="s">
        <v>1619</v>
      </c>
      <c r="M616" s="90" t="s">
        <v>119</v>
      </c>
      <c r="N616" s="24" t="s">
        <v>1371</v>
      </c>
      <c r="O616" s="24" t="str">
        <f>IF(ISNUMBER(SEARCH("Cancer",N616)),"Cancer",IF(ISNUMBER(SEARCH("health",N616)),"Public health",IF(ISNUMBER(SEARCH("disabilities",N616)),"Disabilities","Other")))</f>
        <v>Other</v>
      </c>
      <c r="P616" s="126">
        <v>238592557</v>
      </c>
      <c r="Q616" s="90" t="s">
        <v>85</v>
      </c>
      <c r="R616" s="90" t="str">
        <f>IF(P616&gt;20000000,"B","A")</f>
        <v>B</v>
      </c>
      <c r="S616" s="90" t="s">
        <v>90</v>
      </c>
      <c r="T616" s="90" t="s">
        <v>119</v>
      </c>
      <c r="U616" s="90" t="s">
        <v>119</v>
      </c>
      <c r="V616" s="90" t="s">
        <v>119</v>
      </c>
      <c r="W616" s="90" t="s">
        <v>119</v>
      </c>
      <c r="X616" s="90" t="s">
        <v>119</v>
      </c>
      <c r="Y616" s="90" t="s">
        <v>119</v>
      </c>
      <c r="Z616" s="90" t="s">
        <v>119</v>
      </c>
      <c r="AA616" s="90" t="s">
        <v>119</v>
      </c>
      <c r="AB616" s="90" t="s">
        <v>119</v>
      </c>
      <c r="AC616" s="90" t="s">
        <v>119</v>
      </c>
      <c r="AD616" s="90" t="s">
        <v>119</v>
      </c>
      <c r="AE616" s="24">
        <v>0</v>
      </c>
      <c r="AF616" s="90">
        <v>0</v>
      </c>
      <c r="AG616" s="24">
        <v>0</v>
      </c>
      <c r="AH616" s="90">
        <v>89463</v>
      </c>
      <c r="AI616" s="24" t="s">
        <v>94</v>
      </c>
      <c r="AJ616" s="24" t="s">
        <v>95</v>
      </c>
      <c r="AK616" s="90" t="s">
        <v>85</v>
      </c>
      <c r="AL616" s="90">
        <v>244339</v>
      </c>
      <c r="AM616" s="90" t="s">
        <v>81</v>
      </c>
      <c r="AN616" s="90" t="s">
        <v>1617</v>
      </c>
      <c r="AO616" s="125" t="s">
        <v>793</v>
      </c>
      <c r="AP616" s="24" t="s">
        <v>1371</v>
      </c>
      <c r="AQ616" s="90" t="s">
        <v>1619</v>
      </c>
      <c r="AR616" s="24" t="s">
        <v>1371</v>
      </c>
      <c r="AS616" s="90" t="s">
        <v>119</v>
      </c>
      <c r="AT616" s="24" t="s">
        <v>94</v>
      </c>
      <c r="AU616" s="90" t="s">
        <v>119</v>
      </c>
      <c r="AV616" s="90" t="str">
        <f>IF(ISNUMBER(SEARCH("disagree",AE616)),"N","Y")</f>
        <v>Y</v>
      </c>
      <c r="AW616" s="90" t="s">
        <v>119</v>
      </c>
      <c r="AX616" s="24" t="s">
        <v>119</v>
      </c>
      <c r="AY616" s="90" t="str">
        <f>CONCATENATE(AZ616,BA616,BB616,BC616)</f>
        <v/>
      </c>
      <c r="AZ616" s="90" t="str">
        <f>IF(ISNUMBER(SEARCH("Y",AC616)),"R","")</f>
        <v/>
      </c>
      <c r="BA616" s="90" t="str">
        <f>IF(ISNUMBER(SEARCH("Y",Y616)),"M","")</f>
        <v/>
      </c>
      <c r="BB616" s="90" t="str">
        <f>IF(ISNUMBER(SEARCH("Y",AB616)),"QC","")</f>
        <v/>
      </c>
      <c r="BC616" s="90" t="str">
        <f>IF(ISNUMBER(SEARCH("Y",Z616)),"S","")</f>
        <v/>
      </c>
      <c r="BD616" s="90"/>
      <c r="BE616" s="24" t="s">
        <v>119</v>
      </c>
      <c r="BF616" s="125" t="str">
        <f>IF(AND(AW616&gt;=56543,AW616&lt;=76543,LEN(AW616)&gt;0),"3 Feb 2020",IF(AND(AW616&gt;=66544,AW616&lt;=99999,LEN(AW616)&gt;0),"12 Sep 2020",""))</f>
        <v/>
      </c>
      <c r="BG616" s="125" t="str">
        <f>IF((AND(BF616="3 Feb 2020",LEN(BF616)&gt;0)),"Completed",IF((AND(BF616="12 Sep 2020",LEN(BF616)&gt;0)),"Pending",""))</f>
        <v/>
      </c>
      <c r="BH616" s="90" t="str">
        <f>IF((AND(BF616="3 Feb 2020",LEN(BF616)&gt;0)),"3 Feb 2020","")</f>
        <v/>
      </c>
      <c r="BI616" s="90">
        <v>244339</v>
      </c>
      <c r="BJ616" s="90" t="str">
        <f>L616</f>
        <v>5R86IR843753-85</v>
      </c>
      <c r="BK616" s="127">
        <v>43508</v>
      </c>
      <c r="BL616" s="127">
        <v>44239</v>
      </c>
      <c r="BM616" s="128">
        <f>P616*1.1</f>
        <v>262451812.70000002</v>
      </c>
      <c r="BN616" s="129">
        <f>P616*0.9</f>
        <v>214733301.30000001</v>
      </c>
      <c r="BO616" s="130">
        <f>P616*0.8</f>
        <v>190874045.60000002</v>
      </c>
      <c r="BP616" s="90">
        <f>IF(Z616="Y",BM616*0.4,BM616*1.05)</f>
        <v>275574403.33500004</v>
      </c>
      <c r="BQ616" s="90">
        <f>BP616*0.8</f>
        <v>220459522.66800004</v>
      </c>
      <c r="BR616" s="90" t="str">
        <f>IF(ISNUMBER(SEARCH("subrecipient",AI612)),P616*0.6,"")</f>
        <v/>
      </c>
      <c r="BS616" s="90">
        <v>244339</v>
      </c>
      <c r="BT616" s="90" t="str">
        <f>BJ616</f>
        <v>5R86IR843753-85</v>
      </c>
      <c r="BU616" s="127">
        <f>BK616</f>
        <v>43508</v>
      </c>
      <c r="BV616" s="127">
        <f>BL616</f>
        <v>44239</v>
      </c>
      <c r="BW616" s="90" t="str">
        <f>H616</f>
        <v>CDC</v>
      </c>
      <c r="BX616" s="90" t="str">
        <f>IF(H616="NATIONAL HEMOPHILIA FOUNDATION","Non Federal","Federal")</f>
        <v>Federal</v>
      </c>
      <c r="BY616" s="128">
        <f>BM616</f>
        <v>262451812.70000002</v>
      </c>
      <c r="BZ616" s="90" t="str">
        <f>IF(LEN(BR616)&gt;0,1,"")</f>
        <v/>
      </c>
      <c r="CA616" s="90" t="str">
        <f>IF(LEN(BR616)&gt;0,"VIRAL HEPATITIS PROJECT","")</f>
        <v/>
      </c>
      <c r="CB616" s="129" t="str">
        <f>IF(LEN(BR616)&gt;0,BM616*0.7,"")</f>
        <v/>
      </c>
      <c r="CC616" s="90">
        <f>BP616</f>
        <v>275574403.33500004</v>
      </c>
      <c r="CD616" s="90" t="str">
        <f>IF(LEN(BR616)&gt;0,"70%","")</f>
        <v/>
      </c>
      <c r="CE616" s="90">
        <f>BS616</f>
        <v>244339</v>
      </c>
      <c r="CF616" s="90" t="str">
        <f>CA616</f>
        <v/>
      </c>
      <c r="CG616" s="90"/>
      <c r="CH616" s="90"/>
      <c r="CI616" s="90"/>
      <c r="CJ616" s="90"/>
      <c r="CK616" s="90"/>
      <c r="CL616" s="90"/>
      <c r="CM616" s="90"/>
      <c r="CN616" s="90"/>
      <c r="CO616" s="90"/>
      <c r="CP616" s="90"/>
      <c r="CQ616" s="90"/>
      <c r="CR616" s="90"/>
      <c r="CS616" s="90"/>
      <c r="CT616" s="137"/>
    </row>
    <row r="617" spans="1:98" ht="90">
      <c r="A617" s="89">
        <v>244339</v>
      </c>
      <c r="B617" s="90">
        <v>2020</v>
      </c>
      <c r="C617" s="90" t="s">
        <v>81</v>
      </c>
      <c r="D617" s="90" t="s">
        <v>1617</v>
      </c>
      <c r="E617" s="125" t="s">
        <v>780</v>
      </c>
      <c r="F617" s="24" t="s">
        <v>1618</v>
      </c>
      <c r="G617" s="90" t="s">
        <v>85</v>
      </c>
      <c r="H617" s="90" t="s">
        <v>86</v>
      </c>
      <c r="I617" s="90">
        <v>93</v>
      </c>
      <c r="J617" s="90">
        <v>157</v>
      </c>
      <c r="K617" s="90" t="s">
        <v>85</v>
      </c>
      <c r="L617" s="90" t="s">
        <v>1619</v>
      </c>
      <c r="M617" s="90" t="s">
        <v>119</v>
      </c>
      <c r="N617" s="24" t="s">
        <v>1371</v>
      </c>
      <c r="O617" s="24" t="str">
        <f>IF(ISNUMBER(SEARCH("Cancer",N617)),"Cancer",IF(ISNUMBER(SEARCH("health",N617)),"Public health",IF(ISNUMBER(SEARCH("disabilities",N617)),"Disabilities","Other")))</f>
        <v>Other</v>
      </c>
      <c r="P617" s="126">
        <v>238592557</v>
      </c>
      <c r="Q617" s="90" t="s">
        <v>85</v>
      </c>
      <c r="R617" s="90" t="str">
        <f>IF(P617&gt;20000000,"B","A")</f>
        <v>B</v>
      </c>
      <c r="S617" s="90" t="s">
        <v>90</v>
      </c>
      <c r="T617" s="90" t="s">
        <v>119</v>
      </c>
      <c r="U617" s="90" t="s">
        <v>119</v>
      </c>
      <c r="V617" s="90" t="s">
        <v>119</v>
      </c>
      <c r="W617" s="90" t="s">
        <v>119</v>
      </c>
      <c r="X617" s="90" t="s">
        <v>119</v>
      </c>
      <c r="Y617" s="90" t="s">
        <v>119</v>
      </c>
      <c r="Z617" s="90" t="s">
        <v>119</v>
      </c>
      <c r="AA617" s="90" t="s">
        <v>119</v>
      </c>
      <c r="AB617" s="90" t="s">
        <v>119</v>
      </c>
      <c r="AC617" s="90" t="s">
        <v>119</v>
      </c>
      <c r="AD617" s="90" t="s">
        <v>119</v>
      </c>
      <c r="AE617" s="24">
        <v>0</v>
      </c>
      <c r="AF617" s="90">
        <v>0</v>
      </c>
      <c r="AG617" s="24">
        <v>0</v>
      </c>
      <c r="AH617" s="90">
        <v>89464</v>
      </c>
      <c r="AI617" s="24" t="s">
        <v>102</v>
      </c>
      <c r="AJ617" s="24" t="s">
        <v>103</v>
      </c>
      <c r="AK617" s="90" t="s">
        <v>85</v>
      </c>
      <c r="AL617" s="90">
        <v>244339</v>
      </c>
      <c r="AM617" s="90" t="s">
        <v>81</v>
      </c>
      <c r="AN617" s="90" t="s">
        <v>1617</v>
      </c>
      <c r="AO617" s="125" t="s">
        <v>780</v>
      </c>
      <c r="AP617" s="24" t="s">
        <v>1371</v>
      </c>
      <c r="AQ617" s="90" t="s">
        <v>1619</v>
      </c>
      <c r="AR617" s="24" t="s">
        <v>1371</v>
      </c>
      <c r="AS617" s="90" t="s">
        <v>119</v>
      </c>
      <c r="AT617" s="24" t="s">
        <v>102</v>
      </c>
      <c r="AU617" s="90" t="s">
        <v>119</v>
      </c>
      <c r="AV617" s="90" t="str">
        <f>IF(ISNUMBER(SEARCH("disagree",AE617)),"N","Y")</f>
        <v>Y</v>
      </c>
      <c r="AW617" s="90" t="s">
        <v>119</v>
      </c>
      <c r="AX617" s="24" t="s">
        <v>119</v>
      </c>
      <c r="AY617" s="90" t="str">
        <f>CONCATENATE(AZ617,BA617,BB617,BC617)</f>
        <v/>
      </c>
      <c r="AZ617" s="90" t="str">
        <f>IF(ISNUMBER(SEARCH("Y",AC617)),"R","")</f>
        <v/>
      </c>
      <c r="BA617" s="90" t="str">
        <f>IF(ISNUMBER(SEARCH("Y",Y617)),"M","")</f>
        <v/>
      </c>
      <c r="BB617" s="90" t="str">
        <f>IF(ISNUMBER(SEARCH("Y",AB617)),"QC","")</f>
        <v/>
      </c>
      <c r="BC617" s="90" t="str">
        <f>IF(ISNUMBER(SEARCH("Y",Z617)),"S","")</f>
        <v/>
      </c>
      <c r="BD617" s="90"/>
      <c r="BE617" s="24" t="s">
        <v>119</v>
      </c>
      <c r="BF617" s="125" t="str">
        <f>IF(AND(AW617&gt;=56543,AW617&lt;=76543,LEN(AW617)&gt;0),"3 Feb 2020",IF(AND(AW617&gt;=66544,AW617&lt;=99999,LEN(AW617)&gt;0),"12 Sep 2020",""))</f>
        <v/>
      </c>
      <c r="BG617" s="125" t="str">
        <f>IF((AND(BF617="3 Feb 2020",LEN(BF617)&gt;0)),"Completed",IF((AND(BF617="12 Sep 2020",LEN(BF617)&gt;0)),"Pending",""))</f>
        <v/>
      </c>
      <c r="BH617" s="90" t="str">
        <f>IF((AND(BF617="3 Feb 2020",LEN(BF617)&gt;0)),"3 Feb 2020","")</f>
        <v/>
      </c>
      <c r="BI617" s="90">
        <v>244339</v>
      </c>
      <c r="BJ617" s="90" t="str">
        <f>L617</f>
        <v>5R86IR843753-85</v>
      </c>
      <c r="BK617" s="127">
        <v>43508</v>
      </c>
      <c r="BL617" s="127">
        <v>44239</v>
      </c>
      <c r="BM617" s="128">
        <f>P617*1.1</f>
        <v>262451812.70000002</v>
      </c>
      <c r="BN617" s="129">
        <f>P617*0.9</f>
        <v>214733301.30000001</v>
      </c>
      <c r="BO617" s="130">
        <f>P617*0.8</f>
        <v>190874045.60000002</v>
      </c>
      <c r="BP617" s="90">
        <f>IF(Z617="Y",BM617*0.4,BM617*1.05)</f>
        <v>275574403.33500004</v>
      </c>
      <c r="BQ617" s="90">
        <f>BP617*0.8</f>
        <v>220459522.66800004</v>
      </c>
      <c r="BR617" s="90" t="str">
        <f>IF(ISNUMBER(SEARCH("subrecipient",AI613)),P617*0.6,"")</f>
        <v/>
      </c>
      <c r="BS617" s="90">
        <v>244339</v>
      </c>
      <c r="BT617" s="90" t="str">
        <f>BJ617</f>
        <v>5R86IR843753-85</v>
      </c>
      <c r="BU617" s="127">
        <f>BK617</f>
        <v>43508</v>
      </c>
      <c r="BV617" s="127">
        <f>BL617</f>
        <v>44239</v>
      </c>
      <c r="BW617" s="90" t="str">
        <f>H617</f>
        <v>CDC</v>
      </c>
      <c r="BX617" s="90" t="str">
        <f>IF(H617="NATIONAL HEMOPHILIA FOUNDATION","Non Federal","Federal")</f>
        <v>Federal</v>
      </c>
      <c r="BY617" s="128">
        <f>BM617</f>
        <v>262451812.70000002</v>
      </c>
      <c r="BZ617" s="90" t="str">
        <f>IF(LEN(BR617)&gt;0,1,"")</f>
        <v/>
      </c>
      <c r="CA617" s="90" t="str">
        <f>IF(LEN(BR617)&gt;0,"VIRAL HEPATITIS PROJECT","")</f>
        <v/>
      </c>
      <c r="CB617" s="129" t="str">
        <f>IF(LEN(BR617)&gt;0,BM617*0.7,"")</f>
        <v/>
      </c>
      <c r="CC617" s="90">
        <f>BP617</f>
        <v>275574403.33500004</v>
      </c>
      <c r="CD617" s="90" t="str">
        <f>IF(LEN(BR617)&gt;0,"70%","")</f>
        <v/>
      </c>
      <c r="CE617" s="90">
        <f>BS617</f>
        <v>244339</v>
      </c>
      <c r="CF617" s="90" t="str">
        <f>CA617</f>
        <v/>
      </c>
      <c r="CG617" s="90"/>
      <c r="CH617" s="90"/>
      <c r="CI617" s="90"/>
      <c r="CJ617" s="90"/>
      <c r="CK617" s="90"/>
      <c r="CL617" s="90"/>
      <c r="CM617" s="90"/>
      <c r="CN617" s="90"/>
      <c r="CO617" s="90"/>
      <c r="CP617" s="90"/>
      <c r="CQ617" s="90"/>
      <c r="CR617" s="90"/>
      <c r="CS617" s="90"/>
      <c r="CT617" s="137"/>
    </row>
    <row r="618" spans="1:98" ht="90">
      <c r="A618" s="89">
        <v>244339</v>
      </c>
      <c r="B618" s="90">
        <v>2020</v>
      </c>
      <c r="C618" s="90" t="s">
        <v>81</v>
      </c>
      <c r="D618" s="90" t="s">
        <v>1617</v>
      </c>
      <c r="E618" s="125" t="s">
        <v>781</v>
      </c>
      <c r="F618" s="24" t="s">
        <v>1618</v>
      </c>
      <c r="G618" s="90" t="s">
        <v>85</v>
      </c>
      <c r="H618" s="90" t="s">
        <v>86</v>
      </c>
      <c r="I618" s="90">
        <v>93</v>
      </c>
      <c r="J618" s="90">
        <v>157</v>
      </c>
      <c r="K618" s="90" t="s">
        <v>85</v>
      </c>
      <c r="L618" s="90" t="s">
        <v>1619</v>
      </c>
      <c r="M618" s="90" t="s">
        <v>119</v>
      </c>
      <c r="N618" s="24" t="s">
        <v>1371</v>
      </c>
      <c r="O618" s="24" t="str">
        <f>IF(ISNUMBER(SEARCH("Cancer",N618)),"Cancer",IF(ISNUMBER(SEARCH("health",N618)),"Public health",IF(ISNUMBER(SEARCH("disabilities",N618)),"Disabilities","Other")))</f>
        <v>Other</v>
      </c>
      <c r="P618" s="126">
        <v>238592557</v>
      </c>
      <c r="Q618" s="90" t="s">
        <v>85</v>
      </c>
      <c r="R618" s="90" t="str">
        <f>IF(P618&gt;20000000,"B","A")</f>
        <v>B</v>
      </c>
      <c r="S618" s="90" t="s">
        <v>90</v>
      </c>
      <c r="T618" s="90" t="s">
        <v>119</v>
      </c>
      <c r="U618" s="90" t="s">
        <v>119</v>
      </c>
      <c r="V618" s="90" t="s">
        <v>119</v>
      </c>
      <c r="W618" s="90" t="s">
        <v>119</v>
      </c>
      <c r="X618" s="90" t="s">
        <v>119</v>
      </c>
      <c r="Y618" s="90" t="s">
        <v>119</v>
      </c>
      <c r="Z618" s="90" t="s">
        <v>119</v>
      </c>
      <c r="AA618" s="90" t="s">
        <v>119</v>
      </c>
      <c r="AB618" s="90" t="s">
        <v>119</v>
      </c>
      <c r="AC618" s="90" t="s">
        <v>119</v>
      </c>
      <c r="AD618" s="90" t="s">
        <v>119</v>
      </c>
      <c r="AE618" s="24">
        <v>0</v>
      </c>
      <c r="AF618" s="90">
        <v>0</v>
      </c>
      <c r="AG618" s="24">
        <v>0</v>
      </c>
      <c r="AH618" s="90">
        <v>89465</v>
      </c>
      <c r="AI618" s="24" t="s">
        <v>110</v>
      </c>
      <c r="AJ618" s="24" t="s">
        <v>1620</v>
      </c>
      <c r="AK618" s="90" t="s">
        <v>85</v>
      </c>
      <c r="AL618" s="90">
        <v>244339</v>
      </c>
      <c r="AM618" s="90" t="s">
        <v>81</v>
      </c>
      <c r="AN618" s="90" t="s">
        <v>1617</v>
      </c>
      <c r="AO618" s="125" t="s">
        <v>781</v>
      </c>
      <c r="AP618" s="24" t="s">
        <v>1371</v>
      </c>
      <c r="AQ618" s="90" t="s">
        <v>1619</v>
      </c>
      <c r="AR618" s="24" t="s">
        <v>1371</v>
      </c>
      <c r="AS618" s="90" t="s">
        <v>119</v>
      </c>
      <c r="AT618" s="24" t="s">
        <v>110</v>
      </c>
      <c r="AU618" s="90" t="s">
        <v>119</v>
      </c>
      <c r="AV618" s="90" t="str">
        <f>IF(ISNUMBER(SEARCH("disagree",AE618)),"N","Y")</f>
        <v>Y</v>
      </c>
      <c r="AW618" s="90" t="s">
        <v>119</v>
      </c>
      <c r="AX618" s="24" t="s">
        <v>119</v>
      </c>
      <c r="AY618" s="90" t="str">
        <f>CONCATENATE(AZ618,BA618,BB618,BC618)</f>
        <v/>
      </c>
      <c r="AZ618" s="90" t="str">
        <f>IF(ISNUMBER(SEARCH("Y",AC618)),"R","")</f>
        <v/>
      </c>
      <c r="BA618" s="90" t="str">
        <f>IF(ISNUMBER(SEARCH("Y",Y618)),"M","")</f>
        <v/>
      </c>
      <c r="BB618" s="90" t="str">
        <f>IF(ISNUMBER(SEARCH("Y",AB618)),"QC","")</f>
        <v/>
      </c>
      <c r="BC618" s="90" t="str">
        <f>IF(ISNUMBER(SEARCH("Y",Z618)),"S","")</f>
        <v/>
      </c>
      <c r="BD618" s="90"/>
      <c r="BE618" s="24" t="s">
        <v>119</v>
      </c>
      <c r="BF618" s="125" t="str">
        <f>IF(AND(AW618&gt;=56543,AW618&lt;=76543,LEN(AW618)&gt;0),"3 Feb 2020",IF(AND(AW618&gt;=66544,AW618&lt;=99999,LEN(AW618)&gt;0),"12 Sep 2020",""))</f>
        <v/>
      </c>
      <c r="BG618" s="125" t="str">
        <f>IF((AND(BF618="3 Feb 2020",LEN(BF618)&gt;0)),"Completed",IF((AND(BF618="12 Sep 2020",LEN(BF618)&gt;0)),"Pending",""))</f>
        <v/>
      </c>
      <c r="BH618" s="90" t="str">
        <f>IF((AND(BF618="3 Feb 2020",LEN(BF618)&gt;0)),"3 Feb 2020","")</f>
        <v/>
      </c>
      <c r="BI618" s="90">
        <v>244339</v>
      </c>
      <c r="BJ618" s="90" t="str">
        <f>L618</f>
        <v>5R86IR843753-85</v>
      </c>
      <c r="BK618" s="127">
        <v>43508</v>
      </c>
      <c r="BL618" s="127">
        <v>44239</v>
      </c>
      <c r="BM618" s="128">
        <f>P618*1.1</f>
        <v>262451812.70000002</v>
      </c>
      <c r="BN618" s="129">
        <f>P618*0.9</f>
        <v>214733301.30000001</v>
      </c>
      <c r="BO618" s="130">
        <f>P618*0.8</f>
        <v>190874045.60000002</v>
      </c>
      <c r="BP618" s="90">
        <f>IF(Z618="Y",BM618*0.4,BM618*1.05)</f>
        <v>275574403.33500004</v>
      </c>
      <c r="BQ618" s="90">
        <f>BP618*0.8</f>
        <v>220459522.66800004</v>
      </c>
      <c r="BR618" s="90" t="str">
        <f>IF(ISNUMBER(SEARCH("subrecipient",AI614)),P618*0.6,"")</f>
        <v/>
      </c>
      <c r="BS618" s="90">
        <v>244339</v>
      </c>
      <c r="BT618" s="90" t="str">
        <f>BJ618</f>
        <v>5R86IR843753-85</v>
      </c>
      <c r="BU618" s="127">
        <f>BK618</f>
        <v>43508</v>
      </c>
      <c r="BV618" s="127">
        <f>BL618</f>
        <v>44239</v>
      </c>
      <c r="BW618" s="90" t="str">
        <f>H618</f>
        <v>CDC</v>
      </c>
      <c r="BX618" s="90" t="str">
        <f>IF(H618="NATIONAL HEMOPHILIA FOUNDATION","Non Federal","Federal")</f>
        <v>Federal</v>
      </c>
      <c r="BY618" s="128">
        <f>BM618</f>
        <v>262451812.70000002</v>
      </c>
      <c r="BZ618" s="90" t="str">
        <f>IF(LEN(BR618)&gt;0,1,"")</f>
        <v/>
      </c>
      <c r="CA618" s="90" t="str">
        <f>IF(LEN(BR618)&gt;0,"VIRAL HEPATITIS PROJECT","")</f>
        <v/>
      </c>
      <c r="CB618" s="129" t="str">
        <f>IF(LEN(BR618)&gt;0,BM618*0.7,"")</f>
        <v/>
      </c>
      <c r="CC618" s="90">
        <f>BP618</f>
        <v>275574403.33500004</v>
      </c>
      <c r="CD618" s="90" t="str">
        <f>IF(LEN(BR618)&gt;0,"70%","")</f>
        <v/>
      </c>
      <c r="CE618" s="90">
        <f>BS618</f>
        <v>244339</v>
      </c>
      <c r="CF618" s="90" t="str">
        <f>CA618</f>
        <v/>
      </c>
      <c r="CG618" s="90"/>
      <c r="CH618" s="90"/>
      <c r="CI618" s="90"/>
      <c r="CJ618" s="90"/>
      <c r="CK618" s="90"/>
      <c r="CL618" s="90"/>
      <c r="CM618" s="90"/>
      <c r="CN618" s="90"/>
      <c r="CO618" s="90"/>
      <c r="CP618" s="90"/>
      <c r="CQ618" s="90"/>
      <c r="CR618" s="90"/>
      <c r="CS618" s="90"/>
      <c r="CT618" s="137"/>
    </row>
    <row r="619" spans="1:98" ht="180">
      <c r="A619" s="89">
        <v>245122</v>
      </c>
      <c r="B619" s="90">
        <v>2020</v>
      </c>
      <c r="C619" s="90" t="s">
        <v>81</v>
      </c>
      <c r="D619" s="90" t="s">
        <v>1621</v>
      </c>
      <c r="E619" s="125" t="s">
        <v>784</v>
      </c>
      <c r="F619" s="24" t="s">
        <v>1622</v>
      </c>
      <c r="G619" s="90" t="s">
        <v>85</v>
      </c>
      <c r="H619" s="90" t="s">
        <v>117</v>
      </c>
      <c r="I619" s="90">
        <v>93</v>
      </c>
      <c r="J619" s="90">
        <v>157</v>
      </c>
      <c r="K619" s="90" t="s">
        <v>85</v>
      </c>
      <c r="L619" s="90" t="s">
        <v>1623</v>
      </c>
      <c r="M619" s="90" t="s">
        <v>119</v>
      </c>
      <c r="N619" s="24" t="s">
        <v>1624</v>
      </c>
      <c r="O619" s="24" t="str">
        <f>IF(ISNUMBER(SEARCH("Cancer",N619)),"Cancer",IF(ISNUMBER(SEARCH("health",N619)),"Public health",IF(ISNUMBER(SEARCH("disabilities",N619)),"Disabilities","Other")))</f>
        <v>Other</v>
      </c>
      <c r="P619" s="126">
        <v>143388653</v>
      </c>
      <c r="Q619" s="90" t="s">
        <v>85</v>
      </c>
      <c r="R619" s="90" t="str">
        <f>IF(P619&gt;20000000,"B","A")</f>
        <v>B</v>
      </c>
      <c r="S619" s="90" t="s">
        <v>90</v>
      </c>
      <c r="T619" s="90" t="s">
        <v>119</v>
      </c>
      <c r="U619" s="90" t="s">
        <v>119</v>
      </c>
      <c r="V619" s="90" t="s">
        <v>119</v>
      </c>
      <c r="W619" s="90" t="s">
        <v>119</v>
      </c>
      <c r="X619" s="90" t="s">
        <v>119</v>
      </c>
      <c r="Y619" s="90" t="s">
        <v>119</v>
      </c>
      <c r="Z619" s="90" t="s">
        <v>119</v>
      </c>
      <c r="AA619" s="90" t="s">
        <v>119</v>
      </c>
      <c r="AB619" s="90" t="s">
        <v>119</v>
      </c>
      <c r="AC619" s="90" t="s">
        <v>119</v>
      </c>
      <c r="AD619" s="90" t="s">
        <v>119</v>
      </c>
      <c r="AE619" s="24">
        <v>0</v>
      </c>
      <c r="AF619" s="90">
        <v>0</v>
      </c>
      <c r="AG619" s="24">
        <v>0</v>
      </c>
      <c r="AH619" s="90">
        <v>89356</v>
      </c>
      <c r="AI619" s="24" t="s">
        <v>94</v>
      </c>
      <c r="AJ619" s="24" t="s">
        <v>1625</v>
      </c>
      <c r="AK619" s="90" t="s">
        <v>85</v>
      </c>
      <c r="AL619" s="90">
        <v>245122</v>
      </c>
      <c r="AM619" s="90" t="s">
        <v>81</v>
      </c>
      <c r="AN619" s="90" t="s">
        <v>1621</v>
      </c>
      <c r="AO619" s="125" t="s">
        <v>784</v>
      </c>
      <c r="AP619" s="24" t="s">
        <v>1624</v>
      </c>
      <c r="AQ619" s="90" t="s">
        <v>1623</v>
      </c>
      <c r="AR619" s="24" t="s">
        <v>1624</v>
      </c>
      <c r="AS619" s="90" t="s">
        <v>119</v>
      </c>
      <c r="AT619" s="24" t="s">
        <v>94</v>
      </c>
      <c r="AU619" s="90" t="s">
        <v>119</v>
      </c>
      <c r="AV619" s="90" t="str">
        <f>IF(ISNUMBER(SEARCH("disagree",AE619)),"N","Y")</f>
        <v>Y</v>
      </c>
      <c r="AW619" s="90" t="s">
        <v>119</v>
      </c>
      <c r="AX619" s="24" t="s">
        <v>119</v>
      </c>
      <c r="AY619" s="90" t="str">
        <f>CONCATENATE(AZ619,BA619,BB619,BC619)</f>
        <v/>
      </c>
      <c r="AZ619" s="90" t="str">
        <f>IF(ISNUMBER(SEARCH("Y",AC619)),"R","")</f>
        <v/>
      </c>
      <c r="BA619" s="90" t="str">
        <f>IF(ISNUMBER(SEARCH("Y",Y619)),"M","")</f>
        <v/>
      </c>
      <c r="BB619" s="90" t="str">
        <f>IF(ISNUMBER(SEARCH("Y",AB619)),"QC","")</f>
        <v/>
      </c>
      <c r="BC619" s="90" t="str">
        <f>IF(ISNUMBER(SEARCH("Y",Z619)),"S","")</f>
        <v/>
      </c>
      <c r="BD619" s="90"/>
      <c r="BE619" s="24" t="s">
        <v>119</v>
      </c>
      <c r="BF619" s="125" t="str">
        <f>IF(AND(AW619&gt;=56543,AW619&lt;=76543,LEN(AW619)&gt;0),"3 Feb 2020",IF(AND(AW619&gt;=66544,AW619&lt;=99999,LEN(AW619)&gt;0),"12 Sep 2020",""))</f>
        <v/>
      </c>
      <c r="BG619" s="125" t="str">
        <f>IF((AND(BF619="3 Feb 2020",LEN(BF619)&gt;0)),"Completed",IF((AND(BF619="12 Sep 2020",LEN(BF619)&gt;0)),"Pending",""))</f>
        <v/>
      </c>
      <c r="BH619" s="90" t="str">
        <f>IF((AND(BF619="3 Feb 2020",LEN(BF619)&gt;0)),"3 Feb 2020","")</f>
        <v/>
      </c>
      <c r="BI619" s="90">
        <v>245122</v>
      </c>
      <c r="BJ619" s="90" t="str">
        <f>L619</f>
        <v>9R64AR840156-31</v>
      </c>
      <c r="BK619" s="127">
        <v>43508</v>
      </c>
      <c r="BL619" s="127">
        <v>44239</v>
      </c>
      <c r="BM619" s="128">
        <f>P619*1.1</f>
        <v>157727518.30000001</v>
      </c>
      <c r="BN619" s="129">
        <f>P619*0.9</f>
        <v>129049787.7</v>
      </c>
      <c r="BO619" s="130">
        <f>P619*0.8</f>
        <v>114710922.40000001</v>
      </c>
      <c r="BP619" s="90">
        <f>IF(Z619="Y",BM619*0.4,BM619*1.05)</f>
        <v>165613894.21500003</v>
      </c>
      <c r="BQ619" s="90">
        <f>BP619*0.8</f>
        <v>132491115.37200004</v>
      </c>
      <c r="BR619" s="90" t="str">
        <f>IF(ISNUMBER(SEARCH("subrecipient",AI615)),P619*0.6,"")</f>
        <v/>
      </c>
      <c r="BS619" s="90">
        <v>245122</v>
      </c>
      <c r="BT619" s="90" t="str">
        <f>BJ619</f>
        <v>9R64AR840156-31</v>
      </c>
      <c r="BU619" s="127">
        <f>BK619</f>
        <v>43508</v>
      </c>
      <c r="BV619" s="127">
        <f>BL619</f>
        <v>44239</v>
      </c>
      <c r="BW619" s="90" t="str">
        <f>H619</f>
        <v>NIH</v>
      </c>
      <c r="BX619" s="90" t="str">
        <f>IF(H619="NATIONAL HEMOPHILIA FOUNDATION","Non Federal","Federal")</f>
        <v>Federal</v>
      </c>
      <c r="BY619" s="128">
        <f>BM619</f>
        <v>157727518.30000001</v>
      </c>
      <c r="BZ619" s="90" t="str">
        <f>IF(LEN(BR619)&gt;0,1,"")</f>
        <v/>
      </c>
      <c r="CA619" s="90" t="str">
        <f>IF(LEN(BR619)&gt;0,"VIRAL HEPATITIS PROJECT","")</f>
        <v/>
      </c>
      <c r="CB619" s="129" t="str">
        <f>IF(LEN(BR619)&gt;0,BM619*0.7,"")</f>
        <v/>
      </c>
      <c r="CC619" s="90">
        <f>BP619</f>
        <v>165613894.21500003</v>
      </c>
      <c r="CD619" s="90" t="str">
        <f>IF(LEN(BR619)&gt;0,"70%","")</f>
        <v/>
      </c>
      <c r="CE619" s="90">
        <f>BS619</f>
        <v>245122</v>
      </c>
      <c r="CF619" s="90" t="str">
        <f>CA619</f>
        <v/>
      </c>
      <c r="CG619" s="90"/>
      <c r="CH619" s="90"/>
      <c r="CI619" s="90"/>
      <c r="CJ619" s="90"/>
      <c r="CK619" s="90"/>
      <c r="CL619" s="90"/>
      <c r="CM619" s="90"/>
      <c r="CN619" s="90"/>
      <c r="CO619" s="90"/>
      <c r="CP619" s="90"/>
      <c r="CQ619" s="90"/>
      <c r="CR619" s="90"/>
      <c r="CS619" s="90"/>
      <c r="CT619" s="137"/>
    </row>
    <row r="620" spans="1:98" ht="165">
      <c r="A620" s="89">
        <v>245122</v>
      </c>
      <c r="B620" s="90">
        <v>2020</v>
      </c>
      <c r="C620" s="90" t="s">
        <v>81</v>
      </c>
      <c r="D620" s="90" t="s">
        <v>1621</v>
      </c>
      <c r="E620" s="125" t="s">
        <v>790</v>
      </c>
      <c r="F620" s="24" t="s">
        <v>1622</v>
      </c>
      <c r="G620" s="90" t="s">
        <v>85</v>
      </c>
      <c r="H620" s="90" t="s">
        <v>117</v>
      </c>
      <c r="I620" s="90">
        <v>93</v>
      </c>
      <c r="J620" s="90">
        <v>157</v>
      </c>
      <c r="K620" s="90" t="s">
        <v>85</v>
      </c>
      <c r="L620" s="90" t="s">
        <v>1623</v>
      </c>
      <c r="M620" s="90" t="s">
        <v>119</v>
      </c>
      <c r="N620" s="24" t="s">
        <v>1624</v>
      </c>
      <c r="O620" s="24" t="str">
        <f>IF(ISNUMBER(SEARCH("Cancer",N620)),"Cancer",IF(ISNUMBER(SEARCH("health",N620)),"Public health",IF(ISNUMBER(SEARCH("disabilities",N620)),"Disabilities","Other")))</f>
        <v>Other</v>
      </c>
      <c r="P620" s="126">
        <v>143388653</v>
      </c>
      <c r="Q620" s="90" t="s">
        <v>85</v>
      </c>
      <c r="R620" s="90" t="str">
        <f>IF(P620&gt;20000000,"B","A")</f>
        <v>B</v>
      </c>
      <c r="S620" s="90" t="s">
        <v>90</v>
      </c>
      <c r="T620" s="90" t="s">
        <v>119</v>
      </c>
      <c r="U620" s="90" t="s">
        <v>119</v>
      </c>
      <c r="V620" s="90" t="s">
        <v>119</v>
      </c>
      <c r="W620" s="90" t="s">
        <v>119</v>
      </c>
      <c r="X620" s="90" t="s">
        <v>119</v>
      </c>
      <c r="Y620" s="90" t="s">
        <v>119</v>
      </c>
      <c r="Z620" s="90" t="s">
        <v>119</v>
      </c>
      <c r="AA620" s="90" t="s">
        <v>119</v>
      </c>
      <c r="AB620" s="90" t="s">
        <v>119</v>
      </c>
      <c r="AC620" s="90" t="s">
        <v>119</v>
      </c>
      <c r="AD620" s="90" t="s">
        <v>119</v>
      </c>
      <c r="AE620" s="24">
        <v>0</v>
      </c>
      <c r="AF620" s="90">
        <v>0</v>
      </c>
      <c r="AG620" s="24">
        <v>0</v>
      </c>
      <c r="AH620" s="90">
        <v>89357</v>
      </c>
      <c r="AI620" s="24" t="s">
        <v>102</v>
      </c>
      <c r="AJ620" s="24" t="s">
        <v>316</v>
      </c>
      <c r="AK620" s="90" t="s">
        <v>85</v>
      </c>
      <c r="AL620" s="90">
        <v>245122</v>
      </c>
      <c r="AM620" s="90" t="s">
        <v>81</v>
      </c>
      <c r="AN620" s="90" t="s">
        <v>1621</v>
      </c>
      <c r="AO620" s="125" t="s">
        <v>790</v>
      </c>
      <c r="AP620" s="24" t="s">
        <v>1624</v>
      </c>
      <c r="AQ620" s="90" t="s">
        <v>1623</v>
      </c>
      <c r="AR620" s="24" t="s">
        <v>1624</v>
      </c>
      <c r="AS620" s="90" t="s">
        <v>119</v>
      </c>
      <c r="AT620" s="24" t="s">
        <v>102</v>
      </c>
      <c r="AU620" s="90" t="s">
        <v>119</v>
      </c>
      <c r="AV620" s="90" t="str">
        <f>IF(ISNUMBER(SEARCH("disagree",AE620)),"N","Y")</f>
        <v>Y</v>
      </c>
      <c r="AW620" s="90" t="s">
        <v>119</v>
      </c>
      <c r="AX620" s="24" t="s">
        <v>119</v>
      </c>
      <c r="AY620" s="90" t="str">
        <f>CONCATENATE(AZ620,BA620,BB620,BC620)</f>
        <v/>
      </c>
      <c r="AZ620" s="90" t="str">
        <f>IF(ISNUMBER(SEARCH("Y",AC620)),"R","")</f>
        <v/>
      </c>
      <c r="BA620" s="90" t="str">
        <f>IF(ISNUMBER(SEARCH("Y",Y620)),"M","")</f>
        <v/>
      </c>
      <c r="BB620" s="90" t="str">
        <f>IF(ISNUMBER(SEARCH("Y",AB620)),"QC","")</f>
        <v/>
      </c>
      <c r="BC620" s="90" t="str">
        <f>IF(ISNUMBER(SEARCH("Y",Z620)),"S","")</f>
        <v/>
      </c>
      <c r="BD620" s="90"/>
      <c r="BE620" s="24" t="s">
        <v>119</v>
      </c>
      <c r="BF620" s="125" t="str">
        <f>IF(AND(AW620&gt;=56543,AW620&lt;=76543,LEN(AW620)&gt;0),"3 Feb 2020",IF(AND(AW620&gt;=66544,AW620&lt;=99999,LEN(AW620)&gt;0),"12 Sep 2020",""))</f>
        <v/>
      </c>
      <c r="BG620" s="125" t="str">
        <f>IF((AND(BF620="3 Feb 2020",LEN(BF620)&gt;0)),"Completed",IF((AND(BF620="12 Sep 2020",LEN(BF620)&gt;0)),"Pending",""))</f>
        <v/>
      </c>
      <c r="BH620" s="90" t="str">
        <f>IF((AND(BF620="3 Feb 2020",LEN(BF620)&gt;0)),"3 Feb 2020","")</f>
        <v/>
      </c>
      <c r="BI620" s="90">
        <v>245122</v>
      </c>
      <c r="BJ620" s="90" t="str">
        <f>L620</f>
        <v>9R64AR840156-31</v>
      </c>
      <c r="BK620" s="127">
        <v>43508</v>
      </c>
      <c r="BL620" s="127">
        <v>44239</v>
      </c>
      <c r="BM620" s="128">
        <f>P620*1.1</f>
        <v>157727518.30000001</v>
      </c>
      <c r="BN620" s="129">
        <f>P620*0.9</f>
        <v>129049787.7</v>
      </c>
      <c r="BO620" s="130">
        <f>P620*0.8</f>
        <v>114710922.40000001</v>
      </c>
      <c r="BP620" s="90">
        <f>IF(Z620="Y",BM620*0.4,BM620*1.05)</f>
        <v>165613894.21500003</v>
      </c>
      <c r="BQ620" s="90">
        <f>BP620*0.8</f>
        <v>132491115.37200004</v>
      </c>
      <c r="BR620" s="90" t="str">
        <f>IF(ISNUMBER(SEARCH("subrecipient",AI616)),P620*0.6,"")</f>
        <v/>
      </c>
      <c r="BS620" s="90">
        <v>245122</v>
      </c>
      <c r="BT620" s="90" t="str">
        <f>BJ620</f>
        <v>9R64AR840156-31</v>
      </c>
      <c r="BU620" s="127">
        <f>BK620</f>
        <v>43508</v>
      </c>
      <c r="BV620" s="127">
        <f>BL620</f>
        <v>44239</v>
      </c>
      <c r="BW620" s="90" t="str">
        <f>H620</f>
        <v>NIH</v>
      </c>
      <c r="BX620" s="90" t="str">
        <f>IF(H620="NATIONAL HEMOPHILIA FOUNDATION","Non Federal","Federal")</f>
        <v>Federal</v>
      </c>
      <c r="BY620" s="128">
        <f>BM620</f>
        <v>157727518.30000001</v>
      </c>
      <c r="BZ620" s="90" t="str">
        <f>IF(LEN(BR620)&gt;0,1,"")</f>
        <v/>
      </c>
      <c r="CA620" s="90" t="str">
        <f>IF(LEN(BR620)&gt;0,"VIRAL HEPATITIS PROJECT","")</f>
        <v/>
      </c>
      <c r="CB620" s="129" t="str">
        <f>IF(LEN(BR620)&gt;0,BM620*0.7,"")</f>
        <v/>
      </c>
      <c r="CC620" s="90">
        <f>BP620</f>
        <v>165613894.21500003</v>
      </c>
      <c r="CD620" s="90" t="str">
        <f>IF(LEN(BR620)&gt;0,"70%","")</f>
        <v/>
      </c>
      <c r="CE620" s="90">
        <f>BS620</f>
        <v>245122</v>
      </c>
      <c r="CF620" s="90" t="str">
        <f>CA620</f>
        <v/>
      </c>
      <c r="CG620" s="90"/>
      <c r="CH620" s="90"/>
      <c r="CI620" s="90"/>
      <c r="CJ620" s="90"/>
      <c r="CK620" s="90"/>
      <c r="CL620" s="90"/>
      <c r="CM620" s="90"/>
      <c r="CN620" s="90"/>
      <c r="CO620" s="90"/>
      <c r="CP620" s="90"/>
      <c r="CQ620" s="90"/>
      <c r="CR620" s="90"/>
      <c r="CS620" s="90"/>
      <c r="CT620" s="137"/>
    </row>
    <row r="621" spans="1:98" ht="225">
      <c r="A621" s="89">
        <v>247382</v>
      </c>
      <c r="B621" s="90">
        <v>2020</v>
      </c>
      <c r="C621" s="90" t="s">
        <v>81</v>
      </c>
      <c r="D621" s="90" t="s">
        <v>1626</v>
      </c>
      <c r="E621" s="125" t="s">
        <v>791</v>
      </c>
      <c r="F621" s="24" t="s">
        <v>1627</v>
      </c>
      <c r="G621" s="90" t="s">
        <v>85</v>
      </c>
      <c r="H621" s="90" t="s">
        <v>132</v>
      </c>
      <c r="I621" s="90">
        <v>93</v>
      </c>
      <c r="J621" s="90">
        <v>157</v>
      </c>
      <c r="K621" s="90" t="s">
        <v>85</v>
      </c>
      <c r="L621" s="90" t="s">
        <v>1628</v>
      </c>
      <c r="M621" s="90" t="s">
        <v>119</v>
      </c>
      <c r="N621" s="24" t="s">
        <v>1629</v>
      </c>
      <c r="O621" s="24" t="str">
        <f>IF(ISNUMBER(SEARCH("Cancer",N621)),"Cancer",IF(ISNUMBER(SEARCH("health",N621)),"Public health",IF(ISNUMBER(SEARCH("disabilities",N621)),"Disabilities","Other")))</f>
        <v>Other</v>
      </c>
      <c r="P621" s="126">
        <v>389670310</v>
      </c>
      <c r="Q621" s="90" t="s">
        <v>85</v>
      </c>
      <c r="R621" s="90" t="str">
        <f>IF(P621&gt;20000000,"B","A")</f>
        <v>B</v>
      </c>
      <c r="S621" s="90" t="s">
        <v>90</v>
      </c>
      <c r="T621" s="90" t="s">
        <v>119</v>
      </c>
      <c r="U621" s="90" t="s">
        <v>119</v>
      </c>
      <c r="V621" s="90" t="s">
        <v>119</v>
      </c>
      <c r="W621" s="90" t="s">
        <v>119</v>
      </c>
      <c r="X621" s="90" t="s">
        <v>119</v>
      </c>
      <c r="Y621" s="90" t="s">
        <v>119</v>
      </c>
      <c r="Z621" s="90" t="s">
        <v>119</v>
      </c>
      <c r="AA621" s="90" t="s">
        <v>119</v>
      </c>
      <c r="AB621" s="90" t="s">
        <v>119</v>
      </c>
      <c r="AC621" s="90" t="s">
        <v>119</v>
      </c>
      <c r="AD621" s="90" t="s">
        <v>119</v>
      </c>
      <c r="AE621" s="24">
        <v>0</v>
      </c>
      <c r="AF621" s="90">
        <v>0</v>
      </c>
      <c r="AG621" s="24">
        <v>0</v>
      </c>
      <c r="AH621" s="90">
        <v>85249</v>
      </c>
      <c r="AI621" s="24" t="s">
        <v>94</v>
      </c>
      <c r="AJ621" s="24" t="s">
        <v>1630</v>
      </c>
      <c r="AK621" s="90" t="s">
        <v>85</v>
      </c>
      <c r="AL621" s="90">
        <v>247382</v>
      </c>
      <c r="AM621" s="90" t="s">
        <v>81</v>
      </c>
      <c r="AN621" s="90" t="s">
        <v>1626</v>
      </c>
      <c r="AO621" s="125" t="s">
        <v>791</v>
      </c>
      <c r="AP621" s="24" t="s">
        <v>1629</v>
      </c>
      <c r="AQ621" s="90" t="s">
        <v>1628</v>
      </c>
      <c r="AR621" s="24" t="s">
        <v>1629</v>
      </c>
      <c r="AS621" s="90" t="s">
        <v>119</v>
      </c>
      <c r="AT621" s="24" t="s">
        <v>94</v>
      </c>
      <c r="AU621" s="90" t="s">
        <v>119</v>
      </c>
      <c r="AV621" s="90" t="str">
        <f>IF(ISNUMBER(SEARCH("disagree",AE621)),"N","Y")</f>
        <v>Y</v>
      </c>
      <c r="AW621" s="90" t="s">
        <v>119</v>
      </c>
      <c r="AX621" s="24" t="s">
        <v>119</v>
      </c>
      <c r="AY621" s="90" t="str">
        <f>CONCATENATE(AZ621,BA621,BB621,BC621)</f>
        <v/>
      </c>
      <c r="AZ621" s="90" t="str">
        <f>IF(ISNUMBER(SEARCH("Y",AC621)),"R","")</f>
        <v/>
      </c>
      <c r="BA621" s="90" t="str">
        <f>IF(ISNUMBER(SEARCH("Y",Y621)),"M","")</f>
        <v/>
      </c>
      <c r="BB621" s="90" t="str">
        <f>IF(ISNUMBER(SEARCH("Y",AB621)),"QC","")</f>
        <v/>
      </c>
      <c r="BC621" s="90" t="str">
        <f>IF(ISNUMBER(SEARCH("Y",Z621)),"S","")</f>
        <v/>
      </c>
      <c r="BD621" s="90"/>
      <c r="BE621" s="24" t="s">
        <v>119</v>
      </c>
      <c r="BF621" s="125" t="str">
        <f>IF(AND(AW621&gt;=56543,AW621&lt;=76543,LEN(AW621)&gt;0),"3 Feb 2020",IF(AND(AW621&gt;=66544,AW621&lt;=99999,LEN(AW621)&gt;0),"12 Sep 2020",""))</f>
        <v/>
      </c>
      <c r="BG621" s="125" t="str">
        <f>IF((AND(BF621="3 Feb 2020",LEN(BF621)&gt;0)),"Completed",IF((AND(BF621="12 Sep 2020",LEN(BF621)&gt;0)),"Pending",""))</f>
        <v/>
      </c>
      <c r="BH621" s="90" t="str">
        <f>IF((AND(BF621="3 Feb 2020",LEN(BF621)&gt;0)),"3 Feb 2020","")</f>
        <v/>
      </c>
      <c r="BI621" s="90">
        <v>247382</v>
      </c>
      <c r="BJ621" s="90" t="str">
        <f>L621</f>
        <v>7R45ER844415-79</v>
      </c>
      <c r="BK621" s="127">
        <v>43508</v>
      </c>
      <c r="BL621" s="127">
        <v>44239</v>
      </c>
      <c r="BM621" s="128">
        <f>P621*1.1</f>
        <v>428637341.00000006</v>
      </c>
      <c r="BN621" s="129">
        <f>P621*0.9</f>
        <v>350703279</v>
      </c>
      <c r="BO621" s="130">
        <f>P621*0.8</f>
        <v>311736248</v>
      </c>
      <c r="BP621" s="90">
        <f>IF(Z621="Y",BM621*0.4,BM621*1.05)</f>
        <v>450069208.05000007</v>
      </c>
      <c r="BQ621" s="90">
        <f>BP621*0.8</f>
        <v>360055366.44000006</v>
      </c>
      <c r="BR621" s="90" t="str">
        <f>IF(ISNUMBER(SEARCH("subrecipient",AI617)),P621*0.6,"")</f>
        <v/>
      </c>
      <c r="BS621" s="90">
        <v>247382</v>
      </c>
      <c r="BT621" s="90" t="str">
        <f>BJ621</f>
        <v>7R45ER844415-79</v>
      </c>
      <c r="BU621" s="127">
        <f>BK621</f>
        <v>43508</v>
      </c>
      <c r="BV621" s="127">
        <f>BL621</f>
        <v>44239</v>
      </c>
      <c r="BW621" s="90" t="str">
        <f>H621</f>
        <v>FDA</v>
      </c>
      <c r="BX621" s="90" t="str">
        <f>IF(H621="NATIONAL HEMOPHILIA FOUNDATION","Non Federal","Federal")</f>
        <v>Federal</v>
      </c>
      <c r="BY621" s="128">
        <f>BM621</f>
        <v>428637341.00000006</v>
      </c>
      <c r="BZ621" s="90" t="str">
        <f>IF(LEN(BR621)&gt;0,1,"")</f>
        <v/>
      </c>
      <c r="CA621" s="90" t="str">
        <f>IF(LEN(BR621)&gt;0,"VIRAL HEPATITIS PROJECT","")</f>
        <v/>
      </c>
      <c r="CB621" s="129" t="str">
        <f>IF(LEN(BR621)&gt;0,BM621*0.7,"")</f>
        <v/>
      </c>
      <c r="CC621" s="90">
        <f>BP621</f>
        <v>450069208.05000007</v>
      </c>
      <c r="CD621" s="90" t="str">
        <f>IF(LEN(BR621)&gt;0,"70%","")</f>
        <v/>
      </c>
      <c r="CE621" s="90">
        <f>BS621</f>
        <v>247382</v>
      </c>
      <c r="CF621" s="90" t="str">
        <f>CA621</f>
        <v/>
      </c>
      <c r="CG621" s="90"/>
      <c r="CH621" s="90"/>
      <c r="CI621" s="90"/>
      <c r="CJ621" s="90"/>
      <c r="CK621" s="90"/>
      <c r="CL621" s="90"/>
      <c r="CM621" s="90"/>
      <c r="CN621" s="90"/>
      <c r="CO621" s="90"/>
      <c r="CP621" s="90"/>
      <c r="CQ621" s="90"/>
      <c r="CR621" s="90"/>
      <c r="CS621" s="90"/>
      <c r="CT621" s="137"/>
    </row>
    <row r="622" spans="1:98" ht="45">
      <c r="A622" s="89">
        <v>247382</v>
      </c>
      <c r="B622" s="90">
        <v>2020</v>
      </c>
      <c r="C622" s="90" t="s">
        <v>81</v>
      </c>
      <c r="D622" s="90" t="s">
        <v>1626</v>
      </c>
      <c r="E622" s="125" t="s">
        <v>793</v>
      </c>
      <c r="F622" s="24" t="s">
        <v>1627</v>
      </c>
      <c r="G622" s="90" t="s">
        <v>85</v>
      </c>
      <c r="H622" s="90" t="s">
        <v>132</v>
      </c>
      <c r="I622" s="90">
        <v>93</v>
      </c>
      <c r="J622" s="90">
        <v>157</v>
      </c>
      <c r="K622" s="90" t="s">
        <v>85</v>
      </c>
      <c r="L622" s="90" t="s">
        <v>1628</v>
      </c>
      <c r="M622" s="90" t="s">
        <v>119</v>
      </c>
      <c r="N622" s="24" t="s">
        <v>1629</v>
      </c>
      <c r="O622" s="24" t="str">
        <f>IF(ISNUMBER(SEARCH("Cancer",N622)),"Cancer",IF(ISNUMBER(SEARCH("health",N622)),"Public health",IF(ISNUMBER(SEARCH("disabilities",N622)),"Disabilities","Other")))</f>
        <v>Other</v>
      </c>
      <c r="P622" s="126">
        <v>389670310</v>
      </c>
      <c r="Q622" s="90" t="s">
        <v>85</v>
      </c>
      <c r="R622" s="90" t="str">
        <f>IF(P622&gt;20000000,"B","A")</f>
        <v>B</v>
      </c>
      <c r="S622" s="90" t="s">
        <v>90</v>
      </c>
      <c r="T622" s="90" t="s">
        <v>119</v>
      </c>
      <c r="U622" s="90" t="s">
        <v>119</v>
      </c>
      <c r="V622" s="90" t="s">
        <v>119</v>
      </c>
      <c r="W622" s="90" t="s">
        <v>119</v>
      </c>
      <c r="X622" s="90" t="s">
        <v>119</v>
      </c>
      <c r="Y622" s="90" t="s">
        <v>119</v>
      </c>
      <c r="Z622" s="90" t="s">
        <v>119</v>
      </c>
      <c r="AA622" s="90" t="s">
        <v>119</v>
      </c>
      <c r="AB622" s="90" t="s">
        <v>119</v>
      </c>
      <c r="AC622" s="90" t="s">
        <v>119</v>
      </c>
      <c r="AD622" s="90" t="s">
        <v>119</v>
      </c>
      <c r="AE622" s="24">
        <v>0</v>
      </c>
      <c r="AF622" s="90">
        <v>0</v>
      </c>
      <c r="AG622" s="24">
        <v>0</v>
      </c>
      <c r="AH622" s="90">
        <v>85250</v>
      </c>
      <c r="AI622" s="24" t="s">
        <v>102</v>
      </c>
      <c r="AJ622" s="24" t="s">
        <v>103</v>
      </c>
      <c r="AK622" s="90" t="s">
        <v>85</v>
      </c>
      <c r="AL622" s="90">
        <v>247382</v>
      </c>
      <c r="AM622" s="90" t="s">
        <v>81</v>
      </c>
      <c r="AN622" s="90" t="s">
        <v>1626</v>
      </c>
      <c r="AO622" s="125" t="s">
        <v>793</v>
      </c>
      <c r="AP622" s="24" t="s">
        <v>1629</v>
      </c>
      <c r="AQ622" s="90" t="s">
        <v>1628</v>
      </c>
      <c r="AR622" s="24" t="s">
        <v>1629</v>
      </c>
      <c r="AS622" s="90" t="s">
        <v>119</v>
      </c>
      <c r="AT622" s="24" t="s">
        <v>102</v>
      </c>
      <c r="AU622" s="90" t="s">
        <v>119</v>
      </c>
      <c r="AV622" s="90" t="str">
        <f>IF(ISNUMBER(SEARCH("disagree",AE622)),"N","Y")</f>
        <v>Y</v>
      </c>
      <c r="AW622" s="90" t="s">
        <v>119</v>
      </c>
      <c r="AX622" s="24" t="s">
        <v>119</v>
      </c>
      <c r="AY622" s="90" t="str">
        <f>CONCATENATE(AZ622,BA622,BB622,BC622)</f>
        <v/>
      </c>
      <c r="AZ622" s="90" t="str">
        <f>IF(ISNUMBER(SEARCH("Y",AC622)),"R","")</f>
        <v/>
      </c>
      <c r="BA622" s="90" t="str">
        <f>IF(ISNUMBER(SEARCH("Y",Y622)),"M","")</f>
        <v/>
      </c>
      <c r="BB622" s="90" t="str">
        <f>IF(ISNUMBER(SEARCH("Y",AB622)),"QC","")</f>
        <v/>
      </c>
      <c r="BC622" s="90" t="str">
        <f>IF(ISNUMBER(SEARCH("Y",Z622)),"S","")</f>
        <v/>
      </c>
      <c r="BD622" s="90"/>
      <c r="BE622" s="24" t="s">
        <v>119</v>
      </c>
      <c r="BF622" s="125" t="str">
        <f>IF(AND(AW622&gt;=56543,AW622&lt;=76543,LEN(AW622)&gt;0),"3 Feb 2020",IF(AND(AW622&gt;=66544,AW622&lt;=99999,LEN(AW622)&gt;0),"12 Sep 2020",""))</f>
        <v/>
      </c>
      <c r="BG622" s="125" t="str">
        <f>IF((AND(BF622="3 Feb 2020",LEN(BF622)&gt;0)),"Completed",IF((AND(BF622="12 Sep 2020",LEN(BF622)&gt;0)),"Pending",""))</f>
        <v/>
      </c>
      <c r="BH622" s="90" t="str">
        <f>IF((AND(BF622="3 Feb 2020",LEN(BF622)&gt;0)),"3 Feb 2020","")</f>
        <v/>
      </c>
      <c r="BI622" s="90">
        <v>247382</v>
      </c>
      <c r="BJ622" s="90" t="str">
        <f>L622</f>
        <v>7R45ER844415-79</v>
      </c>
      <c r="BK622" s="127">
        <v>43508</v>
      </c>
      <c r="BL622" s="127">
        <v>44239</v>
      </c>
      <c r="BM622" s="128">
        <f>P622*1.1</f>
        <v>428637341.00000006</v>
      </c>
      <c r="BN622" s="129">
        <f>P622*0.9</f>
        <v>350703279</v>
      </c>
      <c r="BO622" s="130">
        <f>P622*0.8</f>
        <v>311736248</v>
      </c>
      <c r="BP622" s="90">
        <f>IF(Z622="Y",BM622*0.4,BM622*1.05)</f>
        <v>450069208.05000007</v>
      </c>
      <c r="BQ622" s="90">
        <f>BP622*0.8</f>
        <v>360055366.44000006</v>
      </c>
      <c r="BR622" s="90" t="str">
        <f>IF(ISNUMBER(SEARCH("subrecipient",AI618)),P622*0.6,"")</f>
        <v/>
      </c>
      <c r="BS622" s="90">
        <v>247382</v>
      </c>
      <c r="BT622" s="90" t="str">
        <f>BJ622</f>
        <v>7R45ER844415-79</v>
      </c>
      <c r="BU622" s="127">
        <f>BK622</f>
        <v>43508</v>
      </c>
      <c r="BV622" s="127">
        <f>BL622</f>
        <v>44239</v>
      </c>
      <c r="BW622" s="90" t="str">
        <f>H622</f>
        <v>FDA</v>
      </c>
      <c r="BX622" s="90" t="str">
        <f>IF(H622="NATIONAL HEMOPHILIA FOUNDATION","Non Federal","Federal")</f>
        <v>Federal</v>
      </c>
      <c r="BY622" s="128">
        <f>BM622</f>
        <v>428637341.00000006</v>
      </c>
      <c r="BZ622" s="90" t="str">
        <f>IF(LEN(BR622)&gt;0,1,"")</f>
        <v/>
      </c>
      <c r="CA622" s="90" t="str">
        <f>IF(LEN(BR622)&gt;0,"VIRAL HEPATITIS PROJECT","")</f>
        <v/>
      </c>
      <c r="CB622" s="129" t="str">
        <f>IF(LEN(BR622)&gt;0,BM622*0.7,"")</f>
        <v/>
      </c>
      <c r="CC622" s="90">
        <f>BP622</f>
        <v>450069208.05000007</v>
      </c>
      <c r="CD622" s="90" t="str">
        <f>IF(LEN(BR622)&gt;0,"70%","")</f>
        <v/>
      </c>
      <c r="CE622" s="90">
        <f>BS622</f>
        <v>247382</v>
      </c>
      <c r="CF622" s="90" t="str">
        <f>CA622</f>
        <v/>
      </c>
      <c r="CG622" s="90"/>
      <c r="CH622" s="90"/>
      <c r="CI622" s="90"/>
      <c r="CJ622" s="90"/>
      <c r="CK622" s="90"/>
      <c r="CL622" s="90"/>
      <c r="CM622" s="90"/>
      <c r="CN622" s="90"/>
      <c r="CO622" s="90"/>
      <c r="CP622" s="90"/>
      <c r="CQ622" s="90"/>
      <c r="CR622" s="90"/>
      <c r="CS622" s="90"/>
      <c r="CT622" s="137"/>
    </row>
    <row r="623" spans="1:98" ht="45">
      <c r="A623" s="89">
        <v>247382</v>
      </c>
      <c r="B623" s="90">
        <v>2020</v>
      </c>
      <c r="C623" s="90" t="s">
        <v>81</v>
      </c>
      <c r="D623" s="90" t="s">
        <v>1626</v>
      </c>
      <c r="E623" s="125" t="s">
        <v>780</v>
      </c>
      <c r="F623" s="24" t="s">
        <v>1627</v>
      </c>
      <c r="G623" s="90" t="s">
        <v>85</v>
      </c>
      <c r="H623" s="90" t="s">
        <v>132</v>
      </c>
      <c r="I623" s="90">
        <v>93</v>
      </c>
      <c r="J623" s="90">
        <v>157</v>
      </c>
      <c r="K623" s="90" t="s">
        <v>85</v>
      </c>
      <c r="L623" s="90" t="s">
        <v>1628</v>
      </c>
      <c r="M623" s="90" t="s">
        <v>119</v>
      </c>
      <c r="N623" s="24" t="s">
        <v>1629</v>
      </c>
      <c r="O623" s="24" t="str">
        <f>IF(ISNUMBER(SEARCH("Cancer",N623)),"Cancer",IF(ISNUMBER(SEARCH("health",N623)),"Public health",IF(ISNUMBER(SEARCH("disabilities",N623)),"Disabilities","Other")))</f>
        <v>Other</v>
      </c>
      <c r="P623" s="126">
        <v>389670310</v>
      </c>
      <c r="Q623" s="90" t="s">
        <v>85</v>
      </c>
      <c r="R623" s="90" t="str">
        <f>IF(P623&gt;20000000,"B","A")</f>
        <v>B</v>
      </c>
      <c r="S623" s="90" t="s">
        <v>90</v>
      </c>
      <c r="T623" s="90" t="s">
        <v>119</v>
      </c>
      <c r="U623" s="90" t="s">
        <v>119</v>
      </c>
      <c r="V623" s="90" t="s">
        <v>119</v>
      </c>
      <c r="W623" s="90" t="s">
        <v>119</v>
      </c>
      <c r="X623" s="90" t="s">
        <v>119</v>
      </c>
      <c r="Y623" s="90" t="s">
        <v>119</v>
      </c>
      <c r="Z623" s="90" t="s">
        <v>119</v>
      </c>
      <c r="AA623" s="90" t="s">
        <v>119</v>
      </c>
      <c r="AB623" s="90" t="s">
        <v>119</v>
      </c>
      <c r="AC623" s="90" t="s">
        <v>119</v>
      </c>
      <c r="AD623" s="90" t="s">
        <v>119</v>
      </c>
      <c r="AE623" s="24">
        <v>0</v>
      </c>
      <c r="AF623" s="90">
        <v>0</v>
      </c>
      <c r="AG623" s="24">
        <v>0</v>
      </c>
      <c r="AH623" s="90">
        <v>85248</v>
      </c>
      <c r="AI623" s="24" t="s">
        <v>110</v>
      </c>
      <c r="AJ623" s="24" t="s">
        <v>1631</v>
      </c>
      <c r="AK623" s="90" t="s">
        <v>85</v>
      </c>
      <c r="AL623" s="90">
        <v>247382</v>
      </c>
      <c r="AM623" s="90" t="s">
        <v>81</v>
      </c>
      <c r="AN623" s="90" t="s">
        <v>1626</v>
      </c>
      <c r="AO623" s="125" t="s">
        <v>780</v>
      </c>
      <c r="AP623" s="24" t="s">
        <v>1629</v>
      </c>
      <c r="AQ623" s="90" t="s">
        <v>1628</v>
      </c>
      <c r="AR623" s="24" t="s">
        <v>1629</v>
      </c>
      <c r="AS623" s="90" t="s">
        <v>119</v>
      </c>
      <c r="AT623" s="24" t="s">
        <v>110</v>
      </c>
      <c r="AU623" s="90" t="s">
        <v>119</v>
      </c>
      <c r="AV623" s="90" t="str">
        <f>IF(ISNUMBER(SEARCH("disagree",AE623)),"N","Y")</f>
        <v>Y</v>
      </c>
      <c r="AW623" s="90" t="s">
        <v>119</v>
      </c>
      <c r="AX623" s="24" t="s">
        <v>119</v>
      </c>
      <c r="AY623" s="90" t="str">
        <f>CONCATENATE(AZ623,BA623,BB623,BC623)</f>
        <v/>
      </c>
      <c r="AZ623" s="90" t="str">
        <f>IF(ISNUMBER(SEARCH("Y",AC623)),"R","")</f>
        <v/>
      </c>
      <c r="BA623" s="90" t="str">
        <f>IF(ISNUMBER(SEARCH("Y",Y623)),"M","")</f>
        <v/>
      </c>
      <c r="BB623" s="90" t="str">
        <f>IF(ISNUMBER(SEARCH("Y",AB623)),"QC","")</f>
        <v/>
      </c>
      <c r="BC623" s="90" t="str">
        <f>IF(ISNUMBER(SEARCH("Y",Z623)),"S","")</f>
        <v/>
      </c>
      <c r="BD623" s="90"/>
      <c r="BE623" s="24" t="s">
        <v>119</v>
      </c>
      <c r="BF623" s="125" t="str">
        <f>IF(AND(AW623&gt;=56543,AW623&lt;=76543,LEN(AW623)&gt;0),"3 Feb 2020",IF(AND(AW623&gt;=66544,AW623&lt;=99999,LEN(AW623)&gt;0),"12 Sep 2020",""))</f>
        <v/>
      </c>
      <c r="BG623" s="125" t="str">
        <f>IF((AND(BF623="3 Feb 2020",LEN(BF623)&gt;0)),"Completed",IF((AND(BF623="12 Sep 2020",LEN(BF623)&gt;0)),"Pending",""))</f>
        <v/>
      </c>
      <c r="BH623" s="90" t="str">
        <f>IF((AND(BF623="3 Feb 2020",LEN(BF623)&gt;0)),"3 Feb 2020","")</f>
        <v/>
      </c>
      <c r="BI623" s="90">
        <v>247382</v>
      </c>
      <c r="BJ623" s="90" t="str">
        <f>L623</f>
        <v>7R45ER844415-79</v>
      </c>
      <c r="BK623" s="127">
        <v>43508</v>
      </c>
      <c r="BL623" s="127">
        <v>44239</v>
      </c>
      <c r="BM623" s="128">
        <f>P623*1.1</f>
        <v>428637341.00000006</v>
      </c>
      <c r="BN623" s="129">
        <f>P623*0.9</f>
        <v>350703279</v>
      </c>
      <c r="BO623" s="130">
        <f>P623*0.8</f>
        <v>311736248</v>
      </c>
      <c r="BP623" s="90">
        <f>IF(Z623="Y",BM623*0.4,BM623*1.05)</f>
        <v>450069208.05000007</v>
      </c>
      <c r="BQ623" s="90">
        <f>BP623*0.8</f>
        <v>360055366.44000006</v>
      </c>
      <c r="BR623" s="90" t="str">
        <f>IF(ISNUMBER(SEARCH("subrecipient",AI619)),P623*0.6,"")</f>
        <v/>
      </c>
      <c r="BS623" s="90">
        <v>247382</v>
      </c>
      <c r="BT623" s="90" t="str">
        <f>BJ623</f>
        <v>7R45ER844415-79</v>
      </c>
      <c r="BU623" s="127">
        <f>BK623</f>
        <v>43508</v>
      </c>
      <c r="BV623" s="127">
        <f>BL623</f>
        <v>44239</v>
      </c>
      <c r="BW623" s="90" t="str">
        <f>H623</f>
        <v>FDA</v>
      </c>
      <c r="BX623" s="90" t="str">
        <f>IF(H623="NATIONAL HEMOPHILIA FOUNDATION","Non Federal","Federal")</f>
        <v>Federal</v>
      </c>
      <c r="BY623" s="128">
        <f>BM623</f>
        <v>428637341.00000006</v>
      </c>
      <c r="BZ623" s="90" t="str">
        <f>IF(LEN(BR623)&gt;0,1,"")</f>
        <v/>
      </c>
      <c r="CA623" s="90" t="str">
        <f>IF(LEN(BR623)&gt;0,"VIRAL HEPATITIS PROJECT","")</f>
        <v/>
      </c>
      <c r="CB623" s="129" t="str">
        <f>IF(LEN(BR623)&gt;0,BM623*0.7,"")</f>
        <v/>
      </c>
      <c r="CC623" s="90">
        <f>BP623</f>
        <v>450069208.05000007</v>
      </c>
      <c r="CD623" s="90" t="str">
        <f>IF(LEN(BR623)&gt;0,"70%","")</f>
        <v/>
      </c>
      <c r="CE623" s="90">
        <f>BS623</f>
        <v>247382</v>
      </c>
      <c r="CF623" s="90" t="str">
        <f>CA623</f>
        <v/>
      </c>
      <c r="CG623" s="90"/>
      <c r="CH623" s="90"/>
      <c r="CI623" s="90"/>
      <c r="CJ623" s="90"/>
      <c r="CK623" s="90"/>
      <c r="CL623" s="90"/>
      <c r="CM623" s="90"/>
      <c r="CN623" s="90"/>
      <c r="CO623" s="90"/>
      <c r="CP623" s="90"/>
      <c r="CQ623" s="90"/>
      <c r="CR623" s="90"/>
      <c r="CS623" s="90"/>
      <c r="CT623" s="137"/>
    </row>
    <row r="624" spans="1:98" ht="90">
      <c r="A624" s="89">
        <v>249437</v>
      </c>
      <c r="B624" s="90">
        <v>2020</v>
      </c>
      <c r="C624" s="90" t="s">
        <v>81</v>
      </c>
      <c r="D624" s="90" t="s">
        <v>1632</v>
      </c>
      <c r="E624" s="125" t="s">
        <v>781</v>
      </c>
      <c r="F624" s="24" t="s">
        <v>84</v>
      </c>
      <c r="G624" s="90" t="s">
        <v>85</v>
      </c>
      <c r="H624" s="90" t="s">
        <v>150</v>
      </c>
      <c r="I624" s="90">
        <v>93</v>
      </c>
      <c r="J624" s="90">
        <v>157</v>
      </c>
      <c r="K624" s="90" t="s">
        <v>85</v>
      </c>
      <c r="L624" s="90" t="s">
        <v>1633</v>
      </c>
      <c r="M624" s="90" t="s">
        <v>119</v>
      </c>
      <c r="N624" s="24" t="s">
        <v>1634</v>
      </c>
      <c r="O624" s="24" t="str">
        <f>IF(ISNUMBER(SEARCH("Cancer",N624)),"Cancer",IF(ISNUMBER(SEARCH("health",N624)),"Public health",IF(ISNUMBER(SEARCH("disabilities",N624)),"Disabilities","Other")))</f>
        <v>Other</v>
      </c>
      <c r="P624" s="126">
        <v>232930759</v>
      </c>
      <c r="Q624" s="90" t="s">
        <v>85</v>
      </c>
      <c r="R624" s="90" t="str">
        <f>IF(P624&gt;20000000,"B","A")</f>
        <v>B</v>
      </c>
      <c r="S624" s="90" t="s">
        <v>90</v>
      </c>
      <c r="T624" s="90" t="s">
        <v>119</v>
      </c>
      <c r="U624" s="90" t="s">
        <v>119</v>
      </c>
      <c r="V624" s="90" t="s">
        <v>119</v>
      </c>
      <c r="W624" s="90" t="s">
        <v>119</v>
      </c>
      <c r="X624" s="90" t="s">
        <v>119</v>
      </c>
      <c r="Y624" s="90" t="s">
        <v>119</v>
      </c>
      <c r="Z624" s="90" t="s">
        <v>119</v>
      </c>
      <c r="AA624" s="90" t="s">
        <v>119</v>
      </c>
      <c r="AB624" s="90" t="s">
        <v>119</v>
      </c>
      <c r="AC624" s="90" t="s">
        <v>119</v>
      </c>
      <c r="AD624" s="90" t="s">
        <v>119</v>
      </c>
      <c r="AE624" s="24">
        <v>0</v>
      </c>
      <c r="AF624" s="90">
        <v>0</v>
      </c>
      <c r="AG624" s="24">
        <v>0</v>
      </c>
      <c r="AH624" s="90">
        <v>76196</v>
      </c>
      <c r="AI624" s="24" t="s">
        <v>94</v>
      </c>
      <c r="AJ624" s="24" t="s">
        <v>1635</v>
      </c>
      <c r="AK624" s="90" t="s">
        <v>85</v>
      </c>
      <c r="AL624" s="90">
        <v>249437</v>
      </c>
      <c r="AM624" s="90" t="s">
        <v>81</v>
      </c>
      <c r="AN624" s="90" t="s">
        <v>1632</v>
      </c>
      <c r="AO624" s="125" t="s">
        <v>781</v>
      </c>
      <c r="AP624" s="24" t="s">
        <v>1634</v>
      </c>
      <c r="AQ624" s="90" t="s">
        <v>1633</v>
      </c>
      <c r="AR624" s="24" t="s">
        <v>1634</v>
      </c>
      <c r="AS624" s="90" t="s">
        <v>119</v>
      </c>
      <c r="AT624" s="24" t="s">
        <v>94</v>
      </c>
      <c r="AU624" s="90" t="s">
        <v>119</v>
      </c>
      <c r="AV624" s="90" t="str">
        <f>IF(ISNUMBER(SEARCH("disagree",AE624)),"N","Y")</f>
        <v>Y</v>
      </c>
      <c r="AW624" s="90" t="s">
        <v>119</v>
      </c>
      <c r="AX624" s="24" t="s">
        <v>119</v>
      </c>
      <c r="AY624" s="90" t="str">
        <f>CONCATENATE(AZ624,BA624,BB624,BC624)</f>
        <v/>
      </c>
      <c r="AZ624" s="90" t="str">
        <f>IF(ISNUMBER(SEARCH("Y",AC624)),"R","")</f>
        <v/>
      </c>
      <c r="BA624" s="90" t="str">
        <f>IF(ISNUMBER(SEARCH("Y",Y624)),"M","")</f>
        <v/>
      </c>
      <c r="BB624" s="90" t="str">
        <f>IF(ISNUMBER(SEARCH("Y",AB624)),"QC","")</f>
        <v/>
      </c>
      <c r="BC624" s="90" t="str">
        <f>IF(ISNUMBER(SEARCH("Y",Z624)),"S","")</f>
        <v/>
      </c>
      <c r="BD624" s="90"/>
      <c r="BE624" s="24" t="s">
        <v>119</v>
      </c>
      <c r="BF624" s="125" t="str">
        <f>IF(AND(AW624&gt;=56543,AW624&lt;=76543,LEN(AW624)&gt;0),"3 Feb 2020",IF(AND(AW624&gt;=66544,AW624&lt;=99999,LEN(AW624)&gt;0),"12 Sep 2020",""))</f>
        <v/>
      </c>
      <c r="BG624" s="125" t="str">
        <f>IF((AND(BF624="3 Feb 2020",LEN(BF624)&gt;0)),"Completed",IF((AND(BF624="12 Sep 2020",LEN(BF624)&gt;0)),"Pending",""))</f>
        <v/>
      </c>
      <c r="BH624" s="90" t="str">
        <f>IF((AND(BF624="3 Feb 2020",LEN(BF624)&gt;0)),"3 Feb 2020","")</f>
        <v/>
      </c>
      <c r="BI624" s="90">
        <v>249437</v>
      </c>
      <c r="BJ624" s="90" t="str">
        <f>L624</f>
        <v>2R45ER844515-79</v>
      </c>
      <c r="BK624" s="127">
        <v>43508</v>
      </c>
      <c r="BL624" s="127">
        <v>44239</v>
      </c>
      <c r="BM624" s="128">
        <f>P624*1.1</f>
        <v>256223834.90000001</v>
      </c>
      <c r="BN624" s="129">
        <f>P624*0.9</f>
        <v>209637683.09999999</v>
      </c>
      <c r="BO624" s="130">
        <f>P624*0.8</f>
        <v>186344607.20000002</v>
      </c>
      <c r="BP624" s="90">
        <f>IF(Z624="Y",BM624*0.4,BM624*1.05)</f>
        <v>269035026.64500004</v>
      </c>
      <c r="BQ624" s="90">
        <f>BP624*0.8</f>
        <v>215228021.31600004</v>
      </c>
      <c r="BR624" s="90" t="str">
        <f>IF(ISNUMBER(SEARCH("subrecipient",AI620)),P624*0.6,"")</f>
        <v/>
      </c>
      <c r="BS624" s="90">
        <v>249437</v>
      </c>
      <c r="BT624" s="90" t="str">
        <f>BJ624</f>
        <v>2R45ER844515-79</v>
      </c>
      <c r="BU624" s="127">
        <f>BK624</f>
        <v>43508</v>
      </c>
      <c r="BV624" s="127">
        <f>BL624</f>
        <v>44239</v>
      </c>
      <c r="BW624" s="90" t="str">
        <f>H624</f>
        <v>ACF</v>
      </c>
      <c r="BX624" s="90" t="str">
        <f>IF(H624="NATIONAL HEMOPHILIA FOUNDATION","Non Federal","Federal")</f>
        <v>Federal</v>
      </c>
      <c r="BY624" s="128">
        <f>BM624</f>
        <v>256223834.90000001</v>
      </c>
      <c r="BZ624" s="90" t="str">
        <f>IF(LEN(BR624)&gt;0,1,"")</f>
        <v/>
      </c>
      <c r="CA624" s="90" t="str">
        <f>IF(LEN(BR624)&gt;0,"VIRAL HEPATITIS PROJECT","")</f>
        <v/>
      </c>
      <c r="CB624" s="129" t="str">
        <f>IF(LEN(BR624)&gt;0,BM624*0.7,"")</f>
        <v/>
      </c>
      <c r="CC624" s="90">
        <f>BP624</f>
        <v>269035026.64500004</v>
      </c>
      <c r="CD624" s="90" t="str">
        <f>IF(LEN(BR624)&gt;0,"70%","")</f>
        <v/>
      </c>
      <c r="CE624" s="90">
        <f>BS624</f>
        <v>249437</v>
      </c>
      <c r="CF624" s="90" t="str">
        <f>CA624</f>
        <v/>
      </c>
      <c r="CG624" s="90"/>
      <c r="CH624" s="90"/>
      <c r="CI624" s="90"/>
      <c r="CJ624" s="90"/>
      <c r="CK624" s="90"/>
      <c r="CL624" s="90"/>
      <c r="CM624" s="90"/>
      <c r="CN624" s="90"/>
      <c r="CO624" s="90"/>
      <c r="CP624" s="90"/>
      <c r="CQ624" s="90"/>
      <c r="CR624" s="90"/>
      <c r="CS624" s="90"/>
      <c r="CT624" s="137"/>
    </row>
    <row r="625" spans="1:98" ht="75">
      <c r="A625" s="89">
        <v>249437</v>
      </c>
      <c r="B625" s="90">
        <v>2020</v>
      </c>
      <c r="C625" s="90" t="s">
        <v>81</v>
      </c>
      <c r="D625" s="90" t="s">
        <v>1632</v>
      </c>
      <c r="E625" s="125" t="s">
        <v>784</v>
      </c>
      <c r="F625" s="24" t="s">
        <v>84</v>
      </c>
      <c r="G625" s="90" t="s">
        <v>85</v>
      </c>
      <c r="H625" s="90" t="s">
        <v>150</v>
      </c>
      <c r="I625" s="90">
        <v>93</v>
      </c>
      <c r="J625" s="90">
        <v>157</v>
      </c>
      <c r="K625" s="90" t="s">
        <v>85</v>
      </c>
      <c r="L625" s="90" t="s">
        <v>1633</v>
      </c>
      <c r="M625" s="90" t="s">
        <v>119</v>
      </c>
      <c r="N625" s="24" t="s">
        <v>1634</v>
      </c>
      <c r="O625" s="24" t="str">
        <f>IF(ISNUMBER(SEARCH("Cancer",N625)),"Cancer",IF(ISNUMBER(SEARCH("health",N625)),"Public health",IF(ISNUMBER(SEARCH("disabilities",N625)),"Disabilities","Other")))</f>
        <v>Other</v>
      </c>
      <c r="P625" s="126">
        <v>232930759</v>
      </c>
      <c r="Q625" s="90" t="s">
        <v>85</v>
      </c>
      <c r="R625" s="90" t="str">
        <f>IF(P625&gt;20000000,"B","A")</f>
        <v>B</v>
      </c>
      <c r="S625" s="90" t="s">
        <v>90</v>
      </c>
      <c r="T625" s="90" t="s">
        <v>119</v>
      </c>
      <c r="U625" s="90" t="s">
        <v>119</v>
      </c>
      <c r="V625" s="90" t="s">
        <v>119</v>
      </c>
      <c r="W625" s="90" t="s">
        <v>119</v>
      </c>
      <c r="X625" s="90" t="s">
        <v>119</v>
      </c>
      <c r="Y625" s="90" t="s">
        <v>119</v>
      </c>
      <c r="Z625" s="90" t="s">
        <v>119</v>
      </c>
      <c r="AA625" s="90" t="s">
        <v>119</v>
      </c>
      <c r="AB625" s="90" t="s">
        <v>119</v>
      </c>
      <c r="AC625" s="90" t="s">
        <v>119</v>
      </c>
      <c r="AD625" s="90" t="s">
        <v>119</v>
      </c>
      <c r="AE625" s="24">
        <v>0</v>
      </c>
      <c r="AF625" s="90">
        <v>0</v>
      </c>
      <c r="AG625" s="24">
        <v>0</v>
      </c>
      <c r="AH625" s="90">
        <v>76197</v>
      </c>
      <c r="AI625" s="24" t="s">
        <v>102</v>
      </c>
      <c r="AJ625" s="24" t="s">
        <v>103</v>
      </c>
      <c r="AK625" s="90" t="s">
        <v>85</v>
      </c>
      <c r="AL625" s="90">
        <v>249437</v>
      </c>
      <c r="AM625" s="90" t="s">
        <v>81</v>
      </c>
      <c r="AN625" s="90" t="s">
        <v>1632</v>
      </c>
      <c r="AO625" s="125" t="s">
        <v>784</v>
      </c>
      <c r="AP625" s="24" t="s">
        <v>1634</v>
      </c>
      <c r="AQ625" s="90" t="s">
        <v>1633</v>
      </c>
      <c r="AR625" s="24" t="s">
        <v>1634</v>
      </c>
      <c r="AS625" s="90" t="s">
        <v>119</v>
      </c>
      <c r="AT625" s="24" t="s">
        <v>102</v>
      </c>
      <c r="AU625" s="90" t="s">
        <v>119</v>
      </c>
      <c r="AV625" s="90" t="str">
        <f>IF(ISNUMBER(SEARCH("disagree",AE625)),"N","Y")</f>
        <v>Y</v>
      </c>
      <c r="AW625" s="90" t="s">
        <v>119</v>
      </c>
      <c r="AX625" s="24" t="s">
        <v>119</v>
      </c>
      <c r="AY625" s="90" t="str">
        <f>CONCATENATE(AZ625,BA625,BB625,BC625)</f>
        <v/>
      </c>
      <c r="AZ625" s="90" t="str">
        <f>IF(ISNUMBER(SEARCH("Y",AC625)),"R","")</f>
        <v/>
      </c>
      <c r="BA625" s="90" t="str">
        <f>IF(ISNUMBER(SEARCH("Y",Y625)),"M","")</f>
        <v/>
      </c>
      <c r="BB625" s="90" t="str">
        <f>IF(ISNUMBER(SEARCH("Y",AB625)),"QC","")</f>
        <v/>
      </c>
      <c r="BC625" s="90" t="str">
        <f>IF(ISNUMBER(SEARCH("Y",Z625)),"S","")</f>
        <v/>
      </c>
      <c r="BD625" s="90"/>
      <c r="BE625" s="24" t="s">
        <v>119</v>
      </c>
      <c r="BF625" s="125" t="str">
        <f>IF(AND(AW625&gt;=56543,AW625&lt;=76543,LEN(AW625)&gt;0),"3 Feb 2020",IF(AND(AW625&gt;=66544,AW625&lt;=99999,LEN(AW625)&gt;0),"12 Sep 2020",""))</f>
        <v/>
      </c>
      <c r="BG625" s="125" t="str">
        <f>IF((AND(BF625="3 Feb 2020",LEN(BF625)&gt;0)),"Completed",IF((AND(BF625="12 Sep 2020",LEN(BF625)&gt;0)),"Pending",""))</f>
        <v/>
      </c>
      <c r="BH625" s="90" t="str">
        <f>IF((AND(BF625="3 Feb 2020",LEN(BF625)&gt;0)),"3 Feb 2020","")</f>
        <v/>
      </c>
      <c r="BI625" s="90">
        <v>249437</v>
      </c>
      <c r="BJ625" s="90" t="str">
        <f>L625</f>
        <v>2R45ER844515-79</v>
      </c>
      <c r="BK625" s="127">
        <v>43508</v>
      </c>
      <c r="BL625" s="127">
        <v>44239</v>
      </c>
      <c r="BM625" s="128">
        <f>P625*1.1</f>
        <v>256223834.90000001</v>
      </c>
      <c r="BN625" s="129">
        <f>P625*0.9</f>
        <v>209637683.09999999</v>
      </c>
      <c r="BO625" s="130">
        <f>P625*0.8</f>
        <v>186344607.20000002</v>
      </c>
      <c r="BP625" s="90">
        <f>IF(Z625="Y",BM625*0.4,BM625*1.05)</f>
        <v>269035026.64500004</v>
      </c>
      <c r="BQ625" s="90">
        <f>BP625*0.8</f>
        <v>215228021.31600004</v>
      </c>
      <c r="BR625" s="90" t="str">
        <f>IF(ISNUMBER(SEARCH("subrecipient",AI621)),P625*0.6,"")</f>
        <v/>
      </c>
      <c r="BS625" s="90">
        <v>249437</v>
      </c>
      <c r="BT625" s="90" t="str">
        <f>BJ625</f>
        <v>2R45ER844515-79</v>
      </c>
      <c r="BU625" s="127">
        <f>BK625</f>
        <v>43508</v>
      </c>
      <c r="BV625" s="127">
        <f>BL625</f>
        <v>44239</v>
      </c>
      <c r="BW625" s="90" t="str">
        <f>H625</f>
        <v>ACF</v>
      </c>
      <c r="BX625" s="90" t="str">
        <f>IF(H625="NATIONAL HEMOPHILIA FOUNDATION","Non Federal","Federal")</f>
        <v>Federal</v>
      </c>
      <c r="BY625" s="128">
        <f>BM625</f>
        <v>256223834.90000001</v>
      </c>
      <c r="BZ625" s="90" t="str">
        <f>IF(LEN(BR625)&gt;0,1,"")</f>
        <v/>
      </c>
      <c r="CA625" s="90" t="str">
        <f>IF(LEN(BR625)&gt;0,"VIRAL HEPATITIS PROJECT","")</f>
        <v/>
      </c>
      <c r="CB625" s="129" t="str">
        <f>IF(LEN(BR625)&gt;0,BM625*0.7,"")</f>
        <v/>
      </c>
      <c r="CC625" s="90">
        <f>BP625</f>
        <v>269035026.64500004</v>
      </c>
      <c r="CD625" s="90" t="str">
        <f>IF(LEN(BR625)&gt;0,"70%","")</f>
        <v/>
      </c>
      <c r="CE625" s="90">
        <f>BS625</f>
        <v>249437</v>
      </c>
      <c r="CF625" s="90" t="str">
        <f>CA625</f>
        <v/>
      </c>
      <c r="CG625" s="90"/>
      <c r="CH625" s="90"/>
      <c r="CI625" s="90"/>
      <c r="CJ625" s="90"/>
      <c r="CK625" s="90"/>
      <c r="CL625" s="90"/>
      <c r="CM625" s="90"/>
      <c r="CN625" s="90"/>
      <c r="CO625" s="90"/>
      <c r="CP625" s="90"/>
      <c r="CQ625" s="90"/>
      <c r="CR625" s="90"/>
      <c r="CS625" s="90"/>
      <c r="CT625" s="137"/>
    </row>
    <row r="626" spans="1:98" ht="75">
      <c r="A626" s="89">
        <v>249437</v>
      </c>
      <c r="B626" s="90">
        <v>2020</v>
      </c>
      <c r="C626" s="90" t="s">
        <v>81</v>
      </c>
      <c r="D626" s="90" t="s">
        <v>1632</v>
      </c>
      <c r="E626" s="125" t="s">
        <v>790</v>
      </c>
      <c r="F626" s="24" t="s">
        <v>84</v>
      </c>
      <c r="G626" s="90" t="s">
        <v>85</v>
      </c>
      <c r="H626" s="90" t="s">
        <v>150</v>
      </c>
      <c r="I626" s="90">
        <v>93</v>
      </c>
      <c r="J626" s="90">
        <v>157</v>
      </c>
      <c r="K626" s="90" t="s">
        <v>85</v>
      </c>
      <c r="L626" s="90" t="s">
        <v>1633</v>
      </c>
      <c r="M626" s="90" t="s">
        <v>119</v>
      </c>
      <c r="N626" s="24" t="s">
        <v>1634</v>
      </c>
      <c r="O626" s="24" t="str">
        <f>IF(ISNUMBER(SEARCH("Cancer",N626)),"Cancer",IF(ISNUMBER(SEARCH("health",N626)),"Public health",IF(ISNUMBER(SEARCH("disabilities",N626)),"Disabilities","Other")))</f>
        <v>Other</v>
      </c>
      <c r="P626" s="126">
        <v>232930759</v>
      </c>
      <c r="Q626" s="90" t="s">
        <v>85</v>
      </c>
      <c r="R626" s="90" t="str">
        <f>IF(P626&gt;20000000,"B","A")</f>
        <v>B</v>
      </c>
      <c r="S626" s="90" t="s">
        <v>90</v>
      </c>
      <c r="T626" s="90" t="s">
        <v>119</v>
      </c>
      <c r="U626" s="90" t="s">
        <v>119</v>
      </c>
      <c r="V626" s="90" t="s">
        <v>119</v>
      </c>
      <c r="W626" s="90" t="s">
        <v>119</v>
      </c>
      <c r="X626" s="90" t="s">
        <v>119</v>
      </c>
      <c r="Y626" s="90" t="s">
        <v>119</v>
      </c>
      <c r="Z626" s="90" t="s">
        <v>119</v>
      </c>
      <c r="AA626" s="90" t="s">
        <v>119</v>
      </c>
      <c r="AB626" s="90" t="s">
        <v>119</v>
      </c>
      <c r="AC626" s="90" t="s">
        <v>119</v>
      </c>
      <c r="AD626" s="90" t="s">
        <v>119</v>
      </c>
      <c r="AE626" s="24">
        <v>0</v>
      </c>
      <c r="AF626" s="90">
        <v>0</v>
      </c>
      <c r="AG626" s="24">
        <v>0</v>
      </c>
      <c r="AH626" s="90">
        <v>76198</v>
      </c>
      <c r="AI626" s="24" t="s">
        <v>1636</v>
      </c>
      <c r="AJ626" s="24" t="s">
        <v>549</v>
      </c>
      <c r="AK626" s="90" t="s">
        <v>85</v>
      </c>
      <c r="AL626" s="90">
        <v>249437</v>
      </c>
      <c r="AM626" s="90" t="s">
        <v>81</v>
      </c>
      <c r="AN626" s="90" t="s">
        <v>1632</v>
      </c>
      <c r="AO626" s="125" t="s">
        <v>790</v>
      </c>
      <c r="AP626" s="24" t="s">
        <v>1634</v>
      </c>
      <c r="AQ626" s="90" t="s">
        <v>1633</v>
      </c>
      <c r="AR626" s="24" t="s">
        <v>1634</v>
      </c>
      <c r="AS626" s="90" t="s">
        <v>119</v>
      </c>
      <c r="AT626" s="24" t="s">
        <v>1636</v>
      </c>
      <c r="AU626" s="90" t="s">
        <v>119</v>
      </c>
      <c r="AV626" s="90" t="str">
        <f>IF(ISNUMBER(SEARCH("disagree",AE626)),"N","Y")</f>
        <v>Y</v>
      </c>
      <c r="AW626" s="90" t="s">
        <v>119</v>
      </c>
      <c r="AX626" s="24" t="s">
        <v>119</v>
      </c>
      <c r="AY626" s="90" t="str">
        <f>CONCATENATE(AZ626,BA626,BB626,BC626)</f>
        <v/>
      </c>
      <c r="AZ626" s="90" t="str">
        <f>IF(ISNUMBER(SEARCH("Y",AC626)),"R","")</f>
        <v/>
      </c>
      <c r="BA626" s="90" t="str">
        <f>IF(ISNUMBER(SEARCH("Y",Y626)),"M","")</f>
        <v/>
      </c>
      <c r="BB626" s="90" t="str">
        <f>IF(ISNUMBER(SEARCH("Y",AB626)),"QC","")</f>
        <v/>
      </c>
      <c r="BC626" s="90" t="str">
        <f>IF(ISNUMBER(SEARCH("Y",Z626)),"S","")</f>
        <v/>
      </c>
      <c r="BD626" s="90"/>
      <c r="BE626" s="24" t="s">
        <v>119</v>
      </c>
      <c r="BF626" s="125" t="str">
        <f>IF(AND(AW626&gt;=56543,AW626&lt;=76543,LEN(AW626)&gt;0),"3 Feb 2020",IF(AND(AW626&gt;=66544,AW626&lt;=99999,LEN(AW626)&gt;0),"12 Sep 2020",""))</f>
        <v/>
      </c>
      <c r="BG626" s="125" t="str">
        <f>IF((AND(BF626="3 Feb 2020",LEN(BF626)&gt;0)),"Completed",IF((AND(BF626="12 Sep 2020",LEN(BF626)&gt;0)),"Pending",""))</f>
        <v/>
      </c>
      <c r="BH626" s="90" t="str">
        <f>IF((AND(BF626="3 Feb 2020",LEN(BF626)&gt;0)),"3 Feb 2020","")</f>
        <v/>
      </c>
      <c r="BI626" s="90">
        <v>249437</v>
      </c>
      <c r="BJ626" s="90" t="str">
        <f>L626</f>
        <v>2R45ER844515-79</v>
      </c>
      <c r="BK626" s="127">
        <v>43508</v>
      </c>
      <c r="BL626" s="127">
        <v>44239</v>
      </c>
      <c r="BM626" s="128">
        <f>P626*1.1</f>
        <v>256223834.90000001</v>
      </c>
      <c r="BN626" s="129">
        <f>P626*0.9</f>
        <v>209637683.09999999</v>
      </c>
      <c r="BO626" s="130">
        <f>P626*0.8</f>
        <v>186344607.20000002</v>
      </c>
      <c r="BP626" s="90">
        <f>IF(Z626="Y",BM626*0.4,BM626*1.05)</f>
        <v>269035026.64500004</v>
      </c>
      <c r="BQ626" s="90">
        <f>BP626*0.8</f>
        <v>215228021.31600004</v>
      </c>
      <c r="BR626" s="90" t="str">
        <f>IF(ISNUMBER(SEARCH("subrecipient",AI622)),P626*0.6,"")</f>
        <v/>
      </c>
      <c r="BS626" s="90">
        <v>249437</v>
      </c>
      <c r="BT626" s="90" t="str">
        <f>BJ626</f>
        <v>2R45ER844515-79</v>
      </c>
      <c r="BU626" s="127">
        <f>BK626</f>
        <v>43508</v>
      </c>
      <c r="BV626" s="127">
        <f>BL626</f>
        <v>44239</v>
      </c>
      <c r="BW626" s="90" t="str">
        <f>H626</f>
        <v>ACF</v>
      </c>
      <c r="BX626" s="90" t="str">
        <f>IF(H626="NATIONAL HEMOPHILIA FOUNDATION","Non Federal","Federal")</f>
        <v>Federal</v>
      </c>
      <c r="BY626" s="128">
        <f>BM626</f>
        <v>256223834.90000001</v>
      </c>
      <c r="BZ626" s="90" t="str">
        <f>IF(LEN(BR626)&gt;0,1,"")</f>
        <v/>
      </c>
      <c r="CA626" s="90" t="str">
        <f>IF(LEN(BR626)&gt;0,"VIRAL HEPATITIS PROJECT","")</f>
        <v/>
      </c>
      <c r="CB626" s="129" t="str">
        <f>IF(LEN(BR626)&gt;0,BM626*0.7,"")</f>
        <v/>
      </c>
      <c r="CC626" s="90">
        <f>BP626</f>
        <v>269035026.64500004</v>
      </c>
      <c r="CD626" s="90" t="str">
        <f>IF(LEN(BR626)&gt;0,"70%","")</f>
        <v/>
      </c>
      <c r="CE626" s="90">
        <f>BS626</f>
        <v>249437</v>
      </c>
      <c r="CF626" s="90" t="str">
        <f>CA626</f>
        <v/>
      </c>
      <c r="CG626" s="90"/>
      <c r="CH626" s="90"/>
      <c r="CI626" s="90"/>
      <c r="CJ626" s="90"/>
      <c r="CK626" s="90"/>
      <c r="CL626" s="90"/>
      <c r="CM626" s="90"/>
      <c r="CN626" s="90"/>
      <c r="CO626" s="90"/>
      <c r="CP626" s="90"/>
      <c r="CQ626" s="90"/>
      <c r="CR626" s="90"/>
      <c r="CS626" s="90"/>
      <c r="CT626" s="137"/>
    </row>
    <row r="627" spans="1:98" ht="60">
      <c r="A627" s="89">
        <v>249556</v>
      </c>
      <c r="B627" s="90">
        <v>2020</v>
      </c>
      <c r="C627" s="90" t="s">
        <v>81</v>
      </c>
      <c r="D627" s="90" t="s">
        <v>1637</v>
      </c>
      <c r="E627" s="125" t="s">
        <v>791</v>
      </c>
      <c r="F627" s="24" t="s">
        <v>116</v>
      </c>
      <c r="G627" s="90" t="s">
        <v>85</v>
      </c>
      <c r="H627" s="90" t="s">
        <v>86</v>
      </c>
      <c r="I627" s="90">
        <v>93</v>
      </c>
      <c r="J627" s="90">
        <v>157</v>
      </c>
      <c r="K627" s="90" t="s">
        <v>85</v>
      </c>
      <c r="L627" s="90" t="s">
        <v>1638</v>
      </c>
      <c r="M627" s="90" t="s">
        <v>85</v>
      </c>
      <c r="N627" s="24" t="s">
        <v>1639</v>
      </c>
      <c r="O627" s="24" t="str">
        <f>IF(ISNUMBER(SEARCH("Cancer",N627)),"Cancer",IF(ISNUMBER(SEARCH("health",N627)),"Public health",IF(ISNUMBER(SEARCH("disabilities",N627)),"Disabilities","Other")))</f>
        <v>Public health</v>
      </c>
      <c r="P627" s="126">
        <v>38587217</v>
      </c>
      <c r="Q627" s="90" t="s">
        <v>85</v>
      </c>
      <c r="R627" s="90" t="str">
        <f>IF(P627&gt;20000000,"B","A")</f>
        <v>B</v>
      </c>
      <c r="S627" s="90" t="s">
        <v>90</v>
      </c>
      <c r="T627" s="90">
        <v>2582908</v>
      </c>
      <c r="U627" s="90" t="s">
        <v>100</v>
      </c>
      <c r="V627" s="90" t="s">
        <v>584</v>
      </c>
      <c r="W627" s="90" t="s">
        <v>85</v>
      </c>
      <c r="X627" s="90" t="s">
        <v>87</v>
      </c>
      <c r="Y627" s="90" t="s">
        <v>85</v>
      </c>
      <c r="Z627" s="90" t="s">
        <v>85</v>
      </c>
      <c r="AA627" s="90" t="s">
        <v>85</v>
      </c>
      <c r="AB627" s="90" t="s">
        <v>85</v>
      </c>
      <c r="AC627" s="90" t="s">
        <v>85</v>
      </c>
      <c r="AD627" s="90">
        <v>0</v>
      </c>
      <c r="AE627" s="24">
        <v>0</v>
      </c>
      <c r="AF627" s="90">
        <v>0</v>
      </c>
      <c r="AG627" s="24">
        <v>0</v>
      </c>
      <c r="AH627" s="90">
        <v>86215</v>
      </c>
      <c r="AI627" s="24" t="s">
        <v>94</v>
      </c>
      <c r="AJ627" s="24" t="s">
        <v>1640</v>
      </c>
      <c r="AK627" s="90" t="s">
        <v>85</v>
      </c>
      <c r="AL627" s="90">
        <v>249556</v>
      </c>
      <c r="AM627" s="90" t="s">
        <v>81</v>
      </c>
      <c r="AN627" s="90" t="s">
        <v>1637</v>
      </c>
      <c r="AO627" s="125" t="s">
        <v>791</v>
      </c>
      <c r="AP627" s="24" t="s">
        <v>1639</v>
      </c>
      <c r="AQ627" s="90" t="s">
        <v>1638</v>
      </c>
      <c r="AR627" s="24" t="s">
        <v>1639</v>
      </c>
      <c r="AS627" s="90">
        <v>2582908</v>
      </c>
      <c r="AT627" s="24" t="s">
        <v>94</v>
      </c>
      <c r="AU627" s="90" t="s">
        <v>584</v>
      </c>
      <c r="AV627" s="90" t="str">
        <f>IF(ISNUMBER(SEARCH("disagree",AE627)),"N","Y")</f>
        <v>Y</v>
      </c>
      <c r="AW627" s="90" t="s">
        <v>119</v>
      </c>
      <c r="AX627" s="24" t="s">
        <v>119</v>
      </c>
      <c r="AY627" s="90" t="str">
        <f>CONCATENATE(AZ627,BA627,BB627,BC627)</f>
        <v/>
      </c>
      <c r="AZ627" s="90" t="str">
        <f>IF(ISNUMBER(SEARCH("Y",AC627)),"R","")</f>
        <v/>
      </c>
      <c r="BA627" s="90" t="str">
        <f>IF(ISNUMBER(SEARCH("Y",Y627)),"M","")</f>
        <v/>
      </c>
      <c r="BB627" s="90" t="str">
        <f>IF(ISNUMBER(SEARCH("Y",AB627)),"QC","")</f>
        <v/>
      </c>
      <c r="BC627" s="90" t="str">
        <f>IF(ISNUMBER(SEARCH("Y",Z627)),"S","")</f>
        <v/>
      </c>
      <c r="BD627" s="90"/>
      <c r="BE627" s="24" t="s">
        <v>119</v>
      </c>
      <c r="BF627" s="125" t="str">
        <f>IF(AND(AW627&gt;=56543,AW627&lt;=76543,LEN(AW627)&gt;0),"3 Feb 2020",IF(AND(AW627&gt;=66544,AW627&lt;=99999,LEN(AW627)&gt;0),"12 Sep 2020",""))</f>
        <v/>
      </c>
      <c r="BG627" s="125" t="str">
        <f>IF((AND(BF627="3 Feb 2020",LEN(BF627)&gt;0)),"Completed",IF((AND(BF627="12 Sep 2020",LEN(BF627)&gt;0)),"Pending",""))</f>
        <v/>
      </c>
      <c r="BH627" s="90" t="str">
        <f>IF((AND(BF627="3 Feb 2020",LEN(BF627)&gt;0)),"3 Feb 2020","")</f>
        <v/>
      </c>
      <c r="BI627" s="90">
        <v>249556</v>
      </c>
      <c r="BJ627" s="90" t="str">
        <f>L627</f>
        <v>2R45ER834515-83</v>
      </c>
      <c r="BK627" s="127">
        <v>43508</v>
      </c>
      <c r="BL627" s="127">
        <v>44239</v>
      </c>
      <c r="BM627" s="128">
        <f>P627*1.1</f>
        <v>42445938.700000003</v>
      </c>
      <c r="BN627" s="129">
        <f>P627*0.9</f>
        <v>34728495.300000004</v>
      </c>
      <c r="BO627" s="130">
        <f>P627*0.8</f>
        <v>30869773.600000001</v>
      </c>
      <c r="BP627" s="90">
        <f>IF(Z627="Y",BM627*0.4,BM627*1.05)</f>
        <v>44568235.635000005</v>
      </c>
      <c r="BQ627" s="90">
        <f>BP627*0.8</f>
        <v>35654588.508000009</v>
      </c>
      <c r="BR627" s="90" t="str">
        <f>IF(ISNUMBER(SEARCH("subrecipient",AI623)),P627*0.6,"")</f>
        <v/>
      </c>
      <c r="BS627" s="90">
        <v>249556</v>
      </c>
      <c r="BT627" s="90" t="str">
        <f>BJ627</f>
        <v>2R45ER834515-83</v>
      </c>
      <c r="BU627" s="127">
        <f>BK627</f>
        <v>43508</v>
      </c>
      <c r="BV627" s="127">
        <f>BL627</f>
        <v>44239</v>
      </c>
      <c r="BW627" s="90" t="str">
        <f>H627</f>
        <v>CDC</v>
      </c>
      <c r="BX627" s="90" t="str">
        <f>IF(H627="NATIONAL HEMOPHILIA FOUNDATION","Non Federal","Federal")</f>
        <v>Federal</v>
      </c>
      <c r="BY627" s="128">
        <f>BM627</f>
        <v>42445938.700000003</v>
      </c>
      <c r="BZ627" s="90" t="str">
        <f>IF(LEN(BR627)&gt;0,1,"")</f>
        <v/>
      </c>
      <c r="CA627" s="90" t="str">
        <f>IF(LEN(BR627)&gt;0,"VIRAL HEPATITIS PROJECT","")</f>
        <v/>
      </c>
      <c r="CB627" s="129" t="str">
        <f>IF(LEN(BR627)&gt;0,BM627*0.7,"")</f>
        <v/>
      </c>
      <c r="CC627" s="90">
        <f>BP627</f>
        <v>44568235.635000005</v>
      </c>
      <c r="CD627" s="90" t="str">
        <f>IF(LEN(BR627)&gt;0,"70%","")</f>
        <v/>
      </c>
      <c r="CE627" s="90">
        <f>BS627</f>
        <v>249556</v>
      </c>
      <c r="CF627" s="90" t="str">
        <f>CA627</f>
        <v/>
      </c>
      <c r="CG627" s="90"/>
      <c r="CH627" s="90"/>
      <c r="CI627" s="90"/>
      <c r="CJ627" s="90"/>
      <c r="CK627" s="90"/>
      <c r="CL627" s="90"/>
      <c r="CM627" s="90"/>
      <c r="CN627" s="90"/>
      <c r="CO627" s="90"/>
      <c r="CP627" s="90"/>
      <c r="CQ627" s="90"/>
      <c r="CR627" s="90"/>
      <c r="CS627" s="90"/>
      <c r="CT627" s="137"/>
    </row>
    <row r="628" spans="1:98" ht="135">
      <c r="A628" s="89">
        <v>249556</v>
      </c>
      <c r="B628" s="90">
        <v>2020</v>
      </c>
      <c r="C628" s="90" t="s">
        <v>81</v>
      </c>
      <c r="D628" s="90" t="s">
        <v>1637</v>
      </c>
      <c r="E628" s="125" t="s">
        <v>793</v>
      </c>
      <c r="F628" s="24" t="s">
        <v>116</v>
      </c>
      <c r="G628" s="90" t="s">
        <v>85</v>
      </c>
      <c r="H628" s="90" t="s">
        <v>86</v>
      </c>
      <c r="I628" s="90">
        <v>93</v>
      </c>
      <c r="J628" s="90">
        <v>157</v>
      </c>
      <c r="K628" s="90" t="s">
        <v>85</v>
      </c>
      <c r="L628" s="90" t="s">
        <v>1638</v>
      </c>
      <c r="M628" s="90" t="s">
        <v>85</v>
      </c>
      <c r="N628" s="24" t="s">
        <v>1639</v>
      </c>
      <c r="O628" s="24" t="str">
        <f>IF(ISNUMBER(SEARCH("Cancer",N628)),"Cancer",IF(ISNUMBER(SEARCH("health",N628)),"Public health",IF(ISNUMBER(SEARCH("disabilities",N628)),"Disabilities","Other")))</f>
        <v>Public health</v>
      </c>
      <c r="P628" s="126">
        <v>38587217</v>
      </c>
      <c r="Q628" s="90" t="s">
        <v>85</v>
      </c>
      <c r="R628" s="90" t="str">
        <f>IF(P628&gt;20000000,"B","A")</f>
        <v>B</v>
      </c>
      <c r="S628" s="90" t="s">
        <v>90</v>
      </c>
      <c r="T628" s="90">
        <v>2582908</v>
      </c>
      <c r="U628" s="90" t="s">
        <v>100</v>
      </c>
      <c r="V628" s="90" t="s">
        <v>584</v>
      </c>
      <c r="W628" s="90" t="s">
        <v>85</v>
      </c>
      <c r="X628" s="90" t="s">
        <v>87</v>
      </c>
      <c r="Y628" s="90" t="s">
        <v>85</v>
      </c>
      <c r="Z628" s="90" t="s">
        <v>85</v>
      </c>
      <c r="AA628" s="90" t="s">
        <v>85</v>
      </c>
      <c r="AB628" s="90" t="s">
        <v>85</v>
      </c>
      <c r="AC628" s="90" t="s">
        <v>85</v>
      </c>
      <c r="AD628" s="90">
        <v>0</v>
      </c>
      <c r="AE628" s="24" t="s">
        <v>1641</v>
      </c>
      <c r="AF628" s="90" t="s">
        <v>100</v>
      </c>
      <c r="AG628" s="24" t="s">
        <v>1642</v>
      </c>
      <c r="AH628" s="90">
        <v>86214</v>
      </c>
      <c r="AI628" s="24" t="s">
        <v>102</v>
      </c>
      <c r="AJ628" s="24" t="s">
        <v>103</v>
      </c>
      <c r="AK628" s="90" t="s">
        <v>85</v>
      </c>
      <c r="AL628" s="90">
        <v>249556</v>
      </c>
      <c r="AM628" s="90" t="s">
        <v>81</v>
      </c>
      <c r="AN628" s="90" t="s">
        <v>1637</v>
      </c>
      <c r="AO628" s="125" t="s">
        <v>793</v>
      </c>
      <c r="AP628" s="24" t="s">
        <v>1639</v>
      </c>
      <c r="AQ628" s="90" t="s">
        <v>1638</v>
      </c>
      <c r="AR628" s="24" t="s">
        <v>1639</v>
      </c>
      <c r="AS628" s="90">
        <v>2582908</v>
      </c>
      <c r="AT628" s="24" t="s">
        <v>102</v>
      </c>
      <c r="AU628" s="90" t="s">
        <v>584</v>
      </c>
      <c r="AV628" s="90" t="str">
        <f>IF(ISNUMBER(SEARCH("disagree",AE628)),"N","Y")</f>
        <v>Y</v>
      </c>
      <c r="AW628" s="90" t="s">
        <v>119</v>
      </c>
      <c r="AX628" s="24" t="s">
        <v>119</v>
      </c>
      <c r="AY628" s="90" t="str">
        <f>CONCATENATE(AZ628,BA628,BB628,BC628)</f>
        <v/>
      </c>
      <c r="AZ628" s="90" t="str">
        <f>IF(ISNUMBER(SEARCH("Y",AC628)),"R","")</f>
        <v/>
      </c>
      <c r="BA628" s="90" t="str">
        <f>IF(ISNUMBER(SEARCH("Y",Y628)),"M","")</f>
        <v/>
      </c>
      <c r="BB628" s="90" t="str">
        <f>IF(ISNUMBER(SEARCH("Y",AB628)),"QC","")</f>
        <v/>
      </c>
      <c r="BC628" s="90" t="str">
        <f>IF(ISNUMBER(SEARCH("Y",Z628)),"S","")</f>
        <v/>
      </c>
      <c r="BD628" s="90"/>
      <c r="BE628" s="24" t="s">
        <v>119</v>
      </c>
      <c r="BF628" s="125" t="str">
        <f>IF(AND(AW628&gt;=56543,AW628&lt;=76543,LEN(AW628)&gt;0),"3 Feb 2020",IF(AND(AW628&gt;=66544,AW628&lt;=99999,LEN(AW628)&gt;0),"12 Sep 2020",""))</f>
        <v/>
      </c>
      <c r="BG628" s="125" t="str">
        <f>IF((AND(BF628="3 Feb 2020",LEN(BF628)&gt;0)),"Completed",IF((AND(BF628="12 Sep 2020",LEN(BF628)&gt;0)),"Pending",""))</f>
        <v/>
      </c>
      <c r="BH628" s="90" t="str">
        <f>IF((AND(BF628="3 Feb 2020",LEN(BF628)&gt;0)),"3 Feb 2020","")</f>
        <v/>
      </c>
      <c r="BI628" s="90">
        <v>249556</v>
      </c>
      <c r="BJ628" s="90" t="str">
        <f>L628</f>
        <v>2R45ER834515-83</v>
      </c>
      <c r="BK628" s="127">
        <v>43508</v>
      </c>
      <c r="BL628" s="127">
        <v>44239</v>
      </c>
      <c r="BM628" s="128">
        <f>P628*1.1</f>
        <v>42445938.700000003</v>
      </c>
      <c r="BN628" s="129">
        <f>P628*0.9</f>
        <v>34728495.300000004</v>
      </c>
      <c r="BO628" s="130">
        <f>P628*0.8</f>
        <v>30869773.600000001</v>
      </c>
      <c r="BP628" s="90">
        <f>IF(Z628="Y",BM628*0.4,BM628*1.05)</f>
        <v>44568235.635000005</v>
      </c>
      <c r="BQ628" s="90">
        <f>BP628*0.8</f>
        <v>35654588.508000009</v>
      </c>
      <c r="BR628" s="90" t="str">
        <f>IF(ISNUMBER(SEARCH("subrecipient",AI624)),P628*0.6,"")</f>
        <v/>
      </c>
      <c r="BS628" s="90">
        <v>249556</v>
      </c>
      <c r="BT628" s="90" t="str">
        <f>BJ628</f>
        <v>2R45ER834515-83</v>
      </c>
      <c r="BU628" s="127">
        <f>BK628</f>
        <v>43508</v>
      </c>
      <c r="BV628" s="127">
        <f>BL628</f>
        <v>44239</v>
      </c>
      <c r="BW628" s="90" t="str">
        <f>H628</f>
        <v>CDC</v>
      </c>
      <c r="BX628" s="90" t="str">
        <f>IF(H628="NATIONAL HEMOPHILIA FOUNDATION","Non Federal","Federal")</f>
        <v>Federal</v>
      </c>
      <c r="BY628" s="128">
        <f>BM628</f>
        <v>42445938.700000003</v>
      </c>
      <c r="BZ628" s="90" t="str">
        <f>IF(LEN(BR628)&gt;0,1,"")</f>
        <v/>
      </c>
      <c r="CA628" s="90" t="str">
        <f>IF(LEN(BR628)&gt;0,"VIRAL HEPATITIS PROJECT","")</f>
        <v/>
      </c>
      <c r="CB628" s="129" t="str">
        <f>IF(LEN(BR628)&gt;0,BM628*0.7,"")</f>
        <v/>
      </c>
      <c r="CC628" s="90">
        <f>BP628</f>
        <v>44568235.635000005</v>
      </c>
      <c r="CD628" s="90" t="str">
        <f>IF(LEN(BR628)&gt;0,"70%","")</f>
        <v/>
      </c>
      <c r="CE628" s="90">
        <f>BS628</f>
        <v>249556</v>
      </c>
      <c r="CF628" s="90" t="str">
        <f>CA628</f>
        <v/>
      </c>
      <c r="CG628" s="90"/>
      <c r="CH628" s="90"/>
      <c r="CI628" s="90"/>
      <c r="CJ628" s="90"/>
      <c r="CK628" s="90"/>
      <c r="CL628" s="90"/>
      <c r="CM628" s="90"/>
      <c r="CN628" s="90"/>
      <c r="CO628" s="90"/>
      <c r="CP628" s="90"/>
      <c r="CQ628" s="90"/>
      <c r="CR628" s="90"/>
      <c r="CS628" s="90"/>
      <c r="CT628" s="137"/>
    </row>
    <row r="629" spans="1:98" ht="409.6">
      <c r="A629" s="89">
        <v>261559</v>
      </c>
      <c r="B629" s="90">
        <v>2020</v>
      </c>
      <c r="C629" s="90" t="s">
        <v>81</v>
      </c>
      <c r="D629" s="90" t="s">
        <v>1643</v>
      </c>
      <c r="E629" s="125" t="s">
        <v>1644</v>
      </c>
      <c r="F629" s="24" t="s">
        <v>1645</v>
      </c>
      <c r="G629" s="90" t="s">
        <v>85</v>
      </c>
      <c r="H629" s="90" t="s">
        <v>86</v>
      </c>
      <c r="I629" s="90">
        <v>93</v>
      </c>
      <c r="J629" s="90">
        <v>157</v>
      </c>
      <c r="K629" s="90" t="s">
        <v>85</v>
      </c>
      <c r="L629" s="90" t="s">
        <v>1646</v>
      </c>
      <c r="M629" s="90" t="s">
        <v>85</v>
      </c>
      <c r="N629" s="24" t="s">
        <v>1647</v>
      </c>
      <c r="O629" s="24" t="str">
        <f>IF(ISNUMBER(SEARCH("Cancer",N629)),"Cancer",IF(ISNUMBER(SEARCH("health",N629)),"Public health",IF(ISNUMBER(SEARCH("disabilities",N629)),"Disabilities","Other")))</f>
        <v>Other</v>
      </c>
      <c r="P629" s="126">
        <v>28496118</v>
      </c>
      <c r="Q629" s="90" t="s">
        <v>85</v>
      </c>
      <c r="R629" s="90" t="str">
        <f>IF(P629&gt;20000000,"B","A")</f>
        <v>B</v>
      </c>
      <c r="S629" s="90" t="s">
        <v>90</v>
      </c>
      <c r="T629" s="90">
        <v>25829933</v>
      </c>
      <c r="U629" s="90" t="s">
        <v>91</v>
      </c>
      <c r="V629" s="90" t="s">
        <v>85</v>
      </c>
      <c r="W629" s="90" t="s">
        <v>85</v>
      </c>
      <c r="X629" s="90" t="s">
        <v>85</v>
      </c>
      <c r="Y629" s="90" t="s">
        <v>85</v>
      </c>
      <c r="Z629" s="90" t="s">
        <v>85</v>
      </c>
      <c r="AA629" s="90" t="s">
        <v>85</v>
      </c>
      <c r="AB629" s="90" t="s">
        <v>87</v>
      </c>
      <c r="AC629" s="90" t="s">
        <v>85</v>
      </c>
      <c r="AD629" s="90">
        <v>0</v>
      </c>
      <c r="AE629" s="24" t="s">
        <v>1648</v>
      </c>
      <c r="AF629" s="90" t="s">
        <v>91</v>
      </c>
      <c r="AG629" s="24" t="s">
        <v>1649</v>
      </c>
      <c r="AH629" s="90">
        <v>86214</v>
      </c>
      <c r="AI629" s="24" t="s">
        <v>1650</v>
      </c>
      <c r="AJ629" s="24" t="s">
        <v>1651</v>
      </c>
      <c r="AK629" s="90" t="s">
        <v>85</v>
      </c>
      <c r="AL629" s="90">
        <v>261559</v>
      </c>
      <c r="AM629" s="90" t="s">
        <v>81</v>
      </c>
      <c r="AN629" s="90" t="s">
        <v>1643</v>
      </c>
      <c r="AO629" s="125" t="s">
        <v>1644</v>
      </c>
      <c r="AP629" s="24" t="s">
        <v>1645</v>
      </c>
      <c r="AQ629" s="90" t="s">
        <v>1646</v>
      </c>
      <c r="AR629" s="24" t="s">
        <v>1647</v>
      </c>
      <c r="AS629" s="90">
        <v>2573908</v>
      </c>
      <c r="AT629" s="24" t="s">
        <v>1652</v>
      </c>
      <c r="AU629" s="90" t="s">
        <v>85</v>
      </c>
      <c r="AV629" s="90" t="str">
        <f>IF(ISNUMBER(SEARCH("disagree",AE629)),"N","Y")</f>
        <v>Y</v>
      </c>
      <c r="AW629" s="90">
        <v>922378</v>
      </c>
      <c r="AX629" s="24" t="s">
        <v>1653</v>
      </c>
      <c r="AY629" s="90" t="str">
        <f>CONCATENATE(AZ629,BA629,BB629,BC629)</f>
        <v>QC</v>
      </c>
      <c r="AZ629" s="90" t="str">
        <f>IF(ISNUMBER(SEARCH("Y",AC629)),"R","")</f>
        <v/>
      </c>
      <c r="BA629" s="90" t="str">
        <f>IF(ISNUMBER(SEARCH("Y",Y629)),"M","")</f>
        <v/>
      </c>
      <c r="BB629" s="90" t="str">
        <f>IF(ISNUMBER(SEARCH("Y",AB629)),"QC","")</f>
        <v>QC</v>
      </c>
      <c r="BC629" s="90" t="str">
        <f>IF(ISNUMBER(SEARCH("Y",Z629)),"S","")</f>
        <v/>
      </c>
      <c r="BD629" s="90" t="s">
        <v>87</v>
      </c>
      <c r="BE629" s="24" t="s">
        <v>1654</v>
      </c>
      <c r="BF629" s="145">
        <v>44082</v>
      </c>
      <c r="BG629" s="125" t="s">
        <v>328</v>
      </c>
      <c r="BH629" s="90" t="str">
        <f>IF((AND(BF629="3 Feb 2020",LEN(BF629)&gt;0)),"3 Feb 2020","")</f>
        <v/>
      </c>
      <c r="BI629" s="90">
        <v>261559</v>
      </c>
      <c r="BJ629" s="90" t="s">
        <v>1646</v>
      </c>
      <c r="BK629" s="127">
        <v>43508</v>
      </c>
      <c r="BL629" s="127">
        <v>44239</v>
      </c>
      <c r="BM629" s="128">
        <f>P629*1.1</f>
        <v>31345729.800000001</v>
      </c>
      <c r="BN629" s="129">
        <f>P629*0.9</f>
        <v>25646506.199999999</v>
      </c>
      <c r="BO629" s="130">
        <f>P629*0.8</f>
        <v>22796894.400000002</v>
      </c>
      <c r="BP629" s="90">
        <f>IF(Z629="Y",BM629*0.4,BM629*1.05)</f>
        <v>32913016.290000003</v>
      </c>
      <c r="BQ629" s="90">
        <f>BP629*0.8</f>
        <v>26330413.032000005</v>
      </c>
      <c r="BR629" s="90" t="str">
        <f>IF(ISNUMBER(SEARCH("subrecipient",AI625)),P629*0.6,"")</f>
        <v/>
      </c>
      <c r="BS629" s="90">
        <v>261559</v>
      </c>
      <c r="BT629" s="90" t="s">
        <v>1646</v>
      </c>
      <c r="BU629" s="127">
        <f>BK629</f>
        <v>43508</v>
      </c>
      <c r="BV629" s="127">
        <f>BL629</f>
        <v>44239</v>
      </c>
      <c r="BW629" s="90" t="str">
        <f>H629</f>
        <v>CDC</v>
      </c>
      <c r="BX629" s="90" t="str">
        <f>IF(H629="NATIONAL HEMOPHILIA FOUNDATION","Non Federal","Federal")</f>
        <v>Federal</v>
      </c>
      <c r="BY629" s="128">
        <f>BM629</f>
        <v>31345729.800000001</v>
      </c>
      <c r="BZ629" s="90" t="str">
        <f>IF(LEN(BR629)&gt;0,1,"")</f>
        <v/>
      </c>
      <c r="CA629" s="90" t="str">
        <f>IF(LEN(BR629)&gt;0,"VIRAL HEPATITIS PROJECT","")</f>
        <v/>
      </c>
      <c r="CB629" s="129" t="str">
        <f>IF(LEN(BR629)&gt;0,BM629*0.7,"")</f>
        <v/>
      </c>
      <c r="CC629" s="90">
        <f>BP629</f>
        <v>32913016.290000003</v>
      </c>
      <c r="CD629" s="90" t="str">
        <f>IF(LEN(BR629)&gt;0,"70%","")</f>
        <v/>
      </c>
      <c r="CE629" s="90">
        <f>BS629</f>
        <v>261559</v>
      </c>
      <c r="CF629" s="90" t="str">
        <f>CA629</f>
        <v/>
      </c>
      <c r="CG629" s="90"/>
      <c r="CH629" s="90"/>
      <c r="CI629" s="90"/>
      <c r="CJ629" s="90"/>
      <c r="CK629" s="90"/>
      <c r="CL629" s="90"/>
      <c r="CM629" s="90"/>
      <c r="CN629" s="90"/>
      <c r="CO629" s="90"/>
      <c r="CP629" s="90"/>
      <c r="CQ629" s="90"/>
      <c r="CR629" s="90"/>
      <c r="CS629" s="23"/>
      <c r="CT629" s="35"/>
    </row>
    <row r="630" spans="1:98">
      <c r="N630"/>
      <c r="O630"/>
      <c r="AE630"/>
      <c r="AG630"/>
      <c r="AI630"/>
      <c r="AJ630"/>
      <c r="CP630"/>
    </row>
    <row r="631" spans="1:98">
      <c r="N631"/>
      <c r="O631"/>
      <c r="AE631"/>
      <c r="AG631"/>
      <c r="AI631"/>
      <c r="AJ631"/>
      <c r="CP631"/>
    </row>
    <row r="632" spans="1:98">
      <c r="N632"/>
      <c r="O632"/>
      <c r="AE632"/>
      <c r="AG632"/>
      <c r="AI632"/>
      <c r="AJ632"/>
      <c r="CP632"/>
    </row>
    <row r="633" spans="1:98">
      <c r="N633"/>
      <c r="O633"/>
      <c r="AE633"/>
      <c r="AG633"/>
      <c r="AI633"/>
      <c r="AJ633"/>
      <c r="CP633"/>
    </row>
    <row r="634" spans="1:98">
      <c r="N634"/>
      <c r="O634"/>
      <c r="AE634"/>
      <c r="AG634"/>
      <c r="AI634"/>
      <c r="AJ634"/>
      <c r="CP634"/>
    </row>
    <row r="635" spans="1:98">
      <c r="N635"/>
      <c r="O635"/>
      <c r="AE635"/>
      <c r="AG635"/>
      <c r="AI635"/>
      <c r="AJ635"/>
      <c r="CP635"/>
    </row>
    <row r="636" spans="1:98">
      <c r="N636"/>
      <c r="O636"/>
      <c r="AE636"/>
      <c r="AG636"/>
      <c r="AI636"/>
      <c r="AJ636"/>
      <c r="CP636"/>
    </row>
    <row r="637" spans="1:98">
      <c r="N637"/>
      <c r="O637"/>
      <c r="AE637"/>
      <c r="AG637"/>
      <c r="AI637"/>
      <c r="AJ637"/>
      <c r="CP637"/>
    </row>
    <row r="638" spans="1:98">
      <c r="N638"/>
      <c r="O638"/>
      <c r="AE638"/>
      <c r="AG638"/>
      <c r="AI638"/>
      <c r="AJ638"/>
      <c r="CP638"/>
    </row>
    <row r="639" spans="1:98">
      <c r="N639"/>
      <c r="O639"/>
      <c r="AE639"/>
      <c r="AG639"/>
      <c r="AI639"/>
      <c r="AJ639"/>
      <c r="CP639"/>
    </row>
    <row r="640" spans="1:98">
      <c r="N640"/>
      <c r="O640"/>
      <c r="AE640"/>
      <c r="AG640"/>
      <c r="AI640"/>
      <c r="AJ640"/>
      <c r="CP640"/>
    </row>
    <row r="641" spans="14:94">
      <c r="N641"/>
      <c r="O641"/>
      <c r="AE641"/>
      <c r="AG641"/>
      <c r="AI641"/>
      <c r="AJ641"/>
      <c r="CP641"/>
    </row>
    <row r="642" spans="14:94">
      <c r="N642"/>
      <c r="O642"/>
      <c r="AE642"/>
      <c r="AG642"/>
      <c r="AI642"/>
      <c r="AJ642"/>
      <c r="CP642"/>
    </row>
    <row r="643" spans="14:94">
      <c r="N643"/>
      <c r="O643"/>
      <c r="AE643"/>
      <c r="AG643"/>
      <c r="AI643"/>
      <c r="AJ643"/>
      <c r="CP643"/>
    </row>
    <row r="644" spans="14:94">
      <c r="N644"/>
      <c r="O644"/>
      <c r="AE644"/>
      <c r="AG644"/>
      <c r="AI644"/>
      <c r="AJ644"/>
      <c r="CP644"/>
    </row>
    <row r="645" spans="14:94">
      <c r="N645"/>
      <c r="O645"/>
      <c r="AE645"/>
      <c r="AG645"/>
      <c r="AI645"/>
      <c r="AJ645"/>
      <c r="CP645"/>
    </row>
    <row r="646" spans="14:94">
      <c r="N646"/>
      <c r="O646"/>
      <c r="AE646"/>
      <c r="AG646"/>
      <c r="AI646"/>
      <c r="AJ646"/>
      <c r="CP646"/>
    </row>
    <row r="647" spans="14:94">
      <c r="N647"/>
      <c r="O647"/>
      <c r="AE647"/>
      <c r="AG647"/>
      <c r="AI647"/>
      <c r="AJ647"/>
      <c r="CP647"/>
    </row>
    <row r="648" spans="14:94">
      <c r="N648"/>
      <c r="O648"/>
      <c r="AE648"/>
      <c r="AG648"/>
      <c r="AI648"/>
      <c r="AJ648"/>
      <c r="CP648"/>
    </row>
    <row r="649" spans="14:94">
      <c r="N649"/>
      <c r="O649"/>
      <c r="AE649"/>
      <c r="AG649"/>
      <c r="AI649"/>
      <c r="AJ649"/>
      <c r="CP649"/>
    </row>
    <row r="650" spans="14:94">
      <c r="N650"/>
      <c r="O650"/>
      <c r="AE650"/>
      <c r="AG650"/>
      <c r="AI650"/>
      <c r="AJ650"/>
      <c r="CP650"/>
    </row>
    <row r="651" spans="14:94">
      <c r="N651"/>
      <c r="O651"/>
      <c r="AE651"/>
      <c r="AG651"/>
      <c r="AI651"/>
      <c r="AJ651"/>
      <c r="CP651"/>
    </row>
    <row r="652" spans="14:94">
      <c r="N652"/>
      <c r="O652"/>
      <c r="AE652"/>
      <c r="AG652"/>
      <c r="AI652"/>
      <c r="AJ652"/>
      <c r="CP652"/>
    </row>
    <row r="653" spans="14:94">
      <c r="N653"/>
      <c r="O653"/>
      <c r="AE653"/>
      <c r="AG653"/>
      <c r="AI653"/>
      <c r="AJ653"/>
      <c r="CP653"/>
    </row>
    <row r="654" spans="14:94">
      <c r="N654"/>
      <c r="O654"/>
      <c r="AE654"/>
      <c r="AG654"/>
      <c r="AI654"/>
      <c r="AJ654"/>
      <c r="CP654"/>
    </row>
    <row r="655" spans="14:94">
      <c r="N655"/>
      <c r="O655"/>
      <c r="AE655"/>
      <c r="AG655"/>
      <c r="AI655"/>
      <c r="AJ655"/>
      <c r="CP655"/>
    </row>
    <row r="656" spans="14:94">
      <c r="N656"/>
      <c r="O656"/>
      <c r="AE656"/>
      <c r="AG656"/>
      <c r="AI656"/>
      <c r="AJ656"/>
      <c r="CP656"/>
    </row>
    <row r="657" spans="14:94">
      <c r="N657"/>
      <c r="O657"/>
      <c r="AE657"/>
      <c r="AG657"/>
      <c r="AI657"/>
      <c r="AJ657"/>
      <c r="CP657"/>
    </row>
    <row r="658" spans="14:94">
      <c r="N658"/>
      <c r="O658"/>
      <c r="AE658"/>
      <c r="AG658"/>
      <c r="AI658"/>
      <c r="AJ658"/>
      <c r="CP658"/>
    </row>
    <row r="659" spans="14:94">
      <c r="N659"/>
      <c r="O659"/>
      <c r="AE659"/>
      <c r="AG659"/>
      <c r="AI659"/>
      <c r="AJ659"/>
      <c r="CP659"/>
    </row>
    <row r="660" spans="14:94">
      <c r="N660"/>
      <c r="O660"/>
      <c r="AE660"/>
      <c r="AG660"/>
      <c r="AI660"/>
      <c r="AJ660"/>
      <c r="CP660"/>
    </row>
    <row r="661" spans="14:94">
      <c r="N661"/>
      <c r="O661"/>
      <c r="AE661"/>
      <c r="AG661"/>
      <c r="AI661"/>
      <c r="AJ661"/>
      <c r="CP661"/>
    </row>
    <row r="662" spans="14:94">
      <c r="N662"/>
      <c r="O662"/>
      <c r="AE662"/>
      <c r="AG662"/>
      <c r="AI662"/>
      <c r="AJ662"/>
      <c r="CP662"/>
    </row>
    <row r="663" spans="14:94">
      <c r="N663"/>
      <c r="O663"/>
      <c r="AE663"/>
      <c r="AG663"/>
      <c r="AI663"/>
      <c r="AJ663"/>
      <c r="CP663"/>
    </row>
    <row r="664" spans="14:94">
      <c r="N664"/>
      <c r="O664"/>
      <c r="AE664"/>
      <c r="AG664"/>
      <c r="AI664"/>
      <c r="AJ664"/>
      <c r="CP664"/>
    </row>
    <row r="665" spans="14:94">
      <c r="N665"/>
      <c r="O665"/>
      <c r="AE665"/>
      <c r="AG665"/>
      <c r="AI665"/>
      <c r="AJ665"/>
      <c r="CP665"/>
    </row>
    <row r="666" spans="14:94">
      <c r="N666"/>
      <c r="O666"/>
      <c r="AE666"/>
      <c r="AG666"/>
      <c r="AI666"/>
      <c r="AJ666"/>
      <c r="CP666"/>
    </row>
    <row r="667" spans="14:94">
      <c r="N667"/>
      <c r="O667"/>
      <c r="AE667"/>
      <c r="AG667"/>
      <c r="AI667"/>
      <c r="AJ667"/>
      <c r="CP667"/>
    </row>
    <row r="668" spans="14:94">
      <c r="N668"/>
      <c r="O668"/>
      <c r="AE668"/>
      <c r="AG668"/>
      <c r="AI668"/>
      <c r="AJ668"/>
      <c r="CP668"/>
    </row>
    <row r="669" spans="14:94">
      <c r="N669"/>
      <c r="O669"/>
      <c r="AE669"/>
      <c r="AG669"/>
      <c r="AI669"/>
      <c r="AJ669"/>
      <c r="CP669"/>
    </row>
    <row r="670" spans="14:94">
      <c r="N670"/>
      <c r="O670"/>
      <c r="AE670"/>
      <c r="AG670"/>
      <c r="AI670"/>
      <c r="AJ670"/>
      <c r="CP670"/>
    </row>
    <row r="671" spans="14:94">
      <c r="N671"/>
      <c r="O671"/>
      <c r="AE671"/>
      <c r="AG671"/>
      <c r="AI671"/>
      <c r="AJ671"/>
      <c r="CP671"/>
    </row>
    <row r="672" spans="14:94">
      <c r="N672"/>
      <c r="O672"/>
      <c r="AE672"/>
      <c r="AG672"/>
      <c r="AI672"/>
      <c r="AJ672"/>
      <c r="CP672"/>
    </row>
    <row r="673" spans="14:94">
      <c r="N673"/>
      <c r="O673"/>
      <c r="AE673"/>
      <c r="AG673"/>
      <c r="AI673"/>
      <c r="AJ673"/>
      <c r="CP673"/>
    </row>
    <row r="674" spans="14:94">
      <c r="N674"/>
      <c r="O674"/>
      <c r="AE674"/>
      <c r="AG674"/>
      <c r="AI674"/>
      <c r="AJ674"/>
      <c r="CP674"/>
    </row>
    <row r="675" spans="14:94">
      <c r="N675"/>
      <c r="O675"/>
      <c r="AE675"/>
      <c r="AG675"/>
      <c r="AI675"/>
      <c r="AJ675"/>
      <c r="CP675"/>
    </row>
    <row r="676" spans="14:94">
      <c r="N676"/>
      <c r="O676"/>
      <c r="AE676"/>
      <c r="AG676"/>
      <c r="AI676"/>
      <c r="AJ676"/>
      <c r="CP676"/>
    </row>
    <row r="677" spans="14:94">
      <c r="N677"/>
      <c r="O677"/>
      <c r="AE677"/>
      <c r="AG677"/>
      <c r="AI677"/>
      <c r="AJ677"/>
      <c r="CP677"/>
    </row>
    <row r="678" spans="14:94">
      <c r="N678"/>
      <c r="O678"/>
      <c r="AE678"/>
      <c r="AG678"/>
      <c r="AI678"/>
      <c r="AJ678"/>
      <c r="CP678"/>
    </row>
    <row r="679" spans="14:94">
      <c r="N679"/>
      <c r="O679"/>
      <c r="AE679"/>
      <c r="AG679"/>
      <c r="AI679"/>
      <c r="AJ679"/>
      <c r="CP679"/>
    </row>
    <row r="680" spans="14:94">
      <c r="N680"/>
      <c r="O680"/>
      <c r="AE680"/>
      <c r="AG680"/>
      <c r="AI680"/>
      <c r="AJ680"/>
      <c r="CP680"/>
    </row>
    <row r="681" spans="14:94">
      <c r="N681"/>
      <c r="O681"/>
      <c r="AE681"/>
      <c r="AG681"/>
      <c r="AI681"/>
      <c r="AJ681"/>
      <c r="CP681"/>
    </row>
    <row r="682" spans="14:94">
      <c r="N682"/>
      <c r="O682"/>
      <c r="AE682"/>
      <c r="AG682"/>
      <c r="AI682"/>
      <c r="AJ682"/>
      <c r="CP682"/>
    </row>
    <row r="683" spans="14:94">
      <c r="N683"/>
      <c r="O683"/>
      <c r="AE683"/>
      <c r="AG683"/>
      <c r="AI683"/>
      <c r="AJ683"/>
      <c r="CP683"/>
    </row>
    <row r="684" spans="14:94">
      <c r="N684"/>
      <c r="O684"/>
      <c r="AE684"/>
      <c r="AG684"/>
      <c r="AI684"/>
      <c r="AJ684"/>
      <c r="CP684"/>
    </row>
    <row r="685" spans="14:94">
      <c r="N685"/>
      <c r="O685"/>
      <c r="AE685"/>
      <c r="AG685"/>
      <c r="AI685"/>
      <c r="AJ685"/>
      <c r="CP685"/>
    </row>
    <row r="686" spans="14:94">
      <c r="N686"/>
      <c r="O686"/>
      <c r="AE686"/>
      <c r="AG686"/>
      <c r="AI686"/>
      <c r="AJ686"/>
      <c r="CP686"/>
    </row>
    <row r="687" spans="14:94">
      <c r="N687"/>
      <c r="O687"/>
      <c r="AE687"/>
      <c r="AG687"/>
      <c r="AI687"/>
      <c r="AJ687"/>
      <c r="CP687"/>
    </row>
    <row r="688" spans="14:94">
      <c r="N688"/>
      <c r="O688"/>
      <c r="AE688"/>
      <c r="AG688"/>
      <c r="AI688"/>
      <c r="AJ688"/>
      <c r="CP688"/>
    </row>
    <row r="689" spans="14:94">
      <c r="N689"/>
      <c r="O689"/>
      <c r="AE689"/>
      <c r="AG689"/>
      <c r="AI689"/>
      <c r="AJ689"/>
      <c r="CP689"/>
    </row>
    <row r="690" spans="14:94">
      <c r="N690"/>
      <c r="O690"/>
      <c r="AE690"/>
      <c r="AG690"/>
      <c r="AI690"/>
      <c r="AJ690"/>
      <c r="CP690"/>
    </row>
    <row r="691" spans="14:94">
      <c r="N691"/>
      <c r="O691"/>
      <c r="AE691"/>
      <c r="AG691"/>
      <c r="AI691"/>
      <c r="AJ691"/>
      <c r="CP691"/>
    </row>
    <row r="692" spans="14:94">
      <c r="N692"/>
      <c r="O692"/>
      <c r="AE692"/>
      <c r="AG692"/>
      <c r="AI692"/>
      <c r="AJ692"/>
      <c r="CP692"/>
    </row>
    <row r="693" spans="14:94">
      <c r="N693"/>
      <c r="O693"/>
      <c r="AE693"/>
      <c r="AG693"/>
      <c r="AI693"/>
      <c r="AJ693"/>
      <c r="CP693"/>
    </row>
    <row r="694" spans="14:94">
      <c r="N694"/>
      <c r="O694"/>
      <c r="AE694"/>
      <c r="AG694"/>
      <c r="AI694"/>
      <c r="AJ694"/>
      <c r="CP694"/>
    </row>
    <row r="695" spans="14:94">
      <c r="N695"/>
      <c r="O695"/>
      <c r="AE695"/>
      <c r="AG695"/>
      <c r="AI695"/>
      <c r="AJ695"/>
      <c r="CP695"/>
    </row>
    <row r="696" spans="14:94">
      <c r="N696"/>
      <c r="O696"/>
      <c r="AE696"/>
      <c r="AG696"/>
      <c r="AI696"/>
      <c r="AJ696"/>
      <c r="CP696"/>
    </row>
    <row r="697" spans="14:94">
      <c r="N697"/>
      <c r="O697"/>
      <c r="AE697"/>
      <c r="AG697"/>
      <c r="AI697"/>
      <c r="AJ697"/>
      <c r="CP697"/>
    </row>
    <row r="698" spans="14:94">
      <c r="N698"/>
      <c r="O698"/>
      <c r="AE698"/>
      <c r="AG698"/>
      <c r="AI698"/>
      <c r="AJ698"/>
      <c r="CP698"/>
    </row>
    <row r="699" spans="14:94">
      <c r="N699"/>
      <c r="O699"/>
      <c r="AE699"/>
      <c r="AG699"/>
      <c r="AI699"/>
      <c r="AJ699"/>
      <c r="CP699"/>
    </row>
    <row r="700" spans="14:94">
      <c r="N700"/>
      <c r="O700"/>
      <c r="AE700"/>
      <c r="AG700"/>
      <c r="AI700"/>
      <c r="AJ700"/>
      <c r="CP700"/>
    </row>
    <row r="701" spans="14:94">
      <c r="N701"/>
      <c r="O701"/>
      <c r="AE701"/>
      <c r="AG701"/>
      <c r="AI701"/>
      <c r="AJ701"/>
      <c r="CP701"/>
    </row>
    <row r="702" spans="14:94">
      <c r="N702"/>
      <c r="O702"/>
      <c r="AE702"/>
      <c r="AG702"/>
      <c r="AI702"/>
      <c r="AJ702"/>
      <c r="CP702"/>
    </row>
    <row r="703" spans="14:94">
      <c r="N703"/>
      <c r="O703"/>
      <c r="AE703"/>
      <c r="AG703"/>
      <c r="AI703"/>
      <c r="AJ703"/>
      <c r="CP703"/>
    </row>
    <row r="704" spans="14:94">
      <c r="N704"/>
      <c r="O704"/>
      <c r="AE704"/>
      <c r="AG704"/>
      <c r="AI704"/>
      <c r="AJ704"/>
      <c r="CP704"/>
    </row>
    <row r="705" spans="14:94">
      <c r="N705"/>
      <c r="O705"/>
      <c r="AE705"/>
      <c r="AG705"/>
      <c r="AI705"/>
      <c r="AJ705"/>
      <c r="CP705"/>
    </row>
    <row r="706" spans="14:94">
      <c r="N706"/>
      <c r="O706"/>
      <c r="AE706"/>
      <c r="AG706"/>
      <c r="AI706"/>
      <c r="AJ706"/>
      <c r="CP706"/>
    </row>
    <row r="707" spans="14:94">
      <c r="N707"/>
      <c r="O707"/>
      <c r="AE707"/>
      <c r="AG707"/>
      <c r="AI707"/>
      <c r="AJ707"/>
      <c r="CP707"/>
    </row>
    <row r="708" spans="14:94">
      <c r="N708"/>
      <c r="O708"/>
      <c r="AE708"/>
      <c r="AG708"/>
      <c r="AI708"/>
      <c r="AJ708"/>
      <c r="CP708"/>
    </row>
    <row r="709" spans="14:94">
      <c r="N709"/>
      <c r="O709"/>
      <c r="AE709"/>
      <c r="AG709"/>
      <c r="AI709"/>
      <c r="AJ709"/>
      <c r="CP709"/>
    </row>
    <row r="710" spans="14:94">
      <c r="N710"/>
      <c r="O710"/>
      <c r="AE710"/>
      <c r="AG710"/>
      <c r="AI710"/>
      <c r="AJ710"/>
      <c r="CP710"/>
    </row>
    <row r="711" spans="14:94">
      <c r="N711"/>
      <c r="O711"/>
      <c r="AE711"/>
      <c r="AG711"/>
      <c r="AI711"/>
      <c r="AJ711"/>
      <c r="CP711"/>
    </row>
    <row r="712" spans="14:94">
      <c r="N712"/>
      <c r="O712"/>
      <c r="AE712"/>
      <c r="AG712"/>
      <c r="AI712"/>
      <c r="AJ712"/>
      <c r="CP712"/>
    </row>
    <row r="713" spans="14:94">
      <c r="N713"/>
      <c r="O713"/>
      <c r="AE713"/>
      <c r="AG713"/>
      <c r="AI713"/>
      <c r="AJ713"/>
      <c r="CP713"/>
    </row>
    <row r="714" spans="14:94">
      <c r="N714"/>
      <c r="O714"/>
      <c r="AE714"/>
      <c r="AG714"/>
      <c r="AI714"/>
      <c r="AJ714"/>
      <c r="CP714"/>
    </row>
    <row r="715" spans="14:94">
      <c r="N715"/>
      <c r="O715"/>
      <c r="AE715"/>
      <c r="AG715"/>
      <c r="AI715"/>
      <c r="AJ715"/>
      <c r="CP715"/>
    </row>
    <row r="716" spans="14:94">
      <c r="N716"/>
      <c r="O716"/>
      <c r="AE716"/>
      <c r="AG716"/>
      <c r="AI716"/>
      <c r="AJ716"/>
      <c r="CP716"/>
    </row>
    <row r="717" spans="14:94">
      <c r="N717"/>
      <c r="O717"/>
      <c r="AE717"/>
      <c r="AG717"/>
      <c r="AI717"/>
      <c r="AJ717"/>
      <c r="CP717"/>
    </row>
    <row r="718" spans="14:94">
      <c r="N718"/>
      <c r="O718"/>
      <c r="AE718"/>
      <c r="AG718"/>
      <c r="AI718"/>
      <c r="AJ718"/>
      <c r="CP718"/>
    </row>
    <row r="719" spans="14:94">
      <c r="N719"/>
      <c r="O719"/>
      <c r="AE719"/>
      <c r="AG719"/>
      <c r="AI719"/>
      <c r="AJ719"/>
      <c r="CP719"/>
    </row>
    <row r="720" spans="14:94">
      <c r="N720"/>
      <c r="O720"/>
      <c r="AE720"/>
      <c r="AG720"/>
      <c r="AI720"/>
      <c r="AJ720"/>
      <c r="CP720"/>
    </row>
    <row r="721" spans="14:94">
      <c r="N721"/>
      <c r="O721"/>
      <c r="AE721"/>
      <c r="AG721"/>
      <c r="AI721"/>
      <c r="AJ721"/>
      <c r="CP721"/>
    </row>
    <row r="722" spans="14:94">
      <c r="N722"/>
      <c r="O722"/>
      <c r="AE722"/>
      <c r="AG722"/>
      <c r="AI722"/>
      <c r="AJ722"/>
      <c r="CP722"/>
    </row>
    <row r="723" spans="14:94">
      <c r="N723"/>
      <c r="O723"/>
      <c r="AE723"/>
      <c r="AG723"/>
      <c r="AI723"/>
      <c r="AJ723"/>
      <c r="CP723"/>
    </row>
    <row r="724" spans="14:94">
      <c r="N724"/>
      <c r="O724"/>
      <c r="AE724"/>
      <c r="AG724"/>
      <c r="AI724"/>
      <c r="AJ724"/>
      <c r="CP724"/>
    </row>
    <row r="725" spans="14:94">
      <c r="N725"/>
      <c r="O725"/>
      <c r="AE725"/>
      <c r="AG725"/>
      <c r="AI725"/>
      <c r="AJ725"/>
      <c r="CP725"/>
    </row>
    <row r="726" spans="14:94">
      <c r="N726"/>
      <c r="O726"/>
      <c r="AE726"/>
      <c r="AG726"/>
      <c r="AI726"/>
      <c r="AJ726"/>
      <c r="CP726"/>
    </row>
    <row r="727" spans="14:94">
      <c r="N727"/>
      <c r="O727"/>
      <c r="AE727"/>
      <c r="AG727"/>
      <c r="AI727"/>
      <c r="AJ727"/>
      <c r="CP727"/>
    </row>
    <row r="728" spans="14:94">
      <c r="N728"/>
      <c r="O728"/>
      <c r="AE728"/>
      <c r="AG728"/>
      <c r="AI728"/>
      <c r="AJ728"/>
      <c r="CP728"/>
    </row>
    <row r="729" spans="14:94">
      <c r="N729"/>
      <c r="O729"/>
      <c r="AE729"/>
      <c r="AG729"/>
      <c r="AI729"/>
      <c r="AJ729"/>
      <c r="CP729"/>
    </row>
    <row r="730" spans="14:94">
      <c r="N730"/>
      <c r="O730"/>
      <c r="AE730"/>
      <c r="AG730"/>
      <c r="AI730"/>
      <c r="AJ730"/>
      <c r="CP730"/>
    </row>
    <row r="731" spans="14:94">
      <c r="N731"/>
      <c r="O731"/>
      <c r="AE731"/>
      <c r="AG731"/>
      <c r="AI731"/>
      <c r="AJ731"/>
      <c r="CP731"/>
    </row>
    <row r="732" spans="14:94">
      <c r="N732"/>
      <c r="O732"/>
      <c r="AE732"/>
      <c r="AG732"/>
      <c r="AI732"/>
      <c r="AJ732"/>
      <c r="CP732"/>
    </row>
    <row r="733" spans="14:94">
      <c r="N733"/>
      <c r="O733"/>
      <c r="AE733"/>
      <c r="AG733"/>
      <c r="AI733"/>
      <c r="AJ733"/>
      <c r="CP733"/>
    </row>
    <row r="734" spans="14:94">
      <c r="N734"/>
      <c r="O734"/>
      <c r="AE734"/>
      <c r="AG734"/>
      <c r="AI734"/>
      <c r="AJ734"/>
      <c r="CP734"/>
    </row>
    <row r="735" spans="14:94">
      <c r="N735"/>
      <c r="O735"/>
      <c r="AE735"/>
      <c r="AG735"/>
      <c r="AI735"/>
      <c r="AJ735"/>
      <c r="CP735"/>
    </row>
    <row r="736" spans="14:94">
      <c r="N736"/>
      <c r="O736"/>
      <c r="AE736"/>
      <c r="AG736"/>
      <c r="AI736"/>
      <c r="AJ736"/>
      <c r="CP736"/>
    </row>
    <row r="737" spans="14:94">
      <c r="N737"/>
      <c r="O737"/>
      <c r="AE737"/>
      <c r="AG737"/>
      <c r="AI737"/>
      <c r="AJ737"/>
      <c r="CP737"/>
    </row>
    <row r="738" spans="14:94">
      <c r="N738"/>
      <c r="O738"/>
      <c r="AE738"/>
      <c r="AG738"/>
      <c r="AI738"/>
      <c r="AJ738"/>
      <c r="CP738"/>
    </row>
    <row r="739" spans="14:94">
      <c r="N739"/>
      <c r="O739"/>
      <c r="AE739"/>
      <c r="AG739"/>
      <c r="AI739"/>
      <c r="AJ739"/>
      <c r="CP739"/>
    </row>
    <row r="740" spans="14:94">
      <c r="N740"/>
      <c r="O740"/>
      <c r="AE740"/>
      <c r="AG740"/>
      <c r="AI740"/>
      <c r="AJ740"/>
      <c r="CP740"/>
    </row>
    <row r="741" spans="14:94">
      <c r="N741"/>
      <c r="O741"/>
      <c r="AE741"/>
      <c r="AG741"/>
      <c r="AI741"/>
      <c r="AJ741"/>
      <c r="CP741"/>
    </row>
    <row r="742" spans="14:94">
      <c r="N742"/>
      <c r="O742"/>
      <c r="AE742"/>
      <c r="AG742"/>
      <c r="AI742"/>
      <c r="AJ742"/>
      <c r="CP742"/>
    </row>
    <row r="743" spans="14:94">
      <c r="N743"/>
      <c r="O743"/>
      <c r="AE743"/>
      <c r="AG743"/>
      <c r="AI743"/>
      <c r="AJ743"/>
      <c r="CP743"/>
    </row>
    <row r="744" spans="14:94">
      <c r="N744"/>
      <c r="O744"/>
      <c r="AE744"/>
      <c r="AG744"/>
      <c r="AI744"/>
      <c r="AJ744"/>
      <c r="CP744"/>
    </row>
    <row r="745" spans="14:94">
      <c r="N745"/>
      <c r="O745"/>
      <c r="AE745"/>
      <c r="AG745"/>
      <c r="AI745"/>
      <c r="AJ745"/>
      <c r="CP745"/>
    </row>
    <row r="746" spans="14:94">
      <c r="N746"/>
      <c r="O746"/>
      <c r="AE746"/>
      <c r="AG746"/>
      <c r="AI746"/>
      <c r="AJ746"/>
      <c r="CP746"/>
    </row>
    <row r="747" spans="14:94">
      <c r="N747"/>
      <c r="O747"/>
      <c r="AE747"/>
      <c r="AG747"/>
      <c r="AI747"/>
      <c r="AJ747"/>
      <c r="CP747"/>
    </row>
    <row r="748" spans="14:94">
      <c r="N748"/>
      <c r="O748"/>
      <c r="AE748"/>
      <c r="AG748"/>
      <c r="AI748"/>
      <c r="AJ748"/>
      <c r="CP748"/>
    </row>
    <row r="749" spans="14:94">
      <c r="N749"/>
      <c r="O749"/>
      <c r="AE749"/>
      <c r="AG749"/>
      <c r="AI749"/>
      <c r="AJ749"/>
      <c r="CP749"/>
    </row>
    <row r="750" spans="14:94">
      <c r="N750"/>
      <c r="O750"/>
      <c r="AE750"/>
      <c r="AG750"/>
      <c r="AI750"/>
      <c r="AJ750"/>
      <c r="CP750"/>
    </row>
    <row r="751" spans="14:94">
      <c r="N751"/>
      <c r="O751"/>
      <c r="AE751"/>
      <c r="AG751"/>
      <c r="AI751"/>
      <c r="AJ751"/>
      <c r="CP751"/>
    </row>
    <row r="752" spans="14:94">
      <c r="N752"/>
      <c r="O752"/>
      <c r="AE752"/>
      <c r="AG752"/>
      <c r="AI752"/>
      <c r="AJ752"/>
      <c r="CP752"/>
    </row>
    <row r="753" spans="14:94">
      <c r="N753"/>
      <c r="O753"/>
      <c r="AE753"/>
      <c r="AG753"/>
      <c r="AI753"/>
      <c r="AJ753"/>
      <c r="CP753"/>
    </row>
    <row r="754" spans="14:94">
      <c r="N754"/>
      <c r="O754"/>
      <c r="AE754"/>
      <c r="AG754"/>
      <c r="AI754"/>
      <c r="AJ754"/>
      <c r="CP754"/>
    </row>
    <row r="755" spans="14:94">
      <c r="N755"/>
      <c r="O755"/>
      <c r="AE755"/>
      <c r="AG755"/>
      <c r="AI755"/>
      <c r="AJ755"/>
      <c r="CP755"/>
    </row>
    <row r="756" spans="14:94">
      <c r="N756"/>
      <c r="O756"/>
      <c r="AE756"/>
      <c r="AG756"/>
      <c r="AI756"/>
      <c r="AJ756"/>
      <c r="CP756"/>
    </row>
    <row r="757" spans="14:94">
      <c r="N757"/>
      <c r="O757"/>
      <c r="AE757"/>
      <c r="AG757"/>
      <c r="AI757"/>
      <c r="AJ757"/>
      <c r="CP757"/>
    </row>
    <row r="758" spans="14:94">
      <c r="N758"/>
      <c r="O758"/>
      <c r="AE758"/>
      <c r="AG758"/>
      <c r="AI758"/>
      <c r="AJ758"/>
      <c r="CP758"/>
    </row>
    <row r="759" spans="14:94">
      <c r="N759"/>
      <c r="O759"/>
      <c r="AE759"/>
      <c r="AG759"/>
      <c r="AI759"/>
      <c r="AJ759"/>
      <c r="CP759"/>
    </row>
    <row r="760" spans="14:94">
      <c r="N760"/>
      <c r="O760"/>
      <c r="AE760"/>
      <c r="AG760"/>
      <c r="AI760"/>
      <c r="AJ760"/>
      <c r="CP760"/>
    </row>
    <row r="761" spans="14:94">
      <c r="N761"/>
      <c r="O761"/>
      <c r="AE761"/>
      <c r="AG761"/>
      <c r="AI761"/>
      <c r="AJ761"/>
      <c r="CP761"/>
    </row>
    <row r="762" spans="14:94">
      <c r="N762"/>
      <c r="O762"/>
      <c r="AE762"/>
      <c r="AG762"/>
      <c r="AI762"/>
      <c r="AJ762"/>
      <c r="CP762"/>
    </row>
    <row r="763" spans="14:94">
      <c r="N763"/>
      <c r="O763"/>
      <c r="AE763"/>
      <c r="AG763"/>
      <c r="AI763"/>
      <c r="AJ763"/>
      <c r="CP763"/>
    </row>
    <row r="764" spans="14:94">
      <c r="N764"/>
      <c r="O764"/>
      <c r="AE764"/>
      <c r="AG764"/>
      <c r="AI764"/>
      <c r="AJ764"/>
      <c r="CP764"/>
    </row>
    <row r="765" spans="14:94">
      <c r="N765"/>
      <c r="O765"/>
      <c r="AE765"/>
      <c r="AG765"/>
      <c r="AI765"/>
      <c r="AJ765"/>
      <c r="CP765"/>
    </row>
    <row r="766" spans="14:94">
      <c r="N766"/>
      <c r="O766"/>
      <c r="AE766"/>
      <c r="AG766"/>
      <c r="AI766"/>
      <c r="AJ766"/>
      <c r="CP766"/>
    </row>
    <row r="767" spans="14:94">
      <c r="N767"/>
      <c r="O767"/>
      <c r="AE767"/>
      <c r="AG767"/>
      <c r="AI767"/>
      <c r="AJ767"/>
      <c r="CP767"/>
    </row>
    <row r="768" spans="14:94">
      <c r="N768"/>
      <c r="O768"/>
      <c r="AE768"/>
      <c r="AG768"/>
      <c r="AI768"/>
      <c r="AJ768"/>
      <c r="CP768"/>
    </row>
    <row r="769" spans="14:94">
      <c r="N769"/>
      <c r="O769"/>
      <c r="AE769"/>
      <c r="AG769"/>
      <c r="AI769"/>
      <c r="AJ769"/>
      <c r="CP769"/>
    </row>
    <row r="770" spans="14:94">
      <c r="N770"/>
      <c r="O770"/>
      <c r="AE770"/>
      <c r="AG770"/>
      <c r="AI770"/>
      <c r="AJ770"/>
      <c r="CP770"/>
    </row>
    <row r="771" spans="14:94">
      <c r="N771"/>
      <c r="O771"/>
      <c r="AE771"/>
      <c r="AG771"/>
      <c r="AI771"/>
      <c r="AJ771"/>
      <c r="CP771"/>
    </row>
    <row r="772" spans="14:94">
      <c r="N772"/>
      <c r="O772"/>
      <c r="AE772"/>
      <c r="AG772"/>
      <c r="AI772"/>
      <c r="AJ772"/>
      <c r="CP772"/>
    </row>
    <row r="773" spans="14:94">
      <c r="N773"/>
      <c r="O773"/>
      <c r="AE773"/>
      <c r="AG773"/>
      <c r="AI773"/>
      <c r="AJ773"/>
      <c r="CP773"/>
    </row>
    <row r="774" spans="14:94">
      <c r="N774"/>
      <c r="O774"/>
      <c r="AE774"/>
      <c r="AG774"/>
      <c r="AI774"/>
      <c r="AJ774"/>
      <c r="CP774"/>
    </row>
    <row r="775" spans="14:94">
      <c r="N775"/>
      <c r="O775"/>
      <c r="AE775"/>
      <c r="AG775"/>
      <c r="AI775"/>
      <c r="AJ775"/>
      <c r="CP775"/>
    </row>
    <row r="776" spans="14:94">
      <c r="N776"/>
      <c r="O776"/>
      <c r="AE776"/>
      <c r="AG776"/>
      <c r="AI776"/>
      <c r="AJ776"/>
      <c r="CP776"/>
    </row>
    <row r="777" spans="14:94">
      <c r="N777"/>
      <c r="O777"/>
      <c r="AE777"/>
      <c r="AG777"/>
      <c r="AI777"/>
      <c r="AJ777"/>
      <c r="CP777"/>
    </row>
    <row r="778" spans="14:94">
      <c r="N778"/>
      <c r="O778"/>
      <c r="AE778"/>
      <c r="AG778"/>
      <c r="AI778"/>
      <c r="AJ778"/>
      <c r="CP778"/>
    </row>
    <row r="779" spans="14:94">
      <c r="N779"/>
      <c r="O779"/>
      <c r="AE779"/>
      <c r="AG779"/>
      <c r="AI779"/>
      <c r="AJ779"/>
      <c r="CP779"/>
    </row>
    <row r="780" spans="14:94">
      <c r="N780"/>
      <c r="O780"/>
      <c r="AE780"/>
      <c r="AG780"/>
      <c r="AI780"/>
      <c r="AJ780"/>
      <c r="CP780"/>
    </row>
    <row r="781" spans="14:94">
      <c r="N781"/>
      <c r="O781"/>
      <c r="AE781"/>
      <c r="AG781"/>
      <c r="AI781"/>
      <c r="AJ781"/>
      <c r="CP781"/>
    </row>
    <row r="782" spans="14:94">
      <c r="N782"/>
      <c r="O782"/>
      <c r="AE782"/>
      <c r="AG782"/>
      <c r="AI782"/>
      <c r="AJ782"/>
      <c r="CP782"/>
    </row>
    <row r="783" spans="14:94">
      <c r="N783"/>
      <c r="O783"/>
      <c r="AE783"/>
      <c r="AG783"/>
      <c r="AI783"/>
      <c r="AJ783"/>
      <c r="CP783"/>
    </row>
    <row r="784" spans="14:94">
      <c r="N784"/>
      <c r="O784"/>
      <c r="AE784"/>
      <c r="AG784"/>
      <c r="AI784"/>
      <c r="AJ784"/>
      <c r="CP784"/>
    </row>
    <row r="785" spans="14:94">
      <c r="N785"/>
      <c r="O785"/>
      <c r="AE785"/>
      <c r="AG785"/>
      <c r="AI785"/>
      <c r="AJ785"/>
      <c r="CP785"/>
    </row>
    <row r="786" spans="14:94">
      <c r="N786"/>
      <c r="O786"/>
      <c r="AE786"/>
      <c r="AG786"/>
      <c r="AI786"/>
      <c r="AJ786"/>
      <c r="CP786"/>
    </row>
    <row r="787" spans="14:94">
      <c r="N787"/>
      <c r="O787"/>
      <c r="AE787"/>
      <c r="AG787"/>
      <c r="AI787"/>
      <c r="AJ787"/>
      <c r="CP787"/>
    </row>
    <row r="788" spans="14:94">
      <c r="N788"/>
      <c r="O788"/>
      <c r="AE788"/>
      <c r="AG788"/>
      <c r="AI788"/>
      <c r="AJ788"/>
      <c r="CP788"/>
    </row>
    <row r="789" spans="14:94">
      <c r="N789"/>
      <c r="O789"/>
      <c r="AE789"/>
      <c r="AG789"/>
      <c r="AI789"/>
      <c r="AJ789"/>
      <c r="CP789"/>
    </row>
    <row r="790" spans="14:94">
      <c r="N790"/>
      <c r="O790"/>
      <c r="AE790"/>
      <c r="AG790"/>
      <c r="AI790"/>
      <c r="AJ790"/>
      <c r="CP790"/>
    </row>
    <row r="791" spans="14:94">
      <c r="N791"/>
      <c r="O791"/>
      <c r="AE791"/>
      <c r="AG791"/>
      <c r="AI791"/>
      <c r="AJ791"/>
      <c r="CP791"/>
    </row>
    <row r="792" spans="14:94">
      <c r="N792"/>
      <c r="O792"/>
      <c r="AE792"/>
      <c r="AG792"/>
      <c r="AI792"/>
      <c r="AJ792"/>
      <c r="CP792"/>
    </row>
    <row r="793" spans="14:94">
      <c r="N793"/>
      <c r="O793"/>
      <c r="AE793"/>
      <c r="AG793"/>
      <c r="AI793"/>
      <c r="AJ793"/>
      <c r="CP793"/>
    </row>
    <row r="794" spans="14:94">
      <c r="N794"/>
      <c r="O794"/>
      <c r="AE794"/>
      <c r="AG794"/>
      <c r="AI794"/>
      <c r="AJ794"/>
      <c r="CP794"/>
    </row>
    <row r="795" spans="14:94">
      <c r="N795"/>
      <c r="O795"/>
      <c r="AE795"/>
      <c r="AG795"/>
      <c r="AI795"/>
      <c r="AJ795"/>
      <c r="CP795"/>
    </row>
    <row r="796" spans="14:94">
      <c r="N796"/>
      <c r="O796"/>
      <c r="AE796"/>
      <c r="AG796"/>
      <c r="AI796"/>
      <c r="AJ796"/>
      <c r="CP796"/>
    </row>
    <row r="797" spans="14:94">
      <c r="N797"/>
      <c r="O797"/>
      <c r="AE797"/>
      <c r="AG797"/>
      <c r="AI797"/>
      <c r="AJ797"/>
      <c r="CP797"/>
    </row>
    <row r="798" spans="14:94">
      <c r="N798"/>
      <c r="O798"/>
      <c r="AE798"/>
      <c r="AG798"/>
      <c r="AI798"/>
      <c r="AJ798"/>
      <c r="CP798"/>
    </row>
    <row r="799" spans="14:94">
      <c r="N799"/>
      <c r="O799"/>
      <c r="AE799"/>
      <c r="AG799"/>
      <c r="AI799"/>
      <c r="AJ799"/>
      <c r="CP799"/>
    </row>
    <row r="800" spans="14:94">
      <c r="N800"/>
      <c r="O800"/>
      <c r="AE800"/>
      <c r="AG800"/>
      <c r="AI800"/>
      <c r="AJ800"/>
      <c r="CP800"/>
    </row>
    <row r="801" spans="14:94">
      <c r="N801"/>
      <c r="O801"/>
      <c r="AE801"/>
      <c r="AG801"/>
      <c r="AI801"/>
      <c r="AJ801"/>
      <c r="CP801"/>
    </row>
    <row r="802" spans="14:94">
      <c r="N802"/>
      <c r="O802"/>
      <c r="AE802"/>
      <c r="AG802"/>
      <c r="AI802"/>
      <c r="AJ802"/>
      <c r="CP802"/>
    </row>
    <row r="803" spans="14:94">
      <c r="N803"/>
      <c r="O803"/>
      <c r="AE803"/>
      <c r="AG803"/>
      <c r="AI803"/>
      <c r="AJ803"/>
      <c r="CP803"/>
    </row>
    <row r="804" spans="14:94">
      <c r="N804"/>
      <c r="O804"/>
      <c r="AE804"/>
      <c r="AG804"/>
      <c r="AI804"/>
      <c r="AJ804"/>
      <c r="CP804"/>
    </row>
    <row r="805" spans="14:94">
      <c r="N805"/>
      <c r="O805"/>
      <c r="AE805"/>
      <c r="AG805"/>
      <c r="AI805"/>
      <c r="AJ805"/>
      <c r="CP805"/>
    </row>
    <row r="806" spans="14:94">
      <c r="N806"/>
      <c r="O806"/>
      <c r="AE806"/>
      <c r="AG806"/>
      <c r="AI806"/>
      <c r="AJ806"/>
      <c r="CP806"/>
    </row>
    <row r="807" spans="14:94">
      <c r="N807"/>
      <c r="O807"/>
      <c r="AE807"/>
      <c r="AG807"/>
      <c r="AI807"/>
      <c r="AJ807"/>
      <c r="CP807"/>
    </row>
    <row r="808" spans="14:94">
      <c r="N808"/>
      <c r="O808"/>
      <c r="AE808"/>
      <c r="AG808"/>
      <c r="AI808"/>
      <c r="AJ808"/>
      <c r="CP808"/>
    </row>
    <row r="809" spans="14:94">
      <c r="N809"/>
      <c r="O809"/>
      <c r="AE809"/>
      <c r="AG809"/>
      <c r="AI809"/>
      <c r="AJ809"/>
      <c r="CP809"/>
    </row>
    <row r="810" spans="14:94">
      <c r="N810"/>
      <c r="O810"/>
      <c r="AE810"/>
      <c r="AG810"/>
      <c r="AI810"/>
      <c r="AJ810"/>
      <c r="CP810"/>
    </row>
    <row r="811" spans="14:94">
      <c r="N811"/>
      <c r="O811"/>
      <c r="AE811"/>
      <c r="AG811"/>
      <c r="AI811"/>
      <c r="AJ811"/>
      <c r="CP811"/>
    </row>
    <row r="812" spans="14:94">
      <c r="N812"/>
      <c r="O812"/>
      <c r="AE812"/>
      <c r="AG812"/>
      <c r="AI812"/>
      <c r="AJ812"/>
      <c r="CP812"/>
    </row>
    <row r="813" spans="14:94">
      <c r="N813"/>
      <c r="O813"/>
      <c r="AE813"/>
      <c r="AG813"/>
      <c r="AI813"/>
      <c r="AJ813"/>
      <c r="CP813"/>
    </row>
    <row r="814" spans="14:94">
      <c r="N814"/>
      <c r="O814"/>
      <c r="AE814"/>
      <c r="AG814"/>
      <c r="AI814"/>
      <c r="AJ814"/>
      <c r="CP814"/>
    </row>
    <row r="815" spans="14:94">
      <c r="N815"/>
      <c r="O815"/>
      <c r="AE815"/>
      <c r="AG815"/>
      <c r="AI815"/>
      <c r="AJ815"/>
      <c r="CP815"/>
    </row>
    <row r="816" spans="14:94">
      <c r="N816"/>
      <c r="O816"/>
      <c r="AE816"/>
      <c r="AG816"/>
      <c r="AI816"/>
      <c r="AJ816"/>
      <c r="CP816"/>
    </row>
    <row r="817" spans="14:94">
      <c r="N817"/>
      <c r="O817"/>
      <c r="AE817"/>
      <c r="AG817"/>
      <c r="AI817"/>
      <c r="AJ817"/>
      <c r="CP817"/>
    </row>
  </sheetData>
  <pageMargins left="0.7" right="0.7" top="0.75" bottom="0.75" header="0.3" footer="0.3"/>
  <pageSetup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70952-B999-41E9-8D1A-692E373079B2}">
  <dimension ref="A1:J206"/>
  <sheetViews>
    <sheetView topLeftCell="A197" workbookViewId="0">
      <selection activeCell="J3" sqref="J3:J206"/>
    </sheetView>
  </sheetViews>
  <sheetFormatPr defaultRowHeight="15"/>
  <cols>
    <col min="1" max="1" width="15.85546875" customWidth="1"/>
    <col min="2" max="2" width="22.5703125" customWidth="1"/>
    <col min="10" max="10" width="20.85546875" customWidth="1"/>
  </cols>
  <sheetData>
    <row r="1" spans="1:10" ht="18.75">
      <c r="A1" s="133"/>
      <c r="B1" s="133"/>
    </row>
    <row r="2" spans="1:10">
      <c r="A2" s="117" t="s">
        <v>3</v>
      </c>
      <c r="B2" s="117" t="s">
        <v>11</v>
      </c>
      <c r="J2" s="17" t="s">
        <v>5</v>
      </c>
    </row>
    <row r="3" spans="1:10" ht="45">
      <c r="A3" s="90" t="s">
        <v>82</v>
      </c>
      <c r="B3" s="90" t="s">
        <v>88</v>
      </c>
      <c r="C3" cm="1">
        <f t="array" ref="C3:C205">COUNTIF(A3,$A$3:$A$205)</f>
        <v>1</v>
      </c>
      <c r="J3" s="10" t="s">
        <v>84</v>
      </c>
    </row>
    <row r="4" spans="1:10" ht="45">
      <c r="A4" s="90" t="s">
        <v>114</v>
      </c>
      <c r="B4" s="90" t="s">
        <v>118</v>
      </c>
      <c r="C4">
        <v>0</v>
      </c>
      <c r="J4" s="24" t="s">
        <v>116</v>
      </c>
    </row>
    <row r="5" spans="1:10" ht="30">
      <c r="A5" s="90" t="s">
        <v>178</v>
      </c>
      <c r="B5" s="90" t="s">
        <v>181</v>
      </c>
      <c r="C5">
        <v>0</v>
      </c>
      <c r="J5" s="24" t="s">
        <v>131</v>
      </c>
    </row>
    <row r="6" spans="1:10" ht="45">
      <c r="A6" s="90" t="s">
        <v>198</v>
      </c>
      <c r="B6" s="90" t="s">
        <v>201</v>
      </c>
      <c r="C6">
        <v>0</v>
      </c>
      <c r="J6" s="24" t="s">
        <v>149</v>
      </c>
    </row>
    <row r="7" spans="1:10" ht="30">
      <c r="A7" s="90" t="s">
        <v>214</v>
      </c>
      <c r="B7" s="90" t="s">
        <v>217</v>
      </c>
      <c r="C7">
        <v>0</v>
      </c>
      <c r="J7" s="24" t="s">
        <v>165</v>
      </c>
    </row>
    <row r="8" spans="1:10" ht="45">
      <c r="A8" s="90" t="s">
        <v>224</v>
      </c>
      <c r="B8" s="90" t="s">
        <v>227</v>
      </c>
      <c r="C8">
        <v>0</v>
      </c>
      <c r="J8" s="24" t="s">
        <v>180</v>
      </c>
    </row>
    <row r="9" spans="1:10" ht="30">
      <c r="A9" s="90" t="s">
        <v>239</v>
      </c>
      <c r="B9" s="90" t="s">
        <v>242</v>
      </c>
      <c r="C9">
        <v>0</v>
      </c>
      <c r="J9" s="24" t="s">
        <v>200</v>
      </c>
    </row>
    <row r="10" spans="1:10" ht="30">
      <c r="A10" s="90" t="s">
        <v>250</v>
      </c>
      <c r="B10" s="90" t="s">
        <v>253</v>
      </c>
      <c r="C10">
        <v>0</v>
      </c>
      <c r="J10" s="24" t="s">
        <v>216</v>
      </c>
    </row>
    <row r="11" spans="1:10" ht="45">
      <c r="A11" s="90" t="s">
        <v>260</v>
      </c>
      <c r="B11" s="90" t="s">
        <v>263</v>
      </c>
      <c r="C11">
        <v>0</v>
      </c>
      <c r="J11" s="24" t="s">
        <v>226</v>
      </c>
    </row>
    <row r="12" spans="1:10" ht="45">
      <c r="A12" s="90" t="s">
        <v>274</v>
      </c>
      <c r="B12" s="90" t="s">
        <v>277</v>
      </c>
      <c r="C12">
        <v>0</v>
      </c>
      <c r="J12" s="24" t="s">
        <v>241</v>
      </c>
    </row>
    <row r="13" spans="1:10">
      <c r="A13" s="90" t="s">
        <v>284</v>
      </c>
      <c r="B13" s="90" t="s">
        <v>287</v>
      </c>
      <c r="C13">
        <v>0</v>
      </c>
      <c r="J13" s="24" t="s">
        <v>252</v>
      </c>
    </row>
    <row r="14" spans="1:10" ht="30">
      <c r="A14" s="90" t="s">
        <v>299</v>
      </c>
      <c r="B14" s="90" t="s">
        <v>302</v>
      </c>
      <c r="C14">
        <v>0</v>
      </c>
      <c r="J14" s="24" t="s">
        <v>262</v>
      </c>
    </row>
    <row r="15" spans="1:10" ht="60">
      <c r="A15" s="90" t="s">
        <v>309</v>
      </c>
      <c r="B15" s="90" t="s">
        <v>312</v>
      </c>
      <c r="C15">
        <v>0</v>
      </c>
      <c r="J15" s="24" t="s">
        <v>276</v>
      </c>
    </row>
    <row r="16" spans="1:10" ht="45">
      <c r="A16" s="90" t="s">
        <v>317</v>
      </c>
      <c r="B16" s="90" t="s">
        <v>320</v>
      </c>
      <c r="C16">
        <v>0</v>
      </c>
      <c r="J16" s="24" t="s">
        <v>286</v>
      </c>
    </row>
    <row r="17" spans="1:10">
      <c r="A17" s="90" t="s">
        <v>329</v>
      </c>
      <c r="B17" s="90" t="s">
        <v>332</v>
      </c>
      <c r="C17">
        <v>0</v>
      </c>
      <c r="J17" s="24" t="s">
        <v>301</v>
      </c>
    </row>
    <row r="18" spans="1:10" ht="30">
      <c r="A18" s="90" t="s">
        <v>336</v>
      </c>
      <c r="B18" s="90" t="s">
        <v>339</v>
      </c>
      <c r="C18">
        <v>0</v>
      </c>
      <c r="J18" s="24" t="s">
        <v>311</v>
      </c>
    </row>
    <row r="19" spans="1:10" ht="30">
      <c r="A19" s="90" t="s">
        <v>348</v>
      </c>
      <c r="B19" s="90" t="s">
        <v>351</v>
      </c>
      <c r="C19">
        <v>0</v>
      </c>
      <c r="J19" s="24" t="s">
        <v>319</v>
      </c>
    </row>
    <row r="20" spans="1:10" ht="45">
      <c r="A20" s="90" t="s">
        <v>355</v>
      </c>
      <c r="B20" s="90" t="s">
        <v>358</v>
      </c>
      <c r="C20">
        <v>0</v>
      </c>
      <c r="J20" s="24" t="s">
        <v>331</v>
      </c>
    </row>
    <row r="21" spans="1:10" ht="30">
      <c r="A21" s="90" t="s">
        <v>368</v>
      </c>
      <c r="B21" s="90" t="s">
        <v>371</v>
      </c>
      <c r="C21">
        <v>0</v>
      </c>
      <c r="J21" s="24" t="s">
        <v>338</v>
      </c>
    </row>
    <row r="22" spans="1:10" ht="45">
      <c r="A22" s="90" t="s">
        <v>376</v>
      </c>
      <c r="B22" s="90" t="s">
        <v>379</v>
      </c>
      <c r="C22">
        <v>0</v>
      </c>
      <c r="J22" s="24" t="s">
        <v>350</v>
      </c>
    </row>
    <row r="23" spans="1:10" ht="45">
      <c r="A23" s="90" t="s">
        <v>383</v>
      </c>
      <c r="B23" s="90" t="s">
        <v>386</v>
      </c>
      <c r="C23">
        <v>0</v>
      </c>
      <c r="J23" s="24" t="s">
        <v>357</v>
      </c>
    </row>
    <row r="24" spans="1:10" ht="30">
      <c r="A24" s="90" t="s">
        <v>399</v>
      </c>
      <c r="B24" s="90" t="s">
        <v>402</v>
      </c>
      <c r="C24">
        <v>0</v>
      </c>
      <c r="J24" s="24" t="s">
        <v>370</v>
      </c>
    </row>
    <row r="25" spans="1:10" ht="30">
      <c r="A25" s="90" t="s">
        <v>406</v>
      </c>
      <c r="B25" s="90" t="s">
        <v>409</v>
      </c>
      <c r="C25">
        <v>0</v>
      </c>
      <c r="J25" s="24" t="s">
        <v>378</v>
      </c>
    </row>
    <row r="26" spans="1:10" ht="45">
      <c r="A26" s="90" t="s">
        <v>413</v>
      </c>
      <c r="B26" s="90" t="s">
        <v>416</v>
      </c>
      <c r="C26">
        <v>0</v>
      </c>
      <c r="J26" s="24" t="s">
        <v>385</v>
      </c>
    </row>
    <row r="27" spans="1:10" ht="45">
      <c r="A27" s="90" t="s">
        <v>420</v>
      </c>
      <c r="B27" s="90" t="s">
        <v>423</v>
      </c>
      <c r="C27">
        <v>0</v>
      </c>
      <c r="J27" s="24" t="s">
        <v>401</v>
      </c>
    </row>
    <row r="28" spans="1:10" ht="30">
      <c r="A28" s="90" t="s">
        <v>431</v>
      </c>
      <c r="B28" s="90" t="s">
        <v>434</v>
      </c>
      <c r="C28">
        <v>0</v>
      </c>
      <c r="J28" s="24" t="s">
        <v>408</v>
      </c>
    </row>
    <row r="29" spans="1:10" ht="30">
      <c r="A29" s="90" t="s">
        <v>440</v>
      </c>
      <c r="B29" s="90" t="s">
        <v>443</v>
      </c>
      <c r="C29">
        <v>0</v>
      </c>
      <c r="J29" s="24" t="s">
        <v>415</v>
      </c>
    </row>
    <row r="30" spans="1:10" ht="60">
      <c r="A30" s="90" t="s">
        <v>452</v>
      </c>
      <c r="B30" s="90" t="s">
        <v>455</v>
      </c>
      <c r="C30">
        <v>0</v>
      </c>
      <c r="J30" s="24" t="s">
        <v>422</v>
      </c>
    </row>
    <row r="31" spans="1:10" ht="75">
      <c r="A31" s="90" t="s">
        <v>463</v>
      </c>
      <c r="B31" s="90" t="s">
        <v>466</v>
      </c>
      <c r="C31">
        <v>0</v>
      </c>
      <c r="J31" s="24" t="s">
        <v>433</v>
      </c>
    </row>
    <row r="32" spans="1:10" ht="60">
      <c r="A32" s="90" t="s">
        <v>475</v>
      </c>
      <c r="B32" s="90" t="s">
        <v>478</v>
      </c>
      <c r="C32">
        <v>0</v>
      </c>
      <c r="J32" s="24" t="s">
        <v>442</v>
      </c>
    </row>
    <row r="33" spans="1:10" ht="90">
      <c r="A33" s="90" t="s">
        <v>487</v>
      </c>
      <c r="B33" s="90" t="s">
        <v>490</v>
      </c>
      <c r="C33">
        <v>0</v>
      </c>
      <c r="J33" s="24" t="s">
        <v>454</v>
      </c>
    </row>
    <row r="34" spans="1:10" ht="75">
      <c r="A34" s="90" t="s">
        <v>496</v>
      </c>
      <c r="B34" s="90" t="s">
        <v>499</v>
      </c>
      <c r="C34">
        <v>0</v>
      </c>
      <c r="J34" s="24" t="s">
        <v>465</v>
      </c>
    </row>
    <row r="35" spans="1:10" ht="75">
      <c r="A35" s="90" t="s">
        <v>504</v>
      </c>
      <c r="B35" s="90" t="s">
        <v>507</v>
      </c>
      <c r="C35">
        <v>0</v>
      </c>
      <c r="J35" s="24" t="s">
        <v>477</v>
      </c>
    </row>
    <row r="36" spans="1:10" ht="60">
      <c r="A36" s="90" t="s">
        <v>513</v>
      </c>
      <c r="B36" s="90" t="s">
        <v>516</v>
      </c>
      <c r="C36">
        <v>0</v>
      </c>
      <c r="J36" s="24" t="s">
        <v>489</v>
      </c>
    </row>
    <row r="37" spans="1:10" ht="75">
      <c r="A37" s="90" t="s">
        <v>522</v>
      </c>
      <c r="B37" s="90" t="s">
        <v>525</v>
      </c>
      <c r="C37">
        <v>0</v>
      </c>
      <c r="J37" s="24" t="s">
        <v>498</v>
      </c>
    </row>
    <row r="38" spans="1:10" ht="75">
      <c r="A38" s="90" t="s">
        <v>529</v>
      </c>
      <c r="B38" s="90" t="s">
        <v>532</v>
      </c>
      <c r="C38">
        <v>0</v>
      </c>
      <c r="J38" s="24" t="s">
        <v>506</v>
      </c>
    </row>
    <row r="39" spans="1:10" ht="135">
      <c r="A39" s="90" t="s">
        <v>544</v>
      </c>
      <c r="B39" s="90" t="s">
        <v>547</v>
      </c>
      <c r="C39">
        <v>0</v>
      </c>
      <c r="J39" s="24" t="s">
        <v>515</v>
      </c>
    </row>
    <row r="40" spans="1:10" ht="90">
      <c r="A40" s="90" t="s">
        <v>559</v>
      </c>
      <c r="B40" s="90" t="s">
        <v>562</v>
      </c>
      <c r="C40">
        <v>0</v>
      </c>
      <c r="J40" s="24" t="s">
        <v>524</v>
      </c>
    </row>
    <row r="41" spans="1:10" ht="60">
      <c r="A41" s="90" t="s">
        <v>569</v>
      </c>
      <c r="B41" s="90" t="s">
        <v>572</v>
      </c>
      <c r="C41">
        <v>0</v>
      </c>
      <c r="J41" s="24" t="s">
        <v>531</v>
      </c>
    </row>
    <row r="42" spans="1:10" ht="60">
      <c r="A42" s="90" t="s">
        <v>579</v>
      </c>
      <c r="B42" s="90" t="s">
        <v>582</v>
      </c>
      <c r="C42">
        <v>0</v>
      </c>
      <c r="J42" s="24" t="s">
        <v>546</v>
      </c>
    </row>
    <row r="43" spans="1:10">
      <c r="A43" s="90" t="s">
        <v>591</v>
      </c>
      <c r="B43" s="90" t="s">
        <v>594</v>
      </c>
      <c r="C43">
        <v>0</v>
      </c>
      <c r="J43" s="24" t="s">
        <v>561</v>
      </c>
    </row>
    <row r="44" spans="1:10" ht="30">
      <c r="A44" s="90" t="s">
        <v>599</v>
      </c>
      <c r="B44" s="90" t="s">
        <v>602</v>
      </c>
      <c r="C44">
        <v>0</v>
      </c>
      <c r="J44" s="24" t="s">
        <v>571</v>
      </c>
    </row>
    <row r="45" spans="1:10" ht="30">
      <c r="A45" s="90" t="s">
        <v>607</v>
      </c>
      <c r="B45" s="90" t="s">
        <v>610</v>
      </c>
      <c r="C45">
        <v>0</v>
      </c>
      <c r="J45" s="24" t="s">
        <v>581</v>
      </c>
    </row>
    <row r="46" spans="1:10" ht="45">
      <c r="A46" s="90" t="s">
        <v>614</v>
      </c>
      <c r="B46" s="90" t="s">
        <v>617</v>
      </c>
      <c r="C46">
        <v>0</v>
      </c>
      <c r="J46" s="24" t="s">
        <v>593</v>
      </c>
    </row>
    <row r="47" spans="1:10">
      <c r="A47" s="90" t="s">
        <v>622</v>
      </c>
      <c r="B47" s="90" t="s">
        <v>625</v>
      </c>
      <c r="C47">
        <v>0</v>
      </c>
      <c r="J47" s="24" t="s">
        <v>601</v>
      </c>
    </row>
    <row r="48" spans="1:10">
      <c r="A48" s="90" t="s">
        <v>630</v>
      </c>
      <c r="B48" s="90" t="s">
        <v>633</v>
      </c>
      <c r="C48">
        <v>0</v>
      </c>
      <c r="J48" s="24" t="s">
        <v>609</v>
      </c>
    </row>
    <row r="49" spans="1:10">
      <c r="A49" s="90" t="s">
        <v>640</v>
      </c>
      <c r="B49" s="90" t="s">
        <v>643</v>
      </c>
      <c r="C49">
        <v>0</v>
      </c>
      <c r="J49" s="24" t="s">
        <v>616</v>
      </c>
    </row>
    <row r="50" spans="1:10">
      <c r="A50" s="90" t="s">
        <v>647</v>
      </c>
      <c r="B50" s="90" t="s">
        <v>650</v>
      </c>
      <c r="C50">
        <v>0</v>
      </c>
      <c r="J50" s="24" t="s">
        <v>624</v>
      </c>
    </row>
    <row r="51" spans="1:10" ht="45">
      <c r="A51" s="90" t="s">
        <v>654</v>
      </c>
      <c r="B51" s="90" t="s">
        <v>657</v>
      </c>
      <c r="C51">
        <v>0</v>
      </c>
      <c r="J51" s="24" t="s">
        <v>632</v>
      </c>
    </row>
    <row r="52" spans="1:10" ht="30">
      <c r="A52" s="90" t="s">
        <v>661</v>
      </c>
      <c r="B52" s="90" t="s">
        <v>664</v>
      </c>
      <c r="C52">
        <v>0</v>
      </c>
      <c r="J52" s="24" t="s">
        <v>642</v>
      </c>
    </row>
    <row r="53" spans="1:10" ht="45">
      <c r="A53" s="90" t="s">
        <v>676</v>
      </c>
      <c r="B53" s="90" t="s">
        <v>679</v>
      </c>
      <c r="C53">
        <v>0</v>
      </c>
      <c r="J53" s="24" t="s">
        <v>649</v>
      </c>
    </row>
    <row r="54" spans="1:10" ht="30">
      <c r="A54" s="90" t="s">
        <v>684</v>
      </c>
      <c r="B54" s="90" t="s">
        <v>687</v>
      </c>
      <c r="C54">
        <v>0</v>
      </c>
      <c r="J54" s="24" t="s">
        <v>656</v>
      </c>
    </row>
    <row r="55" spans="1:10" ht="30">
      <c r="A55" s="90" t="s">
        <v>695</v>
      </c>
      <c r="B55" s="90" t="s">
        <v>698</v>
      </c>
      <c r="C55">
        <v>0</v>
      </c>
      <c r="J55" s="24" t="s">
        <v>663</v>
      </c>
    </row>
    <row r="56" spans="1:10" ht="30">
      <c r="A56" s="90" t="s">
        <v>704</v>
      </c>
      <c r="B56" s="90" t="s">
        <v>707</v>
      </c>
      <c r="C56">
        <v>0</v>
      </c>
      <c r="J56" s="24" t="s">
        <v>678</v>
      </c>
    </row>
    <row r="57" spans="1:10" ht="30">
      <c r="A57" s="90" t="s">
        <v>711</v>
      </c>
      <c r="B57" s="90" t="s">
        <v>714</v>
      </c>
      <c r="C57">
        <v>0</v>
      </c>
      <c r="J57" s="24" t="s">
        <v>686</v>
      </c>
    </row>
    <row r="58" spans="1:10">
      <c r="A58" s="90" t="s">
        <v>721</v>
      </c>
      <c r="B58" s="90" t="s">
        <v>724</v>
      </c>
      <c r="C58">
        <v>0</v>
      </c>
      <c r="J58" s="24" t="s">
        <v>697</v>
      </c>
    </row>
    <row r="59" spans="1:10" ht="30">
      <c r="A59" s="90" t="s">
        <v>734</v>
      </c>
      <c r="B59" s="90" t="s">
        <v>737</v>
      </c>
      <c r="C59">
        <v>0</v>
      </c>
      <c r="J59" s="24" t="s">
        <v>706</v>
      </c>
    </row>
    <row r="60" spans="1:10" ht="30">
      <c r="A60" s="90" t="s">
        <v>743</v>
      </c>
      <c r="B60" s="90" t="s">
        <v>746</v>
      </c>
      <c r="C60">
        <v>0</v>
      </c>
      <c r="J60" s="24" t="s">
        <v>713</v>
      </c>
    </row>
    <row r="61" spans="1:10" ht="60">
      <c r="A61" s="90" t="s">
        <v>751</v>
      </c>
      <c r="B61" s="90" t="s">
        <v>754</v>
      </c>
      <c r="C61">
        <v>0</v>
      </c>
      <c r="J61" s="24" t="s">
        <v>723</v>
      </c>
    </row>
    <row r="62" spans="1:10">
      <c r="A62" s="90" t="s">
        <v>760</v>
      </c>
      <c r="B62" s="90" t="s">
        <v>763</v>
      </c>
      <c r="C62">
        <v>0</v>
      </c>
      <c r="J62" s="24" t="s">
        <v>736</v>
      </c>
    </row>
    <row r="63" spans="1:10" ht="30">
      <c r="A63" s="90" t="s">
        <v>775</v>
      </c>
      <c r="B63" s="90" t="s">
        <v>778</v>
      </c>
      <c r="C63">
        <v>0</v>
      </c>
      <c r="J63" s="24" t="s">
        <v>745</v>
      </c>
    </row>
    <row r="64" spans="1:10" ht="30">
      <c r="A64" s="90" t="s">
        <v>783</v>
      </c>
      <c r="B64" s="90" t="s">
        <v>786</v>
      </c>
      <c r="C64">
        <v>0</v>
      </c>
      <c r="J64" s="24" t="s">
        <v>753</v>
      </c>
    </row>
    <row r="65" spans="1:10" ht="30">
      <c r="A65" s="90" t="s">
        <v>796</v>
      </c>
      <c r="B65" s="90" t="s">
        <v>798</v>
      </c>
      <c r="C65">
        <v>0</v>
      </c>
      <c r="J65" s="24" t="s">
        <v>762</v>
      </c>
    </row>
    <row r="66" spans="1:10" ht="30">
      <c r="A66" s="90" t="s">
        <v>800</v>
      </c>
      <c r="B66" s="90" t="s">
        <v>802</v>
      </c>
      <c r="C66">
        <v>0</v>
      </c>
      <c r="J66" s="24" t="s">
        <v>777</v>
      </c>
    </row>
    <row r="67" spans="1:10" ht="30">
      <c r="A67" s="90" t="s">
        <v>813</v>
      </c>
      <c r="B67" s="90" t="s">
        <v>815</v>
      </c>
      <c r="C67">
        <v>0</v>
      </c>
      <c r="J67" s="24" t="s">
        <v>785</v>
      </c>
    </row>
    <row r="68" spans="1:10" ht="30">
      <c r="A68" s="90" t="s">
        <v>819</v>
      </c>
      <c r="B68" s="90" t="s">
        <v>213</v>
      </c>
      <c r="C68">
        <v>0</v>
      </c>
      <c r="J68" s="24" t="s">
        <v>797</v>
      </c>
    </row>
    <row r="69" spans="1:10" ht="45">
      <c r="A69" s="90" t="s">
        <v>827</v>
      </c>
      <c r="B69" s="90" t="s">
        <v>829</v>
      </c>
      <c r="C69">
        <v>0</v>
      </c>
      <c r="J69" s="24" t="s">
        <v>801</v>
      </c>
    </row>
    <row r="70" spans="1:10" ht="45">
      <c r="A70" s="90" t="s">
        <v>834</v>
      </c>
      <c r="B70" s="90" t="s">
        <v>836</v>
      </c>
      <c r="C70">
        <v>0</v>
      </c>
      <c r="J70" s="24" t="s">
        <v>814</v>
      </c>
    </row>
    <row r="71" spans="1:10" ht="30">
      <c r="A71" s="90" t="s">
        <v>843</v>
      </c>
      <c r="B71" s="90" t="s">
        <v>845</v>
      </c>
      <c r="C71">
        <v>0</v>
      </c>
      <c r="J71" s="24" t="s">
        <v>820</v>
      </c>
    </row>
    <row r="72" spans="1:10" ht="45">
      <c r="A72" s="90" t="s">
        <v>850</v>
      </c>
      <c r="B72" s="90" t="s">
        <v>852</v>
      </c>
      <c r="C72">
        <v>0</v>
      </c>
      <c r="J72" s="24" t="s">
        <v>828</v>
      </c>
    </row>
    <row r="73" spans="1:10" ht="30">
      <c r="A73" s="90" t="s">
        <v>856</v>
      </c>
      <c r="B73" s="90" t="s">
        <v>858</v>
      </c>
      <c r="C73">
        <v>0</v>
      </c>
      <c r="J73" s="24" t="s">
        <v>835</v>
      </c>
    </row>
    <row r="74" spans="1:10" ht="30">
      <c r="A74" s="90" t="s">
        <v>864</v>
      </c>
      <c r="B74" s="90" t="s">
        <v>866</v>
      </c>
      <c r="C74">
        <v>0</v>
      </c>
      <c r="J74" s="24" t="s">
        <v>844</v>
      </c>
    </row>
    <row r="75" spans="1:10">
      <c r="A75" s="90" t="s">
        <v>868</v>
      </c>
      <c r="B75" s="90" t="s">
        <v>870</v>
      </c>
      <c r="C75">
        <v>0</v>
      </c>
      <c r="J75" s="24" t="s">
        <v>851</v>
      </c>
    </row>
    <row r="76" spans="1:10" ht="30">
      <c r="A76" s="90" t="s">
        <v>874</v>
      </c>
      <c r="B76" s="90" t="s">
        <v>876</v>
      </c>
      <c r="C76">
        <v>0</v>
      </c>
      <c r="J76" s="24" t="s">
        <v>857</v>
      </c>
    </row>
    <row r="77" spans="1:10" ht="30">
      <c r="A77" s="90" t="s">
        <v>879</v>
      </c>
      <c r="B77" s="90" t="s">
        <v>881</v>
      </c>
      <c r="C77">
        <v>0</v>
      </c>
      <c r="J77" s="24" t="s">
        <v>865</v>
      </c>
    </row>
    <row r="78" spans="1:10" ht="45">
      <c r="A78" s="90" t="s">
        <v>887</v>
      </c>
      <c r="B78" s="90" t="s">
        <v>889</v>
      </c>
      <c r="C78">
        <v>0</v>
      </c>
      <c r="J78" s="24" t="s">
        <v>869</v>
      </c>
    </row>
    <row r="79" spans="1:10" ht="30">
      <c r="A79" s="90" t="s">
        <v>893</v>
      </c>
      <c r="B79" s="90" t="s">
        <v>895</v>
      </c>
      <c r="C79">
        <v>0</v>
      </c>
      <c r="J79" s="24" t="s">
        <v>875</v>
      </c>
    </row>
    <row r="80" spans="1:10" ht="45">
      <c r="A80" s="90" t="s">
        <v>898</v>
      </c>
      <c r="B80" s="90" t="s">
        <v>900</v>
      </c>
      <c r="C80">
        <v>0</v>
      </c>
      <c r="J80" s="24" t="s">
        <v>880</v>
      </c>
    </row>
    <row r="81" spans="1:10" ht="30">
      <c r="A81" s="90" t="s">
        <v>902</v>
      </c>
      <c r="B81" s="90" t="s">
        <v>904</v>
      </c>
      <c r="C81">
        <v>0</v>
      </c>
      <c r="J81" s="24" t="s">
        <v>888</v>
      </c>
    </row>
    <row r="82" spans="1:10" ht="30">
      <c r="A82" s="90" t="s">
        <v>907</v>
      </c>
      <c r="B82" s="90" t="s">
        <v>909</v>
      </c>
      <c r="C82">
        <v>0</v>
      </c>
      <c r="J82" s="24" t="s">
        <v>894</v>
      </c>
    </row>
    <row r="83" spans="1:10" ht="30">
      <c r="A83" s="90" t="s">
        <v>911</v>
      </c>
      <c r="B83" s="90" t="s">
        <v>913</v>
      </c>
      <c r="C83">
        <v>0</v>
      </c>
      <c r="J83" s="24" t="s">
        <v>899</v>
      </c>
    </row>
    <row r="84" spans="1:10">
      <c r="A84" s="90" t="s">
        <v>921</v>
      </c>
      <c r="B84" s="90" t="s">
        <v>923</v>
      </c>
      <c r="C84">
        <v>0</v>
      </c>
      <c r="J84" s="24" t="s">
        <v>903</v>
      </c>
    </row>
    <row r="85" spans="1:10" ht="45">
      <c r="A85" s="90" t="s">
        <v>928</v>
      </c>
      <c r="B85" s="90" t="s">
        <v>930</v>
      </c>
      <c r="C85">
        <v>0</v>
      </c>
      <c r="J85" s="24" t="s">
        <v>908</v>
      </c>
    </row>
    <row r="86" spans="1:10">
      <c r="A86" s="90" t="s">
        <v>934</v>
      </c>
      <c r="B86" s="90" t="s">
        <v>936</v>
      </c>
      <c r="C86">
        <v>0</v>
      </c>
      <c r="J86" s="24" t="s">
        <v>912</v>
      </c>
    </row>
    <row r="87" spans="1:10" ht="30">
      <c r="A87" s="90" t="s">
        <v>940</v>
      </c>
      <c r="B87" s="90" t="s">
        <v>942</v>
      </c>
      <c r="C87">
        <v>0</v>
      </c>
      <c r="J87" s="24" t="s">
        <v>922</v>
      </c>
    </row>
    <row r="88" spans="1:10" ht="30">
      <c r="A88" s="90" t="s">
        <v>945</v>
      </c>
      <c r="B88" s="90" t="s">
        <v>947</v>
      </c>
      <c r="C88">
        <v>0</v>
      </c>
      <c r="J88" s="24" t="s">
        <v>929</v>
      </c>
    </row>
    <row r="89" spans="1:10" ht="45">
      <c r="A89" s="90" t="s">
        <v>951</v>
      </c>
      <c r="B89" s="90" t="s">
        <v>953</v>
      </c>
      <c r="C89">
        <v>0</v>
      </c>
      <c r="J89" s="24" t="s">
        <v>935</v>
      </c>
    </row>
    <row r="90" spans="1:10" ht="45">
      <c r="A90" s="90" t="s">
        <v>965</v>
      </c>
      <c r="B90" s="90" t="s">
        <v>967</v>
      </c>
      <c r="C90">
        <v>0</v>
      </c>
      <c r="J90" s="24" t="s">
        <v>941</v>
      </c>
    </row>
    <row r="91" spans="1:10" ht="45">
      <c r="A91" s="90" t="s">
        <v>972</v>
      </c>
      <c r="B91" s="90" t="s">
        <v>974</v>
      </c>
      <c r="C91">
        <v>0</v>
      </c>
      <c r="J91" s="24" t="s">
        <v>946</v>
      </c>
    </row>
    <row r="92" spans="1:10" ht="30">
      <c r="A92" s="90" t="s">
        <v>981</v>
      </c>
      <c r="B92" s="90" t="s">
        <v>983</v>
      </c>
      <c r="C92">
        <v>0</v>
      </c>
      <c r="J92" s="24" t="s">
        <v>952</v>
      </c>
    </row>
    <row r="93" spans="1:10">
      <c r="A93" s="90" t="s">
        <v>985</v>
      </c>
      <c r="B93" s="90" t="s">
        <v>987</v>
      </c>
      <c r="C93">
        <v>0</v>
      </c>
      <c r="J93" s="24" t="s">
        <v>966</v>
      </c>
    </row>
    <row r="94" spans="1:10">
      <c r="A94" s="90" t="s">
        <v>994</v>
      </c>
      <c r="B94" s="90" t="s">
        <v>996</v>
      </c>
      <c r="C94">
        <v>0</v>
      </c>
      <c r="J94" s="24" t="s">
        <v>973</v>
      </c>
    </row>
    <row r="95" spans="1:10">
      <c r="A95" s="90" t="s">
        <v>999</v>
      </c>
      <c r="B95" s="90" t="s">
        <v>1001</v>
      </c>
      <c r="C95">
        <v>0</v>
      </c>
      <c r="J95" s="24" t="s">
        <v>982</v>
      </c>
    </row>
    <row r="96" spans="1:10">
      <c r="A96" s="90" t="s">
        <v>1005</v>
      </c>
      <c r="B96" s="90" t="s">
        <v>1007</v>
      </c>
      <c r="C96">
        <v>0</v>
      </c>
      <c r="J96" s="24" t="s">
        <v>986</v>
      </c>
    </row>
    <row r="97" spans="1:10" ht="30">
      <c r="A97" s="90" t="s">
        <v>1011</v>
      </c>
      <c r="B97" s="90" t="s">
        <v>1013</v>
      </c>
      <c r="C97">
        <v>0</v>
      </c>
      <c r="J97" s="24" t="s">
        <v>995</v>
      </c>
    </row>
    <row r="98" spans="1:10" ht="30">
      <c r="A98" s="90" t="s">
        <v>1016</v>
      </c>
      <c r="B98" s="90" t="s">
        <v>1018</v>
      </c>
      <c r="C98">
        <v>0</v>
      </c>
      <c r="J98" s="24" t="s">
        <v>1000</v>
      </c>
    </row>
    <row r="99" spans="1:10">
      <c r="A99" s="90" t="s">
        <v>1022</v>
      </c>
      <c r="B99" s="90" t="s">
        <v>1024</v>
      </c>
      <c r="C99">
        <v>0</v>
      </c>
      <c r="J99" s="24" t="s">
        <v>1006</v>
      </c>
    </row>
    <row r="100" spans="1:10" ht="45">
      <c r="A100" s="90" t="s">
        <v>1033</v>
      </c>
      <c r="B100" s="90" t="s">
        <v>1035</v>
      </c>
      <c r="C100">
        <v>0</v>
      </c>
      <c r="J100" s="24" t="s">
        <v>1012</v>
      </c>
    </row>
    <row r="101" spans="1:10" ht="30">
      <c r="A101" s="90" t="s">
        <v>1041</v>
      </c>
      <c r="B101" s="90" t="s">
        <v>1043</v>
      </c>
      <c r="C101">
        <v>0</v>
      </c>
      <c r="J101" s="24" t="s">
        <v>1017</v>
      </c>
    </row>
    <row r="102" spans="1:10" ht="30">
      <c r="A102" s="90" t="s">
        <v>1045</v>
      </c>
      <c r="B102" s="90" t="s">
        <v>1047</v>
      </c>
      <c r="C102">
        <v>0</v>
      </c>
      <c r="J102" s="24" t="s">
        <v>1023</v>
      </c>
    </row>
    <row r="103" spans="1:10" ht="30">
      <c r="A103" s="90" t="s">
        <v>1051</v>
      </c>
      <c r="B103" s="90" t="s">
        <v>1053</v>
      </c>
      <c r="C103">
        <v>0</v>
      </c>
      <c r="J103" s="24" t="s">
        <v>1034</v>
      </c>
    </row>
    <row r="104" spans="1:10" ht="30">
      <c r="A104" s="90" t="s">
        <v>1057</v>
      </c>
      <c r="B104" s="90" t="s">
        <v>1059</v>
      </c>
      <c r="C104">
        <v>0</v>
      </c>
      <c r="J104" s="24" t="s">
        <v>1042</v>
      </c>
    </row>
    <row r="105" spans="1:10" ht="30">
      <c r="A105" s="90" t="s">
        <v>1066</v>
      </c>
      <c r="B105" s="90" t="s">
        <v>1068</v>
      </c>
      <c r="C105">
        <v>0</v>
      </c>
      <c r="J105" s="24" t="s">
        <v>1046</v>
      </c>
    </row>
    <row r="106" spans="1:10" ht="30">
      <c r="A106" s="90" t="s">
        <v>1071</v>
      </c>
      <c r="B106" s="90" t="s">
        <v>1073</v>
      </c>
      <c r="C106">
        <v>0</v>
      </c>
      <c r="J106" s="24" t="s">
        <v>1052</v>
      </c>
    </row>
    <row r="107" spans="1:10">
      <c r="A107" s="90" t="s">
        <v>1080</v>
      </c>
      <c r="B107" s="90" t="s">
        <v>1082</v>
      </c>
      <c r="C107">
        <v>0</v>
      </c>
      <c r="J107" s="24" t="s">
        <v>1058</v>
      </c>
    </row>
    <row r="108" spans="1:10">
      <c r="A108" s="90" t="s">
        <v>1084</v>
      </c>
      <c r="B108" s="90" t="s">
        <v>1086</v>
      </c>
      <c r="C108">
        <v>0</v>
      </c>
      <c r="J108" s="24" t="s">
        <v>1067</v>
      </c>
    </row>
    <row r="109" spans="1:10">
      <c r="A109" s="90" t="s">
        <v>1098</v>
      </c>
      <c r="B109" s="90" t="s">
        <v>1100</v>
      </c>
      <c r="C109">
        <v>0</v>
      </c>
      <c r="J109" s="24" t="s">
        <v>1072</v>
      </c>
    </row>
    <row r="110" spans="1:10" ht="30">
      <c r="A110" s="90" t="s">
        <v>1102</v>
      </c>
      <c r="B110" s="90" t="s">
        <v>1104</v>
      </c>
      <c r="C110">
        <v>0</v>
      </c>
      <c r="J110" s="24" t="s">
        <v>1081</v>
      </c>
    </row>
    <row r="111" spans="1:10" ht="60">
      <c r="A111" s="90" t="s">
        <v>1107</v>
      </c>
      <c r="B111" s="90" t="s">
        <v>1109</v>
      </c>
      <c r="C111">
        <v>0</v>
      </c>
      <c r="J111" s="24" t="s">
        <v>1085</v>
      </c>
    </row>
    <row r="112" spans="1:10">
      <c r="A112" s="90" t="s">
        <v>1117</v>
      </c>
      <c r="B112" s="90" t="s">
        <v>1119</v>
      </c>
      <c r="C112">
        <v>0</v>
      </c>
      <c r="J112" s="24" t="s">
        <v>1099</v>
      </c>
    </row>
    <row r="113" spans="1:10">
      <c r="A113" s="90" t="s">
        <v>1121</v>
      </c>
      <c r="B113" s="90" t="s">
        <v>1123</v>
      </c>
      <c r="C113">
        <v>0</v>
      </c>
      <c r="J113" s="24" t="s">
        <v>1103</v>
      </c>
    </row>
    <row r="114" spans="1:10">
      <c r="A114" s="90" t="s">
        <v>1132</v>
      </c>
      <c r="B114" s="90" t="s">
        <v>1134</v>
      </c>
      <c r="C114">
        <v>0</v>
      </c>
      <c r="J114" s="24" t="s">
        <v>1108</v>
      </c>
    </row>
    <row r="115" spans="1:10">
      <c r="A115" s="90" t="s">
        <v>1138</v>
      </c>
      <c r="B115" s="90" t="s">
        <v>1140</v>
      </c>
      <c r="C115">
        <v>0</v>
      </c>
      <c r="J115" s="24" t="s">
        <v>1118</v>
      </c>
    </row>
    <row r="116" spans="1:10" ht="30">
      <c r="A116" s="90" t="s">
        <v>1144</v>
      </c>
      <c r="B116" s="90" t="s">
        <v>1146</v>
      </c>
      <c r="C116">
        <v>0</v>
      </c>
      <c r="J116" s="24" t="s">
        <v>1122</v>
      </c>
    </row>
    <row r="117" spans="1:10">
      <c r="A117" s="90" t="s">
        <v>1149</v>
      </c>
      <c r="B117" s="90" t="s">
        <v>1151</v>
      </c>
      <c r="C117">
        <v>0</v>
      </c>
      <c r="J117" s="24" t="s">
        <v>1133</v>
      </c>
    </row>
    <row r="118" spans="1:10" ht="30">
      <c r="A118" s="90" t="s">
        <v>1153</v>
      </c>
      <c r="B118" s="90" t="s">
        <v>1155</v>
      </c>
      <c r="C118">
        <v>0</v>
      </c>
      <c r="J118" s="24" t="s">
        <v>1139</v>
      </c>
    </row>
    <row r="119" spans="1:10">
      <c r="A119" s="90" t="s">
        <v>1162</v>
      </c>
      <c r="B119" s="90" t="s">
        <v>1164</v>
      </c>
      <c r="C119">
        <v>0</v>
      </c>
      <c r="J119" s="24" t="s">
        <v>1145</v>
      </c>
    </row>
    <row r="120" spans="1:10">
      <c r="A120" s="90" t="s">
        <v>1166</v>
      </c>
      <c r="B120" s="90" t="s">
        <v>1168</v>
      </c>
      <c r="C120">
        <v>0</v>
      </c>
      <c r="J120" s="24" t="s">
        <v>1150</v>
      </c>
    </row>
    <row r="121" spans="1:10" ht="30">
      <c r="A121" s="90" t="s">
        <v>1171</v>
      </c>
      <c r="B121" s="90" t="s">
        <v>1173</v>
      </c>
      <c r="C121">
        <v>0</v>
      </c>
      <c r="J121" s="24" t="s">
        <v>1154</v>
      </c>
    </row>
    <row r="122" spans="1:10">
      <c r="A122" s="90" t="s">
        <v>1177</v>
      </c>
      <c r="B122" s="90" t="s">
        <v>1179</v>
      </c>
      <c r="C122">
        <v>0</v>
      </c>
      <c r="J122" s="24" t="s">
        <v>1163</v>
      </c>
    </row>
    <row r="123" spans="1:10" ht="30">
      <c r="A123" s="90" t="s">
        <v>1183</v>
      </c>
      <c r="B123" s="90" t="s">
        <v>1185</v>
      </c>
      <c r="C123">
        <v>0</v>
      </c>
      <c r="J123" s="24" t="s">
        <v>1167</v>
      </c>
    </row>
    <row r="124" spans="1:10">
      <c r="A124" s="90" t="s">
        <v>1189</v>
      </c>
      <c r="B124" s="90" t="s">
        <v>1191</v>
      </c>
      <c r="C124">
        <v>0</v>
      </c>
      <c r="J124" s="24" t="s">
        <v>1172</v>
      </c>
    </row>
    <row r="125" spans="1:10">
      <c r="A125" s="90" t="s">
        <v>1196</v>
      </c>
      <c r="B125" s="90" t="s">
        <v>1198</v>
      </c>
      <c r="C125">
        <v>0</v>
      </c>
      <c r="J125" s="24" t="s">
        <v>1178</v>
      </c>
    </row>
    <row r="126" spans="1:10" ht="30">
      <c r="A126" s="90" t="s">
        <v>1203</v>
      </c>
      <c r="B126" s="90" t="s">
        <v>1205</v>
      </c>
      <c r="C126">
        <v>0</v>
      </c>
      <c r="J126" s="24" t="s">
        <v>1184</v>
      </c>
    </row>
    <row r="127" spans="1:10" ht="30">
      <c r="A127" s="90" t="s">
        <v>1208</v>
      </c>
      <c r="B127" s="90" t="s">
        <v>1210</v>
      </c>
      <c r="C127">
        <v>0</v>
      </c>
      <c r="J127" s="24" t="s">
        <v>1190</v>
      </c>
    </row>
    <row r="128" spans="1:10" ht="30">
      <c r="A128" s="90" t="s">
        <v>1213</v>
      </c>
      <c r="B128" s="90" t="s">
        <v>1215</v>
      </c>
      <c r="C128">
        <v>0</v>
      </c>
      <c r="J128" s="24" t="s">
        <v>1197</v>
      </c>
    </row>
    <row r="129" spans="1:10" ht="30">
      <c r="A129" s="90" t="s">
        <v>1219</v>
      </c>
      <c r="B129" s="90" t="s">
        <v>1221</v>
      </c>
      <c r="C129">
        <v>0</v>
      </c>
      <c r="J129" s="24" t="s">
        <v>1204</v>
      </c>
    </row>
    <row r="130" spans="1:10" ht="30">
      <c r="A130" s="90" t="s">
        <v>1224</v>
      </c>
      <c r="B130" s="90" t="s">
        <v>1226</v>
      </c>
      <c r="C130">
        <v>0</v>
      </c>
      <c r="J130" s="24" t="s">
        <v>1209</v>
      </c>
    </row>
    <row r="131" spans="1:10">
      <c r="A131" s="90" t="s">
        <v>1228</v>
      </c>
      <c r="B131" s="90" t="s">
        <v>1230</v>
      </c>
      <c r="C131">
        <v>0</v>
      </c>
      <c r="J131" s="24" t="s">
        <v>1214</v>
      </c>
    </row>
    <row r="132" spans="1:10" ht="30">
      <c r="A132" s="90" t="s">
        <v>1233</v>
      </c>
      <c r="B132" s="90" t="s">
        <v>1235</v>
      </c>
      <c r="C132">
        <v>0</v>
      </c>
      <c r="J132" s="24" t="s">
        <v>1220</v>
      </c>
    </row>
    <row r="133" spans="1:10">
      <c r="A133" s="90" t="s">
        <v>1238</v>
      </c>
      <c r="B133" s="90" t="s">
        <v>1240</v>
      </c>
      <c r="C133">
        <v>0</v>
      </c>
      <c r="J133" s="24" t="s">
        <v>1225</v>
      </c>
    </row>
    <row r="134" spans="1:10" ht="30">
      <c r="A134" s="90" t="s">
        <v>1243</v>
      </c>
      <c r="B134" s="90" t="s">
        <v>1245</v>
      </c>
      <c r="C134">
        <v>0</v>
      </c>
      <c r="J134" s="24" t="s">
        <v>1229</v>
      </c>
    </row>
    <row r="135" spans="1:10" ht="30">
      <c r="A135" s="90" t="s">
        <v>1252</v>
      </c>
      <c r="B135" s="90" t="s">
        <v>1254</v>
      </c>
      <c r="C135">
        <v>0</v>
      </c>
      <c r="J135" s="24" t="s">
        <v>1234</v>
      </c>
    </row>
    <row r="136" spans="1:10">
      <c r="A136" s="90" t="s">
        <v>1256</v>
      </c>
      <c r="B136" s="90" t="s">
        <v>1258</v>
      </c>
      <c r="C136">
        <v>0</v>
      </c>
      <c r="J136" s="24" t="s">
        <v>1239</v>
      </c>
    </row>
    <row r="137" spans="1:10" ht="30">
      <c r="A137" s="90" t="s">
        <v>1260</v>
      </c>
      <c r="B137" s="90" t="s">
        <v>1262</v>
      </c>
      <c r="C137">
        <v>0</v>
      </c>
      <c r="J137" s="24" t="s">
        <v>1244</v>
      </c>
    </row>
    <row r="138" spans="1:10">
      <c r="A138" s="90" t="s">
        <v>1264</v>
      </c>
      <c r="B138" s="90" t="s">
        <v>1266</v>
      </c>
      <c r="C138">
        <v>0</v>
      </c>
      <c r="J138" s="24" t="s">
        <v>1253</v>
      </c>
    </row>
    <row r="139" spans="1:10">
      <c r="A139" s="90" t="s">
        <v>1268</v>
      </c>
      <c r="B139" s="90" t="s">
        <v>1270</v>
      </c>
      <c r="C139">
        <v>0</v>
      </c>
      <c r="J139" s="24" t="s">
        <v>1257</v>
      </c>
    </row>
    <row r="140" spans="1:10">
      <c r="A140" s="90" t="s">
        <v>1272</v>
      </c>
      <c r="B140" s="90" t="s">
        <v>1274</v>
      </c>
      <c r="C140">
        <v>0</v>
      </c>
      <c r="J140" s="24" t="s">
        <v>1261</v>
      </c>
    </row>
    <row r="141" spans="1:10" ht="45">
      <c r="A141" s="90" t="s">
        <v>1276</v>
      </c>
      <c r="B141" s="90" t="s">
        <v>1278</v>
      </c>
      <c r="C141">
        <v>0</v>
      </c>
      <c r="J141" s="24" t="s">
        <v>1265</v>
      </c>
    </row>
    <row r="142" spans="1:10" ht="30">
      <c r="A142" s="90" t="s">
        <v>1282</v>
      </c>
      <c r="B142" s="90" t="s">
        <v>1284</v>
      </c>
      <c r="C142">
        <v>0</v>
      </c>
      <c r="J142" s="24" t="s">
        <v>1269</v>
      </c>
    </row>
    <row r="143" spans="1:10" ht="30">
      <c r="A143" s="90" t="s">
        <v>1286</v>
      </c>
      <c r="B143" s="90" t="s">
        <v>1288</v>
      </c>
      <c r="C143">
        <v>0</v>
      </c>
      <c r="J143" s="24" t="s">
        <v>1273</v>
      </c>
    </row>
    <row r="144" spans="1:10" ht="30">
      <c r="A144" s="90" t="s">
        <v>1294</v>
      </c>
      <c r="B144" s="90" t="s">
        <v>1296</v>
      </c>
      <c r="C144">
        <v>0</v>
      </c>
      <c r="J144" s="24" t="s">
        <v>1277</v>
      </c>
    </row>
    <row r="145" spans="1:10" ht="30">
      <c r="A145" s="90" t="s">
        <v>1298</v>
      </c>
      <c r="B145" s="90" t="s">
        <v>1300</v>
      </c>
      <c r="C145">
        <v>0</v>
      </c>
      <c r="J145" s="24" t="s">
        <v>1283</v>
      </c>
    </row>
    <row r="146" spans="1:10" ht="45">
      <c r="A146" s="90" t="s">
        <v>1303</v>
      </c>
      <c r="B146" s="90" t="s">
        <v>1305</v>
      </c>
      <c r="C146">
        <v>0</v>
      </c>
      <c r="J146" s="24" t="s">
        <v>1287</v>
      </c>
    </row>
    <row r="147" spans="1:10" ht="45">
      <c r="A147" s="90" t="s">
        <v>1307</v>
      </c>
      <c r="B147" s="90" t="s">
        <v>1309</v>
      </c>
      <c r="C147">
        <v>0</v>
      </c>
      <c r="J147" s="24" t="s">
        <v>1295</v>
      </c>
    </row>
    <row r="148" spans="1:10">
      <c r="A148" s="90" t="s">
        <v>1313</v>
      </c>
      <c r="B148" s="90" t="s">
        <v>1315</v>
      </c>
      <c r="C148">
        <v>0</v>
      </c>
      <c r="J148" s="24" t="s">
        <v>1299</v>
      </c>
    </row>
    <row r="149" spans="1:10" ht="30">
      <c r="A149" s="90" t="s">
        <v>1317</v>
      </c>
      <c r="B149" s="90" t="s">
        <v>1319</v>
      </c>
      <c r="C149">
        <v>0</v>
      </c>
      <c r="J149" s="24" t="s">
        <v>1304</v>
      </c>
    </row>
    <row r="150" spans="1:10" ht="45">
      <c r="A150" s="90" t="s">
        <v>1324</v>
      </c>
      <c r="B150" s="90" t="s">
        <v>1326</v>
      </c>
      <c r="C150">
        <v>0</v>
      </c>
      <c r="J150" s="24" t="s">
        <v>1308</v>
      </c>
    </row>
    <row r="151" spans="1:10" ht="30">
      <c r="A151" s="90" t="s">
        <v>1329</v>
      </c>
      <c r="B151" s="90" t="s">
        <v>1331</v>
      </c>
      <c r="C151">
        <v>0</v>
      </c>
      <c r="J151" s="24" t="s">
        <v>1314</v>
      </c>
    </row>
    <row r="152" spans="1:10" ht="45">
      <c r="A152" s="90" t="s">
        <v>1334</v>
      </c>
      <c r="B152" s="90" t="s">
        <v>1336</v>
      </c>
      <c r="C152">
        <v>0</v>
      </c>
      <c r="J152" s="24" t="s">
        <v>1318</v>
      </c>
    </row>
    <row r="153" spans="1:10">
      <c r="A153" s="90" t="s">
        <v>1340</v>
      </c>
      <c r="B153" s="90" t="s">
        <v>1342</v>
      </c>
      <c r="C153">
        <v>0</v>
      </c>
      <c r="J153" s="24" t="s">
        <v>1325</v>
      </c>
    </row>
    <row r="154" spans="1:10" ht="30">
      <c r="A154" s="90" t="s">
        <v>1347</v>
      </c>
      <c r="B154" s="90" t="s">
        <v>1349</v>
      </c>
      <c r="C154">
        <v>0</v>
      </c>
      <c r="J154" s="24" t="s">
        <v>1330</v>
      </c>
    </row>
    <row r="155" spans="1:10">
      <c r="A155" s="90" t="s">
        <v>1351</v>
      </c>
      <c r="B155" s="90" t="s">
        <v>1353</v>
      </c>
      <c r="C155">
        <v>0</v>
      </c>
      <c r="J155" s="24" t="s">
        <v>1335</v>
      </c>
    </row>
    <row r="156" spans="1:10">
      <c r="A156" s="90" t="s">
        <v>1356</v>
      </c>
      <c r="B156" s="90" t="s">
        <v>1358</v>
      </c>
      <c r="C156">
        <v>0</v>
      </c>
      <c r="J156" s="24" t="s">
        <v>1341</v>
      </c>
    </row>
    <row r="157" spans="1:10">
      <c r="A157" s="90" t="s">
        <v>1362</v>
      </c>
      <c r="B157" s="90" t="s">
        <v>1364</v>
      </c>
      <c r="C157">
        <v>0</v>
      </c>
      <c r="J157" s="24" t="s">
        <v>1348</v>
      </c>
    </row>
    <row r="158" spans="1:10">
      <c r="A158" s="90" t="s">
        <v>1368</v>
      </c>
      <c r="B158" s="90" t="s">
        <v>1370</v>
      </c>
      <c r="C158">
        <v>0</v>
      </c>
      <c r="J158" s="24" t="s">
        <v>1352</v>
      </c>
    </row>
    <row r="159" spans="1:10">
      <c r="A159" s="90" t="s">
        <v>1373</v>
      </c>
      <c r="B159" s="90" t="s">
        <v>1375</v>
      </c>
      <c r="C159">
        <v>0</v>
      </c>
      <c r="J159" s="24" t="s">
        <v>1357</v>
      </c>
    </row>
    <row r="160" spans="1:10">
      <c r="A160" s="90" t="s">
        <v>1378</v>
      </c>
      <c r="B160" s="90" t="s">
        <v>1380</v>
      </c>
      <c r="C160">
        <v>0</v>
      </c>
      <c r="J160" s="24" t="s">
        <v>1363</v>
      </c>
    </row>
    <row r="161" spans="1:10" ht="30">
      <c r="A161" s="90" t="s">
        <v>1383</v>
      </c>
      <c r="B161" s="90" t="s">
        <v>1385</v>
      </c>
      <c r="C161">
        <v>0</v>
      </c>
      <c r="J161" s="24" t="s">
        <v>1369</v>
      </c>
    </row>
    <row r="162" spans="1:10">
      <c r="A162" s="90" t="s">
        <v>1388</v>
      </c>
      <c r="B162" s="90" t="s">
        <v>1390</v>
      </c>
      <c r="C162">
        <v>0</v>
      </c>
      <c r="J162" s="24" t="s">
        <v>1374</v>
      </c>
    </row>
    <row r="163" spans="1:10">
      <c r="A163" s="90" t="s">
        <v>1393</v>
      </c>
      <c r="B163" s="90" t="s">
        <v>1395</v>
      </c>
      <c r="C163">
        <v>0</v>
      </c>
      <c r="J163" s="24" t="s">
        <v>1379</v>
      </c>
    </row>
    <row r="164" spans="1:10" ht="30">
      <c r="A164" s="90" t="s">
        <v>1399</v>
      </c>
      <c r="B164" s="90" t="s">
        <v>1401</v>
      </c>
      <c r="C164">
        <v>0</v>
      </c>
      <c r="J164" s="24" t="s">
        <v>1384</v>
      </c>
    </row>
    <row r="165" spans="1:10">
      <c r="A165" s="90" t="s">
        <v>1405</v>
      </c>
      <c r="B165" s="90" t="s">
        <v>1407</v>
      </c>
      <c r="C165">
        <v>0</v>
      </c>
      <c r="J165" s="24" t="s">
        <v>1389</v>
      </c>
    </row>
    <row r="166" spans="1:10" ht="30">
      <c r="A166" s="90" t="s">
        <v>1409</v>
      </c>
      <c r="B166" s="90" t="s">
        <v>1411</v>
      </c>
      <c r="C166">
        <v>0</v>
      </c>
      <c r="J166" s="24" t="s">
        <v>1394</v>
      </c>
    </row>
    <row r="167" spans="1:10" ht="30">
      <c r="A167" s="90" t="s">
        <v>1413</v>
      </c>
      <c r="B167" s="90" t="s">
        <v>1415</v>
      </c>
      <c r="C167">
        <v>0</v>
      </c>
      <c r="J167" s="24" t="s">
        <v>1400</v>
      </c>
    </row>
    <row r="168" spans="1:10" ht="30">
      <c r="A168" s="90" t="s">
        <v>1419</v>
      </c>
      <c r="B168" s="90" t="s">
        <v>1421</v>
      </c>
      <c r="C168">
        <v>0</v>
      </c>
      <c r="J168" s="24" t="s">
        <v>1406</v>
      </c>
    </row>
    <row r="169" spans="1:10" ht="30">
      <c r="A169" s="90" t="s">
        <v>1424</v>
      </c>
      <c r="B169" s="90" t="s">
        <v>1426</v>
      </c>
      <c r="C169">
        <v>0</v>
      </c>
      <c r="J169" s="24" t="s">
        <v>1410</v>
      </c>
    </row>
    <row r="170" spans="1:10" ht="30">
      <c r="A170" s="90" t="s">
        <v>1435</v>
      </c>
      <c r="B170" s="90" t="s">
        <v>1437</v>
      </c>
      <c r="C170">
        <v>0</v>
      </c>
      <c r="J170" s="24" t="s">
        <v>1414</v>
      </c>
    </row>
    <row r="171" spans="1:10">
      <c r="A171" s="90" t="s">
        <v>1440</v>
      </c>
      <c r="B171" s="90" t="s">
        <v>1442</v>
      </c>
      <c r="C171">
        <v>0</v>
      </c>
      <c r="J171" s="24" t="s">
        <v>1420</v>
      </c>
    </row>
    <row r="172" spans="1:10" ht="45">
      <c r="A172" s="90" t="s">
        <v>1446</v>
      </c>
      <c r="B172" s="90" t="s">
        <v>1448</v>
      </c>
      <c r="C172">
        <v>0</v>
      </c>
      <c r="J172" s="24" t="s">
        <v>1425</v>
      </c>
    </row>
    <row r="173" spans="1:10">
      <c r="A173" s="90" t="s">
        <v>1451</v>
      </c>
      <c r="B173" s="90" t="s">
        <v>1453</v>
      </c>
      <c r="C173">
        <v>0</v>
      </c>
      <c r="J173" s="24" t="s">
        <v>1436</v>
      </c>
    </row>
    <row r="174" spans="1:10">
      <c r="A174" s="90" t="s">
        <v>1456</v>
      </c>
      <c r="B174" s="90" t="s">
        <v>1458</v>
      </c>
      <c r="C174">
        <v>0</v>
      </c>
      <c r="J174" s="24" t="s">
        <v>1441</v>
      </c>
    </row>
    <row r="175" spans="1:10" ht="30">
      <c r="A175" s="90" t="s">
        <v>1461</v>
      </c>
      <c r="B175" s="90" t="s">
        <v>1463</v>
      </c>
      <c r="C175">
        <v>0</v>
      </c>
      <c r="J175" s="24" t="s">
        <v>1447</v>
      </c>
    </row>
    <row r="176" spans="1:10" ht="45">
      <c r="A176" s="90" t="s">
        <v>1469</v>
      </c>
      <c r="B176" s="90" t="s">
        <v>1471</v>
      </c>
      <c r="C176">
        <v>0</v>
      </c>
      <c r="J176" s="24" t="s">
        <v>1452</v>
      </c>
    </row>
    <row r="177" spans="1:10" ht="45">
      <c r="A177" s="90" t="s">
        <v>1478</v>
      </c>
      <c r="B177" s="90" t="s">
        <v>1480</v>
      </c>
      <c r="C177">
        <v>0</v>
      </c>
      <c r="J177" s="24" t="s">
        <v>1457</v>
      </c>
    </row>
    <row r="178" spans="1:10" ht="30">
      <c r="A178" s="90" t="s">
        <v>1484</v>
      </c>
      <c r="B178" s="90" t="s">
        <v>1486</v>
      </c>
      <c r="C178">
        <v>0</v>
      </c>
      <c r="J178" s="24" t="s">
        <v>1462</v>
      </c>
    </row>
    <row r="179" spans="1:10" ht="30">
      <c r="A179" s="90" t="s">
        <v>1489</v>
      </c>
      <c r="B179" s="90" t="s">
        <v>1491</v>
      </c>
      <c r="C179">
        <v>0</v>
      </c>
      <c r="J179" s="24" t="s">
        <v>1470</v>
      </c>
    </row>
    <row r="180" spans="1:10" ht="45">
      <c r="A180" s="90" t="s">
        <v>1498</v>
      </c>
      <c r="B180" s="90" t="s">
        <v>1500</v>
      </c>
      <c r="C180">
        <v>0</v>
      </c>
      <c r="J180" s="24" t="s">
        <v>1479</v>
      </c>
    </row>
    <row r="181" spans="1:10" ht="30">
      <c r="A181" s="90" t="s">
        <v>1506</v>
      </c>
      <c r="B181" s="90" t="s">
        <v>1508</v>
      </c>
      <c r="C181">
        <v>0</v>
      </c>
      <c r="J181" s="24" t="s">
        <v>1485</v>
      </c>
    </row>
    <row r="182" spans="1:10" ht="30">
      <c r="A182" s="90" t="s">
        <v>1511</v>
      </c>
      <c r="B182" s="90" t="s">
        <v>1513</v>
      </c>
      <c r="C182">
        <v>0</v>
      </c>
      <c r="J182" s="24" t="s">
        <v>1490</v>
      </c>
    </row>
    <row r="183" spans="1:10" ht="30">
      <c r="A183" s="90" t="s">
        <v>1515</v>
      </c>
      <c r="B183" s="90" t="s">
        <v>1517</v>
      </c>
      <c r="C183">
        <v>0</v>
      </c>
      <c r="J183" s="24" t="s">
        <v>1499</v>
      </c>
    </row>
    <row r="184" spans="1:10" ht="30">
      <c r="A184" s="90" t="s">
        <v>1521</v>
      </c>
      <c r="B184" s="90" t="s">
        <v>1523</v>
      </c>
      <c r="C184">
        <v>0</v>
      </c>
      <c r="J184" s="24" t="s">
        <v>1507</v>
      </c>
    </row>
    <row r="185" spans="1:10" ht="30">
      <c r="A185" s="90" t="s">
        <v>1529</v>
      </c>
      <c r="B185" s="90" t="s">
        <v>1531</v>
      </c>
      <c r="C185">
        <v>0</v>
      </c>
      <c r="J185" s="24" t="s">
        <v>1512</v>
      </c>
    </row>
    <row r="186" spans="1:10" ht="45">
      <c r="A186" s="90" t="s">
        <v>1536</v>
      </c>
      <c r="B186" s="90" t="s">
        <v>1538</v>
      </c>
      <c r="C186">
        <v>0</v>
      </c>
      <c r="J186" s="24" t="s">
        <v>1516</v>
      </c>
    </row>
    <row r="187" spans="1:10" ht="30">
      <c r="A187" s="90" t="s">
        <v>1542</v>
      </c>
      <c r="B187" s="90" t="s">
        <v>1544</v>
      </c>
      <c r="C187">
        <v>0</v>
      </c>
      <c r="J187" s="24" t="s">
        <v>1522</v>
      </c>
    </row>
    <row r="188" spans="1:10" ht="30">
      <c r="A188" s="90" t="s">
        <v>1547</v>
      </c>
      <c r="B188" s="90" t="s">
        <v>1549</v>
      </c>
      <c r="C188">
        <v>0</v>
      </c>
      <c r="J188" s="24" t="s">
        <v>1530</v>
      </c>
    </row>
    <row r="189" spans="1:10" ht="60">
      <c r="A189" s="90" t="s">
        <v>1551</v>
      </c>
      <c r="B189" s="90" t="s">
        <v>1553</v>
      </c>
      <c r="C189">
        <v>0</v>
      </c>
      <c r="J189" s="24" t="s">
        <v>1537</v>
      </c>
    </row>
    <row r="190" spans="1:10" ht="45">
      <c r="A190" s="90" t="s">
        <v>1558</v>
      </c>
      <c r="B190" s="90" t="s">
        <v>1560</v>
      </c>
      <c r="C190">
        <v>0</v>
      </c>
      <c r="J190" s="24" t="s">
        <v>1543</v>
      </c>
    </row>
    <row r="191" spans="1:10" ht="30">
      <c r="A191" s="90" t="s">
        <v>1564</v>
      </c>
      <c r="B191" s="90" t="s">
        <v>1566</v>
      </c>
      <c r="C191">
        <v>0</v>
      </c>
      <c r="J191" s="24" t="s">
        <v>1548</v>
      </c>
    </row>
    <row r="192" spans="1:10" ht="30">
      <c r="A192" s="90" t="s">
        <v>1570</v>
      </c>
      <c r="B192" s="90" t="s">
        <v>1572</v>
      </c>
      <c r="C192">
        <v>0</v>
      </c>
      <c r="J192" s="24" t="s">
        <v>1552</v>
      </c>
    </row>
    <row r="193" spans="1:10" ht="45">
      <c r="A193" s="90" t="s">
        <v>1576</v>
      </c>
      <c r="B193" s="90" t="s">
        <v>1578</v>
      </c>
      <c r="C193">
        <v>0</v>
      </c>
      <c r="J193" s="24" t="s">
        <v>1559</v>
      </c>
    </row>
    <row r="194" spans="1:10" ht="30">
      <c r="A194" s="90" t="s">
        <v>1582</v>
      </c>
      <c r="B194" s="90" t="s">
        <v>1584</v>
      </c>
      <c r="C194">
        <v>0</v>
      </c>
      <c r="J194" s="24" t="s">
        <v>1565</v>
      </c>
    </row>
    <row r="195" spans="1:10" ht="30">
      <c r="A195" s="90" t="s">
        <v>1588</v>
      </c>
      <c r="B195" s="90" t="s">
        <v>1590</v>
      </c>
      <c r="C195">
        <v>0</v>
      </c>
      <c r="J195" s="24" t="s">
        <v>1571</v>
      </c>
    </row>
    <row r="196" spans="1:10">
      <c r="A196" s="90" t="s">
        <v>1593</v>
      </c>
      <c r="B196" s="90" t="s">
        <v>1595</v>
      </c>
      <c r="C196">
        <v>0</v>
      </c>
      <c r="J196" s="24" t="s">
        <v>1577</v>
      </c>
    </row>
    <row r="197" spans="1:10" ht="30">
      <c r="A197" s="90" t="s">
        <v>1598</v>
      </c>
      <c r="B197" s="90" t="s">
        <v>1600</v>
      </c>
      <c r="C197">
        <v>0</v>
      </c>
      <c r="J197" s="24" t="s">
        <v>1583</v>
      </c>
    </row>
    <row r="198" spans="1:10" ht="30">
      <c r="A198" s="90" t="s">
        <v>1604</v>
      </c>
      <c r="B198" s="90" t="s">
        <v>1606</v>
      </c>
      <c r="C198">
        <v>0</v>
      </c>
      <c r="J198" s="24" t="s">
        <v>1589</v>
      </c>
    </row>
    <row r="199" spans="1:10">
      <c r="A199" s="90" t="s">
        <v>1611</v>
      </c>
      <c r="B199" s="90" t="s">
        <v>1613</v>
      </c>
      <c r="C199">
        <v>0</v>
      </c>
      <c r="J199" s="24" t="s">
        <v>1594</v>
      </c>
    </row>
    <row r="200" spans="1:10" ht="30">
      <c r="A200" s="90" t="s">
        <v>1617</v>
      </c>
      <c r="B200" s="90" t="s">
        <v>1619</v>
      </c>
      <c r="C200">
        <v>0</v>
      </c>
      <c r="J200" s="24" t="s">
        <v>1599</v>
      </c>
    </row>
    <row r="201" spans="1:10" ht="30">
      <c r="A201" s="90" t="s">
        <v>1621</v>
      </c>
      <c r="B201" s="90" t="s">
        <v>1623</v>
      </c>
      <c r="C201">
        <v>0</v>
      </c>
      <c r="J201" s="24" t="s">
        <v>1605</v>
      </c>
    </row>
    <row r="202" spans="1:10">
      <c r="A202" s="90" t="s">
        <v>1626</v>
      </c>
      <c r="B202" s="90" t="s">
        <v>1628</v>
      </c>
      <c r="C202">
        <v>0</v>
      </c>
      <c r="J202" s="24" t="s">
        <v>1612</v>
      </c>
    </row>
    <row r="203" spans="1:10" ht="30">
      <c r="A203" s="90" t="s">
        <v>1632</v>
      </c>
      <c r="B203" s="90" t="s">
        <v>1633</v>
      </c>
      <c r="C203">
        <v>0</v>
      </c>
      <c r="J203" s="24" t="s">
        <v>1618</v>
      </c>
    </row>
    <row r="204" spans="1:10" ht="30">
      <c r="A204" s="90" t="s">
        <v>1637</v>
      </c>
      <c r="B204" s="90" t="s">
        <v>1638</v>
      </c>
      <c r="C204">
        <v>0</v>
      </c>
      <c r="J204" s="24" t="s">
        <v>1622</v>
      </c>
    </row>
    <row r="205" spans="1:10">
      <c r="A205" s="90" t="s">
        <v>1643</v>
      </c>
      <c r="B205" s="90" t="s">
        <v>1646</v>
      </c>
      <c r="C205">
        <v>0</v>
      </c>
      <c r="J205" s="24" t="s">
        <v>1627</v>
      </c>
    </row>
    <row r="206" spans="1:10" ht="30">
      <c r="J206" s="24" t="s">
        <v>1645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2"/>
  <sheetViews>
    <sheetView showGridLines="0" topLeftCell="A4" workbookViewId="0">
      <selection activeCell="F3" sqref="F3:G3"/>
    </sheetView>
  </sheetViews>
  <sheetFormatPr defaultRowHeight="15"/>
  <cols>
    <col min="1" max="1" width="5.140625" customWidth="1"/>
    <col min="2" max="2" width="23.28515625" customWidth="1"/>
    <col min="3" max="3" width="48.140625" customWidth="1"/>
    <col min="4" max="4" width="39.85546875" customWidth="1"/>
    <col min="5" max="17" width="40.5703125" customWidth="1"/>
    <col min="18" max="18" width="28.5703125" customWidth="1"/>
    <col min="19" max="19" width="27.42578125" customWidth="1"/>
    <col min="20" max="20" width="26.42578125" customWidth="1"/>
  </cols>
  <sheetData>
    <row r="1" spans="1:24" ht="18.75">
      <c r="B1" s="29" t="s">
        <v>1655</v>
      </c>
      <c r="C1" s="30" t="s">
        <v>1656</v>
      </c>
      <c r="D1" s="30" t="s">
        <v>1657</v>
      </c>
      <c r="E1" s="30" t="s">
        <v>1658</v>
      </c>
      <c r="F1" s="30" t="s">
        <v>1659</v>
      </c>
      <c r="G1" s="30" t="s">
        <v>1660</v>
      </c>
      <c r="H1" s="30" t="s">
        <v>1661</v>
      </c>
      <c r="I1" s="30" t="s">
        <v>1662</v>
      </c>
      <c r="J1" s="30" t="s">
        <v>1663</v>
      </c>
      <c r="K1" s="30" t="s">
        <v>1664</v>
      </c>
      <c r="L1" s="30" t="s">
        <v>1665</v>
      </c>
      <c r="M1" s="30" t="s">
        <v>1666</v>
      </c>
      <c r="N1" s="30" t="s">
        <v>1667</v>
      </c>
      <c r="O1" s="30" t="s">
        <v>1668</v>
      </c>
      <c r="P1" s="30" t="s">
        <v>1669</v>
      </c>
      <c r="Q1" s="30" t="s">
        <v>1670</v>
      </c>
      <c r="R1" s="30" t="s">
        <v>1671</v>
      </c>
      <c r="S1" s="30" t="s">
        <v>1672</v>
      </c>
      <c r="T1" s="31" t="s">
        <v>1673</v>
      </c>
    </row>
    <row r="2" spans="1:24" ht="71.25" customHeight="1">
      <c r="A2" s="6"/>
      <c r="B2" s="32" t="s">
        <v>1674</v>
      </c>
      <c r="C2" s="22" t="s">
        <v>1675</v>
      </c>
      <c r="D2" s="22" t="s">
        <v>1676</v>
      </c>
      <c r="E2" s="22"/>
      <c r="F2" s="22"/>
      <c r="G2" s="22"/>
      <c r="H2" s="22"/>
      <c r="I2" s="22"/>
      <c r="J2" s="22"/>
      <c r="K2" s="23"/>
      <c r="L2" s="22"/>
      <c r="M2" s="22"/>
      <c r="N2" s="22"/>
      <c r="O2" s="22"/>
      <c r="P2" s="23"/>
      <c r="Q2" s="23"/>
      <c r="R2" s="22"/>
      <c r="S2" s="22"/>
      <c r="T2" s="33"/>
      <c r="U2" s="6"/>
      <c r="V2" s="6"/>
      <c r="W2" s="6"/>
      <c r="X2" s="6"/>
    </row>
    <row r="3" spans="1:24" ht="45">
      <c r="A3" s="6"/>
      <c r="B3" s="34">
        <v>0.1</v>
      </c>
      <c r="C3" s="24" t="s">
        <v>1677</v>
      </c>
      <c r="D3" s="22" t="s">
        <v>1678</v>
      </c>
      <c r="E3" s="22" t="s">
        <v>1679</v>
      </c>
      <c r="F3" s="22" t="s">
        <v>1680</v>
      </c>
      <c r="G3" s="22" t="s">
        <v>1681</v>
      </c>
      <c r="H3" s="22" t="s">
        <v>1682</v>
      </c>
      <c r="I3" s="22" t="s">
        <v>1683</v>
      </c>
      <c r="J3" s="99" t="s">
        <v>1684</v>
      </c>
      <c r="K3" s="23"/>
      <c r="L3" s="22"/>
      <c r="M3" s="22"/>
      <c r="N3" s="23"/>
      <c r="O3" s="22"/>
      <c r="P3" s="22"/>
      <c r="Q3" s="22"/>
      <c r="R3" s="22"/>
      <c r="S3" s="22"/>
      <c r="T3" s="33"/>
      <c r="U3" s="6"/>
      <c r="V3" s="6"/>
      <c r="W3" s="6"/>
      <c r="X3" s="6"/>
    </row>
    <row r="4" spans="1:24" ht="45">
      <c r="A4" s="6"/>
      <c r="B4" s="34">
        <v>0.2</v>
      </c>
      <c r="C4" s="22" t="s">
        <v>1685</v>
      </c>
      <c r="D4" s="22" t="s">
        <v>1686</v>
      </c>
      <c r="E4" s="22" t="s">
        <v>1687</v>
      </c>
      <c r="F4" s="22" t="s">
        <v>1688</v>
      </c>
      <c r="G4" s="22" t="s">
        <v>1689</v>
      </c>
      <c r="H4" s="22" t="s">
        <v>1690</v>
      </c>
      <c r="I4" s="22" t="s">
        <v>1691</v>
      </c>
      <c r="J4" s="22" t="s">
        <v>1692</v>
      </c>
      <c r="K4" s="22"/>
      <c r="L4" s="22"/>
      <c r="M4" s="22"/>
      <c r="N4" s="23"/>
      <c r="O4" s="22"/>
      <c r="P4" s="22"/>
      <c r="Q4" s="22"/>
      <c r="R4" s="22"/>
      <c r="S4" s="22"/>
      <c r="T4" s="33"/>
      <c r="U4" s="6"/>
      <c r="V4" s="6"/>
      <c r="W4" s="6"/>
      <c r="X4" s="6"/>
    </row>
    <row r="5" spans="1:24" ht="30">
      <c r="A5" s="6"/>
      <c r="B5" s="34">
        <v>0.3</v>
      </c>
      <c r="C5" s="23" t="s">
        <v>1685</v>
      </c>
      <c r="D5" s="22" t="s">
        <v>1686</v>
      </c>
      <c r="E5" s="22" t="s">
        <v>1693</v>
      </c>
      <c r="F5" s="22" t="s">
        <v>1694</v>
      </c>
      <c r="G5" s="22" t="s">
        <v>1695</v>
      </c>
      <c r="H5" s="22" t="s">
        <v>1696</v>
      </c>
      <c r="I5" s="22" t="s">
        <v>1697</v>
      </c>
      <c r="J5" s="99" t="s">
        <v>1698</v>
      </c>
      <c r="K5" s="99" t="s">
        <v>1699</v>
      </c>
      <c r="L5" s="99" t="s">
        <v>1700</v>
      </c>
      <c r="M5" s="25"/>
      <c r="N5" s="22" t="s">
        <v>1701</v>
      </c>
      <c r="O5" s="22"/>
      <c r="P5" s="22"/>
      <c r="Q5" s="22"/>
      <c r="R5" s="22"/>
      <c r="S5" s="22"/>
      <c r="T5" s="33"/>
      <c r="U5" s="6"/>
      <c r="V5" s="6"/>
      <c r="W5" s="6"/>
      <c r="X5" s="6"/>
    </row>
    <row r="6" spans="1:24" ht="45">
      <c r="A6" s="6"/>
      <c r="B6" s="34">
        <v>0.4</v>
      </c>
      <c r="C6" s="22" t="s">
        <v>1685</v>
      </c>
      <c r="D6" s="22" t="s">
        <v>1686</v>
      </c>
      <c r="E6" s="26" t="s">
        <v>1702</v>
      </c>
      <c r="F6" s="22" t="s">
        <v>1703</v>
      </c>
      <c r="G6" s="100" t="s">
        <v>1704</v>
      </c>
      <c r="H6" s="99" t="s">
        <v>1705</v>
      </c>
      <c r="I6" s="99" t="s">
        <v>1706</v>
      </c>
      <c r="J6" s="99" t="s">
        <v>1707</v>
      </c>
      <c r="K6" s="27"/>
      <c r="L6" s="22" t="s">
        <v>65</v>
      </c>
      <c r="M6" s="22" t="s">
        <v>1708</v>
      </c>
      <c r="N6" s="25"/>
      <c r="O6" s="22" t="s">
        <v>1701</v>
      </c>
      <c r="P6" s="22" t="s">
        <v>1693</v>
      </c>
      <c r="Q6" s="23"/>
      <c r="R6" s="22"/>
      <c r="S6" s="22"/>
      <c r="T6" s="33"/>
      <c r="U6" s="6"/>
      <c r="V6" s="6"/>
      <c r="W6" s="6"/>
      <c r="X6" s="6"/>
    </row>
    <row r="7" spans="1:24" ht="30">
      <c r="A7" s="6"/>
      <c r="B7" s="34">
        <v>0.5</v>
      </c>
      <c r="C7" s="22" t="s">
        <v>1685</v>
      </c>
      <c r="D7" s="22" t="s">
        <v>1686</v>
      </c>
      <c r="E7" s="22" t="s">
        <v>1709</v>
      </c>
      <c r="F7" s="99" t="s">
        <v>1698</v>
      </c>
      <c r="G7" s="99" t="s">
        <v>1710</v>
      </c>
      <c r="H7" s="99" t="s">
        <v>1711</v>
      </c>
      <c r="I7" s="99" t="s">
        <v>1712</v>
      </c>
      <c r="J7" s="27"/>
      <c r="K7" s="22" t="s">
        <v>65</v>
      </c>
      <c r="L7" s="22" t="s">
        <v>1713</v>
      </c>
      <c r="M7" s="25"/>
      <c r="N7" s="22" t="s">
        <v>1701</v>
      </c>
      <c r="O7" s="22" t="s">
        <v>1692</v>
      </c>
      <c r="P7" s="23" t="s">
        <v>1704</v>
      </c>
      <c r="Q7" s="23"/>
      <c r="R7" s="22"/>
      <c r="S7" s="22"/>
      <c r="T7" s="33"/>
      <c r="U7" s="6"/>
      <c r="V7" s="6"/>
      <c r="W7" s="6"/>
      <c r="X7" s="6"/>
    </row>
    <row r="8" spans="1:24" ht="60">
      <c r="A8" s="6"/>
      <c r="B8" s="34">
        <v>0.6</v>
      </c>
      <c r="C8" s="22" t="s">
        <v>1685</v>
      </c>
      <c r="D8" s="22" t="s">
        <v>1686</v>
      </c>
      <c r="E8" s="22" t="s">
        <v>1692</v>
      </c>
      <c r="F8" s="99" t="s">
        <v>1714</v>
      </c>
      <c r="G8" s="99" t="s">
        <v>1715</v>
      </c>
      <c r="H8" s="99" t="s">
        <v>1716</v>
      </c>
      <c r="I8" s="27"/>
      <c r="J8" s="22" t="s">
        <v>65</v>
      </c>
      <c r="K8" s="99" t="s">
        <v>1717</v>
      </c>
      <c r="L8" s="22" t="s">
        <v>1718</v>
      </c>
      <c r="M8" s="25"/>
      <c r="N8" s="22" t="s">
        <v>1701</v>
      </c>
      <c r="O8" s="22" t="s">
        <v>1719</v>
      </c>
      <c r="P8" s="23"/>
      <c r="Q8" s="22"/>
      <c r="R8" s="22"/>
      <c r="S8" s="22"/>
      <c r="T8" s="33"/>
      <c r="U8" s="6"/>
      <c r="V8" s="6"/>
      <c r="W8" s="6"/>
      <c r="X8" s="6"/>
    </row>
    <row r="9" spans="1:24" ht="75">
      <c r="A9" s="6"/>
      <c r="B9" s="34">
        <v>0.7</v>
      </c>
      <c r="C9" s="22" t="s">
        <v>1685</v>
      </c>
      <c r="D9" s="22" t="s">
        <v>1686</v>
      </c>
      <c r="E9" s="22" t="s">
        <v>1720</v>
      </c>
      <c r="F9" s="22" t="s">
        <v>1721</v>
      </c>
      <c r="G9" s="99" t="s">
        <v>1722</v>
      </c>
      <c r="H9" s="99" t="s">
        <v>1723</v>
      </c>
      <c r="I9" s="99" t="s">
        <v>1724</v>
      </c>
      <c r="J9" s="27"/>
      <c r="K9" s="22" t="s">
        <v>65</v>
      </c>
      <c r="L9" s="99" t="s">
        <v>1725</v>
      </c>
      <c r="M9" s="28"/>
      <c r="N9" s="22" t="s">
        <v>1701</v>
      </c>
      <c r="O9" s="101" t="s">
        <v>1687</v>
      </c>
      <c r="P9" s="101" t="s">
        <v>1688</v>
      </c>
      <c r="Q9" s="101" t="s">
        <v>1689</v>
      </c>
      <c r="R9" s="101" t="s">
        <v>1683</v>
      </c>
      <c r="S9" s="101" t="s">
        <v>1691</v>
      </c>
      <c r="T9" s="104" t="s">
        <v>1726</v>
      </c>
      <c r="U9" s="6"/>
      <c r="V9" s="6"/>
      <c r="W9" s="6"/>
      <c r="X9" s="6"/>
    </row>
    <row r="10" spans="1:24" ht="30">
      <c r="A10" s="6"/>
      <c r="B10" s="34">
        <v>0.8</v>
      </c>
      <c r="C10" s="22" t="s">
        <v>1685</v>
      </c>
      <c r="D10" s="22" t="s">
        <v>1686</v>
      </c>
      <c r="E10" s="99" t="s">
        <v>1727</v>
      </c>
      <c r="F10" s="22" t="s">
        <v>1728</v>
      </c>
      <c r="G10" s="22" t="s">
        <v>1729</v>
      </c>
      <c r="H10" s="22" t="s">
        <v>1730</v>
      </c>
      <c r="I10" s="22" t="s">
        <v>1731</v>
      </c>
      <c r="J10" s="22" t="s">
        <v>1732</v>
      </c>
      <c r="K10" s="22"/>
      <c r="L10" s="22"/>
      <c r="M10" s="22"/>
      <c r="N10" s="23"/>
      <c r="O10" s="22"/>
      <c r="P10" s="22"/>
      <c r="Q10" s="22"/>
      <c r="R10" s="22"/>
      <c r="S10" s="22"/>
      <c r="T10" s="33"/>
      <c r="U10" s="6"/>
      <c r="V10" s="6"/>
      <c r="W10" s="6"/>
      <c r="X10" s="6"/>
    </row>
    <row r="11" spans="1:24" ht="30">
      <c r="A11" s="6"/>
      <c r="B11" s="34">
        <v>0.9</v>
      </c>
      <c r="C11" s="22" t="s">
        <v>1685</v>
      </c>
      <c r="D11" s="22" t="s">
        <v>1686</v>
      </c>
      <c r="E11" s="94" t="s">
        <v>1733</v>
      </c>
      <c r="F11" s="95" t="s">
        <v>12</v>
      </c>
      <c r="G11" s="28"/>
      <c r="H11" s="22" t="s">
        <v>1701</v>
      </c>
      <c r="I11" s="22" t="s">
        <v>1734</v>
      </c>
      <c r="J11" s="22" t="s">
        <v>1735</v>
      </c>
      <c r="K11" s="22" t="s">
        <v>1736</v>
      </c>
      <c r="L11" s="22" t="s">
        <v>1737</v>
      </c>
      <c r="M11" s="22" t="s">
        <v>1738</v>
      </c>
      <c r="N11" s="23"/>
      <c r="O11" s="22"/>
      <c r="P11" s="22"/>
      <c r="Q11" s="22"/>
      <c r="R11" s="22"/>
      <c r="S11" s="22"/>
      <c r="T11" s="33"/>
      <c r="U11" s="6"/>
      <c r="V11" s="6"/>
      <c r="W11" s="6"/>
      <c r="X11" s="6"/>
    </row>
    <row r="12" spans="1:24" ht="15.75" thickBot="1">
      <c r="A12" s="6"/>
      <c r="B12" s="36">
        <v>0.95</v>
      </c>
      <c r="C12" s="37" t="s">
        <v>1701</v>
      </c>
      <c r="D12" s="37" t="s">
        <v>1739</v>
      </c>
      <c r="E12" s="38"/>
      <c r="F12" s="38"/>
      <c r="G12" s="38"/>
      <c r="H12" s="38"/>
      <c r="I12" s="37"/>
      <c r="J12" s="37"/>
      <c r="K12" s="37"/>
      <c r="L12" s="37"/>
      <c r="M12" s="37"/>
      <c r="N12" s="38"/>
      <c r="O12" s="37"/>
      <c r="P12" s="37"/>
      <c r="Q12" s="37"/>
      <c r="R12" s="37"/>
      <c r="S12" s="37"/>
      <c r="T12" s="39"/>
      <c r="U12" s="6"/>
      <c r="V12" s="6"/>
      <c r="W12" s="6"/>
      <c r="X1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2"/>
  <sheetViews>
    <sheetView showGridLines="0" workbookViewId="0">
      <selection activeCell="C6" sqref="C6"/>
    </sheetView>
  </sheetViews>
  <sheetFormatPr defaultRowHeight="15"/>
  <cols>
    <col min="1" max="1" width="5.42578125" customWidth="1"/>
    <col min="2" max="2" width="42.28515625" style="6" customWidth="1"/>
    <col min="3" max="3" width="29.140625" style="6" customWidth="1"/>
    <col min="4" max="4" width="27.42578125" style="6" customWidth="1"/>
    <col min="5" max="5" width="19.5703125" style="6" customWidth="1"/>
    <col min="6" max="6" width="23" style="6" customWidth="1"/>
    <col min="7" max="8" width="20.42578125" style="6" customWidth="1"/>
    <col min="9" max="9" width="20" style="6" customWidth="1"/>
    <col min="10" max="11" width="11.42578125" customWidth="1"/>
  </cols>
  <sheetData>
    <row r="1" spans="1:11" ht="15.75" thickBot="1"/>
    <row r="2" spans="1:11" ht="15.75">
      <c r="A2" s="96" t="s">
        <v>1740</v>
      </c>
      <c r="B2" s="97" t="s">
        <v>1741</v>
      </c>
      <c r="C2" s="97" t="s">
        <v>1742</v>
      </c>
      <c r="D2" s="97" t="s">
        <v>1743</v>
      </c>
      <c r="E2" s="97" t="s">
        <v>1744</v>
      </c>
      <c r="F2" s="97" t="s">
        <v>1745</v>
      </c>
      <c r="G2" s="97" t="s">
        <v>1746</v>
      </c>
      <c r="H2" s="97" t="s">
        <v>1747</v>
      </c>
      <c r="I2" s="97" t="s">
        <v>1748</v>
      </c>
      <c r="J2" s="97" t="s">
        <v>1749</v>
      </c>
      <c r="K2" s="98" t="s">
        <v>1750</v>
      </c>
    </row>
    <row r="3" spans="1:11" ht="30">
      <c r="A3" s="40">
        <v>1</v>
      </c>
      <c r="B3" s="26" t="s">
        <v>1684</v>
      </c>
      <c r="C3" s="22" t="s">
        <v>32</v>
      </c>
      <c r="D3" s="22"/>
      <c r="E3" s="22"/>
      <c r="F3" s="22" t="s">
        <v>1751</v>
      </c>
      <c r="G3" s="22" t="s">
        <v>1752</v>
      </c>
      <c r="H3" s="22" t="s">
        <v>1753</v>
      </c>
      <c r="I3" s="22"/>
      <c r="J3" s="23"/>
      <c r="K3" s="35"/>
    </row>
    <row r="4" spans="1:11" ht="45">
      <c r="A4" s="40">
        <v>2</v>
      </c>
      <c r="B4" s="26" t="s">
        <v>1754</v>
      </c>
      <c r="C4" s="22" t="s">
        <v>30</v>
      </c>
      <c r="D4" s="22" t="s">
        <v>35</v>
      </c>
      <c r="E4" s="22" t="s">
        <v>74</v>
      </c>
      <c r="F4" s="22" t="s">
        <v>1755</v>
      </c>
      <c r="G4" s="22" t="s">
        <v>1756</v>
      </c>
      <c r="H4" s="22" t="s">
        <v>1757</v>
      </c>
      <c r="I4" s="22"/>
      <c r="J4" s="23"/>
      <c r="K4" s="35"/>
    </row>
    <row r="5" spans="1:11" ht="30">
      <c r="A5" s="40">
        <v>3</v>
      </c>
      <c r="B5" s="26" t="s">
        <v>1727</v>
      </c>
      <c r="C5" s="22" t="s">
        <v>30</v>
      </c>
      <c r="D5" s="22" t="s">
        <v>35</v>
      </c>
      <c r="E5" s="22" t="s">
        <v>74</v>
      </c>
      <c r="F5" s="22" t="s">
        <v>1758</v>
      </c>
      <c r="G5" s="22" t="s">
        <v>1759</v>
      </c>
      <c r="H5" s="22" t="s">
        <v>1760</v>
      </c>
      <c r="I5" s="22" t="s">
        <v>1761</v>
      </c>
      <c r="J5" s="23"/>
      <c r="K5" s="35"/>
    </row>
    <row r="6" spans="1:11" ht="30">
      <c r="A6" s="40">
        <v>4</v>
      </c>
      <c r="B6" s="26" t="s">
        <v>1762</v>
      </c>
      <c r="C6" s="22" t="s">
        <v>35</v>
      </c>
      <c r="D6" s="22"/>
      <c r="E6" s="22"/>
      <c r="F6" s="22" t="s">
        <v>1763</v>
      </c>
      <c r="G6" s="22" t="s">
        <v>1764</v>
      </c>
      <c r="H6" s="22" t="s">
        <v>1765</v>
      </c>
      <c r="I6" s="22" t="s">
        <v>1766</v>
      </c>
      <c r="J6" s="23"/>
      <c r="K6" s="35"/>
    </row>
    <row r="7" spans="1:11" ht="45">
      <c r="A7" s="40">
        <v>5</v>
      </c>
      <c r="B7" s="26" t="s">
        <v>1767</v>
      </c>
      <c r="C7" s="22" t="s">
        <v>32</v>
      </c>
      <c r="D7" s="22" t="s">
        <v>30</v>
      </c>
      <c r="E7" s="22"/>
      <c r="F7" s="22" t="s">
        <v>1768</v>
      </c>
      <c r="G7" s="22" t="s">
        <v>1769</v>
      </c>
      <c r="H7" s="22" t="s">
        <v>1770</v>
      </c>
      <c r="I7" s="22" t="s">
        <v>1771</v>
      </c>
      <c r="J7" s="22" t="s">
        <v>1772</v>
      </c>
      <c r="K7" s="33" t="s">
        <v>1773</v>
      </c>
    </row>
    <row r="8" spans="1:11" ht="30">
      <c r="A8" s="40">
        <v>6</v>
      </c>
      <c r="B8" s="26" t="s">
        <v>1723</v>
      </c>
      <c r="C8" s="22" t="s">
        <v>32</v>
      </c>
      <c r="D8" s="22"/>
      <c r="E8" s="22"/>
      <c r="F8" s="22" t="s">
        <v>46</v>
      </c>
      <c r="G8" s="22" t="s">
        <v>1774</v>
      </c>
      <c r="H8" s="22" t="s">
        <v>1775</v>
      </c>
      <c r="I8" s="22"/>
      <c r="J8" s="23"/>
      <c r="K8" s="35"/>
    </row>
    <row r="9" spans="1:11" ht="30">
      <c r="A9" s="40">
        <v>7</v>
      </c>
      <c r="B9" s="99" t="s">
        <v>1717</v>
      </c>
      <c r="C9" s="22" t="s">
        <v>74</v>
      </c>
      <c r="D9" s="22"/>
      <c r="E9" s="22"/>
      <c r="F9" s="22" t="s">
        <v>46</v>
      </c>
      <c r="G9" s="22" t="s">
        <v>1776</v>
      </c>
      <c r="H9" s="22" t="s">
        <v>65</v>
      </c>
      <c r="I9" s="22"/>
      <c r="J9" s="23"/>
      <c r="K9" s="35"/>
    </row>
    <row r="10" spans="1:11">
      <c r="A10" s="40">
        <v>8</v>
      </c>
      <c r="B10" s="26" t="s">
        <v>1698</v>
      </c>
      <c r="C10" s="22" t="s">
        <v>47</v>
      </c>
      <c r="D10" s="22"/>
      <c r="E10" s="22"/>
      <c r="F10" s="22" t="s">
        <v>1777</v>
      </c>
      <c r="G10" s="22" t="s">
        <v>1778</v>
      </c>
      <c r="H10" s="22"/>
      <c r="I10" s="22"/>
      <c r="J10" s="23"/>
      <c r="K10" s="35"/>
    </row>
    <row r="11" spans="1:11" ht="30">
      <c r="A11" s="40">
        <v>9</v>
      </c>
      <c r="B11" s="26" t="s">
        <v>1699</v>
      </c>
      <c r="C11" s="22" t="s">
        <v>32</v>
      </c>
      <c r="D11" s="22"/>
      <c r="E11" s="22"/>
      <c r="F11" s="22" t="s">
        <v>1779</v>
      </c>
      <c r="G11" s="22" t="s">
        <v>1780</v>
      </c>
      <c r="H11" s="22" t="s">
        <v>1781</v>
      </c>
      <c r="I11" s="22" t="s">
        <v>1782</v>
      </c>
      <c r="J11" s="23"/>
      <c r="K11" s="35"/>
    </row>
    <row r="12" spans="1:11" ht="30">
      <c r="A12" s="40">
        <v>10</v>
      </c>
      <c r="B12" s="26" t="s">
        <v>1706</v>
      </c>
      <c r="C12" s="22" t="s">
        <v>30</v>
      </c>
      <c r="D12" s="22"/>
      <c r="E12" s="22"/>
      <c r="F12" s="22" t="s">
        <v>1783</v>
      </c>
      <c r="G12" s="22" t="s">
        <v>1784</v>
      </c>
      <c r="H12" s="22" t="s">
        <v>1785</v>
      </c>
      <c r="I12" s="22" t="s">
        <v>1786</v>
      </c>
      <c r="J12" s="23"/>
      <c r="K12" s="35"/>
    </row>
    <row r="13" spans="1:11" ht="45">
      <c r="A13" s="40">
        <v>11</v>
      </c>
      <c r="B13" s="26" t="s">
        <v>1715</v>
      </c>
      <c r="C13" s="22" t="s">
        <v>30</v>
      </c>
      <c r="D13" s="22" t="s">
        <v>35</v>
      </c>
      <c r="E13" s="22"/>
      <c r="F13" s="22" t="s">
        <v>1787</v>
      </c>
      <c r="G13" s="22" t="s">
        <v>1788</v>
      </c>
      <c r="H13" s="22" t="s">
        <v>1789</v>
      </c>
      <c r="I13" s="22" t="s">
        <v>1790</v>
      </c>
      <c r="J13" s="23"/>
      <c r="K13" s="35"/>
    </row>
    <row r="14" spans="1:11" ht="30">
      <c r="A14" s="40">
        <v>12</v>
      </c>
      <c r="B14" s="26" t="s">
        <v>1711</v>
      </c>
      <c r="C14" s="22" t="s">
        <v>30</v>
      </c>
      <c r="D14" s="22" t="s">
        <v>35</v>
      </c>
      <c r="E14" s="22"/>
      <c r="F14" s="22" t="s">
        <v>1791</v>
      </c>
      <c r="G14" s="22" t="s">
        <v>1792</v>
      </c>
      <c r="H14" s="22" t="s">
        <v>1793</v>
      </c>
      <c r="I14" s="22"/>
      <c r="J14" s="23"/>
      <c r="K14" s="35"/>
    </row>
    <row r="15" spans="1:11" ht="30">
      <c r="A15" s="40">
        <v>13</v>
      </c>
      <c r="B15" s="26" t="s">
        <v>1724</v>
      </c>
      <c r="C15" s="22" t="s">
        <v>30</v>
      </c>
      <c r="D15" s="22" t="s">
        <v>35</v>
      </c>
      <c r="E15" s="22" t="s">
        <v>32</v>
      </c>
      <c r="F15" s="22" t="s">
        <v>1794</v>
      </c>
      <c r="G15" s="22" t="s">
        <v>1795</v>
      </c>
      <c r="H15" s="22" t="s">
        <v>1796</v>
      </c>
      <c r="I15" s="22"/>
      <c r="J15" s="23"/>
      <c r="K15" s="35"/>
    </row>
    <row r="16" spans="1:11" ht="30">
      <c r="A16" s="40">
        <v>14</v>
      </c>
      <c r="B16" s="26" t="s">
        <v>1705</v>
      </c>
      <c r="C16" s="22" t="s">
        <v>32</v>
      </c>
      <c r="D16" s="22" t="s">
        <v>30</v>
      </c>
      <c r="E16" s="22" t="s">
        <v>35</v>
      </c>
      <c r="F16" s="22" t="s">
        <v>1797</v>
      </c>
      <c r="G16" s="22" t="s">
        <v>1798</v>
      </c>
      <c r="H16" s="22" t="s">
        <v>1799</v>
      </c>
      <c r="I16" s="22"/>
      <c r="J16" s="23"/>
      <c r="K16" s="35"/>
    </row>
    <row r="17" spans="1:11" ht="30">
      <c r="A17" s="40">
        <v>15</v>
      </c>
      <c r="B17" s="26" t="s">
        <v>1707</v>
      </c>
      <c r="C17" s="22" t="s">
        <v>35</v>
      </c>
      <c r="D17" s="22" t="s">
        <v>30</v>
      </c>
      <c r="E17" s="22"/>
      <c r="F17" s="22" t="s">
        <v>1800</v>
      </c>
      <c r="G17" s="22" t="s">
        <v>1801</v>
      </c>
      <c r="H17" s="22" t="s">
        <v>1802</v>
      </c>
      <c r="I17" s="22"/>
      <c r="J17" s="23"/>
      <c r="K17" s="35"/>
    </row>
    <row r="18" spans="1:11" ht="30">
      <c r="A18" s="40">
        <v>16</v>
      </c>
      <c r="B18" s="26" t="s">
        <v>1725</v>
      </c>
      <c r="C18" s="22" t="s">
        <v>35</v>
      </c>
      <c r="D18" s="22" t="s">
        <v>30</v>
      </c>
      <c r="E18" s="22"/>
      <c r="F18" s="22" t="s">
        <v>1803</v>
      </c>
      <c r="G18" s="22" t="s">
        <v>1804</v>
      </c>
      <c r="H18" s="22" t="s">
        <v>1805</v>
      </c>
      <c r="I18" s="22"/>
      <c r="J18" s="23"/>
      <c r="K18" s="35"/>
    </row>
    <row r="19" spans="1:11" ht="30">
      <c r="A19" s="40">
        <v>17</v>
      </c>
      <c r="B19" s="26" t="s">
        <v>1700</v>
      </c>
      <c r="C19" s="22" t="s">
        <v>35</v>
      </c>
      <c r="D19" s="22" t="s">
        <v>30</v>
      </c>
      <c r="E19" s="22"/>
      <c r="F19" s="22" t="s">
        <v>1806</v>
      </c>
      <c r="G19" s="22" t="s">
        <v>1807</v>
      </c>
      <c r="H19" s="22" t="s">
        <v>1808</v>
      </c>
      <c r="I19" s="22" t="s">
        <v>1809</v>
      </c>
      <c r="J19" s="23"/>
      <c r="K19" s="35"/>
    </row>
    <row r="20" spans="1:11" ht="30">
      <c r="A20" s="40">
        <v>18</v>
      </c>
      <c r="B20" s="26" t="s">
        <v>1712</v>
      </c>
      <c r="C20" s="22" t="s">
        <v>35</v>
      </c>
      <c r="D20" s="22" t="s">
        <v>30</v>
      </c>
      <c r="E20" s="22" t="s">
        <v>32</v>
      </c>
      <c r="F20" s="22" t="s">
        <v>1810</v>
      </c>
      <c r="G20" s="22" t="s">
        <v>1811</v>
      </c>
      <c r="H20" s="22"/>
      <c r="I20" s="22"/>
      <c r="J20" s="23"/>
      <c r="K20" s="35"/>
    </row>
    <row r="21" spans="1:11">
      <c r="A21" s="40">
        <v>19</v>
      </c>
      <c r="B21" s="26" t="s">
        <v>1812</v>
      </c>
      <c r="C21" s="22" t="s">
        <v>30</v>
      </c>
      <c r="D21" s="22" t="s">
        <v>35</v>
      </c>
      <c r="E21" s="22"/>
      <c r="F21" s="22" t="s">
        <v>1813</v>
      </c>
      <c r="G21" s="22" t="s">
        <v>1814</v>
      </c>
      <c r="H21" s="22" t="s">
        <v>1815</v>
      </c>
      <c r="I21" s="22"/>
      <c r="J21" s="23"/>
      <c r="K21" s="35"/>
    </row>
    <row r="22" spans="1:11" ht="15.75" thickBot="1">
      <c r="A22" s="41">
        <v>20</v>
      </c>
      <c r="B22" s="105" t="s">
        <v>1716</v>
      </c>
      <c r="C22" s="37" t="s">
        <v>74</v>
      </c>
      <c r="D22" s="37"/>
      <c r="E22" s="37"/>
      <c r="F22" s="37" t="s">
        <v>1816</v>
      </c>
      <c r="G22" s="37" t="s">
        <v>1817</v>
      </c>
      <c r="H22" s="37"/>
      <c r="I22" s="37"/>
      <c r="J22" s="38"/>
      <c r="K22" s="42"/>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
  <sheetViews>
    <sheetView showGridLines="0" zoomScale="96" zoomScaleNormal="96" workbookViewId="0">
      <selection activeCell="B6" sqref="B6"/>
    </sheetView>
  </sheetViews>
  <sheetFormatPr defaultRowHeight="15"/>
  <cols>
    <col min="1" max="1" width="17.140625" customWidth="1"/>
    <col min="2" max="2" width="69.42578125" customWidth="1"/>
    <col min="3" max="3" width="3.140625" customWidth="1"/>
    <col min="4" max="7" width="31.85546875" customWidth="1"/>
    <col min="8" max="8" width="35.7109375" customWidth="1"/>
    <col min="9" max="10" width="31.85546875" customWidth="1"/>
  </cols>
  <sheetData>
    <row r="1" spans="1:10" ht="37.5">
      <c r="A1" s="116" t="s">
        <v>1818</v>
      </c>
      <c r="B1" s="31" t="s">
        <v>1819</v>
      </c>
      <c r="D1" s="29" t="s">
        <v>1655</v>
      </c>
      <c r="E1" s="30" t="s">
        <v>1820</v>
      </c>
      <c r="F1" s="30" t="s">
        <v>1821</v>
      </c>
      <c r="G1" s="30" t="s">
        <v>1822</v>
      </c>
      <c r="H1" s="30" t="s">
        <v>1823</v>
      </c>
      <c r="I1" s="30" t="s">
        <v>1824</v>
      </c>
      <c r="J1" s="31" t="s">
        <v>1825</v>
      </c>
    </row>
    <row r="2" spans="1:10">
      <c r="A2" s="106">
        <v>1</v>
      </c>
      <c r="B2" s="107" t="s">
        <v>1826</v>
      </c>
      <c r="D2" s="32" t="s">
        <v>1674</v>
      </c>
      <c r="E2" s="110">
        <v>1</v>
      </c>
      <c r="F2" s="102"/>
      <c r="G2" s="102"/>
      <c r="H2" s="102"/>
      <c r="I2" s="102"/>
      <c r="J2" s="112"/>
    </row>
    <row r="3" spans="1:10" ht="30">
      <c r="A3" s="106">
        <v>2</v>
      </c>
      <c r="B3" s="107" t="s">
        <v>1827</v>
      </c>
      <c r="D3" s="34">
        <v>0.1</v>
      </c>
      <c r="E3" s="110">
        <v>1</v>
      </c>
      <c r="F3" s="23"/>
      <c r="G3" s="23"/>
      <c r="H3" s="23"/>
      <c r="I3" s="23"/>
      <c r="J3" s="35"/>
    </row>
    <row r="4" spans="1:10" ht="45">
      <c r="A4" s="106">
        <v>3</v>
      </c>
      <c r="B4" s="107" t="s">
        <v>1828</v>
      </c>
      <c r="D4" s="34">
        <v>0.2</v>
      </c>
      <c r="E4" s="110">
        <v>1</v>
      </c>
      <c r="F4" s="103"/>
      <c r="G4" s="103"/>
      <c r="H4" s="103"/>
      <c r="I4" s="103"/>
      <c r="J4" s="113"/>
    </row>
    <row r="5" spans="1:10" ht="30">
      <c r="A5" s="106">
        <v>4</v>
      </c>
      <c r="B5" s="107" t="s">
        <v>1829</v>
      </c>
      <c r="D5" s="34">
        <v>0.3</v>
      </c>
      <c r="E5" s="110">
        <v>1</v>
      </c>
      <c r="F5" s="103"/>
      <c r="G5" s="103"/>
      <c r="H5" s="103"/>
      <c r="I5" s="103"/>
      <c r="J5" s="113"/>
    </row>
    <row r="6" spans="1:10" ht="30">
      <c r="A6" s="106">
        <v>5</v>
      </c>
      <c r="B6" s="107" t="s">
        <v>1830</v>
      </c>
      <c r="D6" s="34">
        <v>0.4</v>
      </c>
      <c r="E6" s="110">
        <v>1</v>
      </c>
      <c r="F6" s="23"/>
      <c r="G6" s="23" t="s">
        <v>1831</v>
      </c>
      <c r="H6" s="23"/>
      <c r="I6" s="23"/>
      <c r="J6" s="35"/>
    </row>
    <row r="7" spans="1:10" ht="30">
      <c r="A7" s="106">
        <v>6</v>
      </c>
      <c r="B7" s="107" t="s">
        <v>1832</v>
      </c>
      <c r="D7" s="34">
        <v>0.5</v>
      </c>
      <c r="E7" s="110">
        <v>1</v>
      </c>
      <c r="F7" s="103"/>
      <c r="G7" s="23" t="s">
        <v>1831</v>
      </c>
      <c r="H7" s="23"/>
      <c r="I7" s="23"/>
      <c r="J7" s="35"/>
    </row>
    <row r="8" spans="1:10" ht="30">
      <c r="A8" s="106">
        <v>7</v>
      </c>
      <c r="B8" s="107" t="s">
        <v>1833</v>
      </c>
      <c r="D8" s="34">
        <v>0.6</v>
      </c>
      <c r="E8" s="110">
        <v>1</v>
      </c>
      <c r="F8" s="103"/>
      <c r="G8" s="23" t="s">
        <v>1831</v>
      </c>
      <c r="H8" s="22" t="s">
        <v>1834</v>
      </c>
      <c r="I8" s="22" t="s">
        <v>1835</v>
      </c>
      <c r="J8" s="35"/>
    </row>
    <row r="9" spans="1:10" ht="30">
      <c r="A9" s="106">
        <v>8</v>
      </c>
      <c r="B9" s="107" t="s">
        <v>1836</v>
      </c>
      <c r="D9" s="34">
        <v>0.7</v>
      </c>
      <c r="E9" s="110">
        <v>1</v>
      </c>
      <c r="F9" s="103"/>
      <c r="G9" s="23" t="s">
        <v>1831</v>
      </c>
      <c r="H9" s="22" t="s">
        <v>1834</v>
      </c>
      <c r="I9" s="22" t="s">
        <v>1835</v>
      </c>
      <c r="J9" s="35">
        <v>7</v>
      </c>
    </row>
    <row r="10" spans="1:10" ht="30.75" thickBot="1">
      <c r="A10" s="108">
        <v>9</v>
      </c>
      <c r="B10" s="109" t="s">
        <v>1837</v>
      </c>
      <c r="D10" s="34">
        <v>0.8</v>
      </c>
      <c r="E10" s="110">
        <v>1</v>
      </c>
      <c r="F10" s="111" t="s">
        <v>1838</v>
      </c>
      <c r="G10" s="23" t="s">
        <v>1839</v>
      </c>
      <c r="H10" s="22" t="s">
        <v>1834</v>
      </c>
      <c r="I10" s="22" t="s">
        <v>1835</v>
      </c>
      <c r="J10" s="35">
        <v>8</v>
      </c>
    </row>
    <row r="11" spans="1:10" ht="30">
      <c r="D11" s="34">
        <v>0.9</v>
      </c>
      <c r="E11" s="110">
        <v>1</v>
      </c>
      <c r="F11" s="103"/>
      <c r="G11" s="23" t="s">
        <v>1839</v>
      </c>
      <c r="H11" s="22" t="s">
        <v>1834</v>
      </c>
      <c r="I11" s="22" t="s">
        <v>1835</v>
      </c>
      <c r="J11" s="35"/>
    </row>
    <row r="12" spans="1:10" ht="30.75" thickBot="1">
      <c r="D12" s="36">
        <v>0.95</v>
      </c>
      <c r="E12" s="114">
        <v>1</v>
      </c>
      <c r="F12" s="115"/>
      <c r="G12" s="38" t="s">
        <v>1839</v>
      </c>
      <c r="H12" s="37" t="s">
        <v>1834</v>
      </c>
      <c r="I12" s="37" t="s">
        <v>1835</v>
      </c>
      <c r="J12" s="42">
        <v>9</v>
      </c>
    </row>
    <row r="20" spans="2:2">
      <c r="B20" s="6"/>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626"/>
  <sheetViews>
    <sheetView topLeftCell="AF1" workbookViewId="0">
      <selection activeCell="AI3" sqref="AI3"/>
    </sheetView>
  </sheetViews>
  <sheetFormatPr defaultRowHeight="15"/>
  <cols>
    <col min="2" max="2" width="16" customWidth="1"/>
    <col min="3" max="4" width="27.28515625" style="6" customWidth="1"/>
    <col min="7" max="7" width="18.7109375" customWidth="1"/>
    <col min="8" max="8" width="16" customWidth="1"/>
    <col min="17" max="17" width="21.42578125" customWidth="1"/>
    <col min="20" max="20" width="35.5703125" customWidth="1"/>
    <col min="25" max="25" width="18.85546875" customWidth="1"/>
    <col min="27" max="27" width="18.140625" customWidth="1"/>
    <col min="41" max="41" width="10" bestFit="1" customWidth="1"/>
    <col min="42" max="42" width="38.5703125" customWidth="1"/>
    <col min="46" max="46" width="34.140625" style="6" customWidth="1"/>
    <col min="47" max="47" width="19.140625" style="6" customWidth="1"/>
    <col min="48" max="48" width="16.85546875" style="6" customWidth="1"/>
    <col min="49" max="49" width="15.7109375" style="6" customWidth="1"/>
  </cols>
  <sheetData>
    <row r="1" spans="1:49">
      <c r="A1">
        <v>1</v>
      </c>
      <c r="B1">
        <v>2</v>
      </c>
      <c r="C1" s="6">
        <v>3</v>
      </c>
      <c r="D1">
        <v>4</v>
      </c>
      <c r="E1">
        <v>5</v>
      </c>
      <c r="F1" s="6">
        <v>6</v>
      </c>
      <c r="G1">
        <v>7</v>
      </c>
      <c r="H1">
        <v>8</v>
      </c>
      <c r="I1" s="6">
        <v>9</v>
      </c>
      <c r="J1">
        <v>10</v>
      </c>
      <c r="K1">
        <v>11</v>
      </c>
      <c r="L1" s="6">
        <v>12</v>
      </c>
      <c r="M1">
        <v>13</v>
      </c>
      <c r="N1">
        <v>14</v>
      </c>
      <c r="O1" s="6">
        <v>15</v>
      </c>
      <c r="P1">
        <v>16</v>
      </c>
      <c r="Q1">
        <v>17</v>
      </c>
      <c r="R1" s="6">
        <v>18</v>
      </c>
      <c r="S1">
        <v>19</v>
      </c>
      <c r="T1">
        <v>20</v>
      </c>
      <c r="U1" s="6">
        <v>21</v>
      </c>
      <c r="V1">
        <v>22</v>
      </c>
      <c r="W1">
        <v>23</v>
      </c>
      <c r="X1" s="6">
        <v>24</v>
      </c>
      <c r="Y1">
        <v>25</v>
      </c>
      <c r="Z1">
        <v>26</v>
      </c>
      <c r="AA1" s="6">
        <v>27</v>
      </c>
      <c r="AB1">
        <v>28</v>
      </c>
      <c r="AC1">
        <v>29</v>
      </c>
      <c r="AD1" s="6">
        <v>30</v>
      </c>
      <c r="AE1">
        <v>31</v>
      </c>
      <c r="AF1">
        <v>32</v>
      </c>
      <c r="AG1" s="6">
        <v>33</v>
      </c>
      <c r="AH1">
        <v>34</v>
      </c>
      <c r="AI1">
        <v>35</v>
      </c>
      <c r="AJ1" s="6">
        <v>36</v>
      </c>
      <c r="AK1">
        <v>37</v>
      </c>
      <c r="AL1" s="6">
        <v>39</v>
      </c>
      <c r="AN1">
        <v>40</v>
      </c>
      <c r="AO1">
        <v>41</v>
      </c>
      <c r="AP1" s="6">
        <v>42</v>
      </c>
      <c r="AQ1">
        <v>43</v>
      </c>
      <c r="AR1">
        <v>44</v>
      </c>
      <c r="AS1" s="6">
        <v>45</v>
      </c>
      <c r="AT1" s="6">
        <v>51</v>
      </c>
      <c r="AU1" s="6">
        <v>52</v>
      </c>
    </row>
    <row r="2" spans="1:49" ht="225">
      <c r="A2" s="1">
        <v>41363</v>
      </c>
      <c r="B2" t="str">
        <f>VLOOKUP(A2,$N$2:$Q$206,4,FALSE)</f>
        <v>8L97IR76985-13</v>
      </c>
      <c r="C2" s="6" t="str">
        <f>VLOOKUP(A2,$N$2:$T$206,7,FALSE)</f>
        <v>ATSDRS PROGRAM TO PROMOTE LOCALIZED EFFORTS TO REDUCE ENVIRONMENTAL
EXPOSURE (APPLETREE)</v>
      </c>
      <c r="D2" s="6" t="str">
        <f>VLOOKUP(A2,$N$2:$W$206,10,FALSE)</f>
        <v>NEW YORK DEPARTMENT  OF HEALTH</v>
      </c>
      <c r="E2">
        <f>VLOOKUP(A2,$N$2:$U$206,8,FALSE)</f>
        <v>17969718</v>
      </c>
      <c r="F2" t="str">
        <f>VLOOKUP(A2,$N$2:$X$206,11,FALSE)</f>
        <v>CDC</v>
      </c>
      <c r="G2" t="str">
        <f>VLOOKUP(A2,$N$2:$Y$206,12,FALSE)</f>
        <v>63-6001138</v>
      </c>
      <c r="H2">
        <f ca="1">VLOOKUP(A2,$N$2:$AA$206,14,FALSE)</f>
        <v>894023</v>
      </c>
      <c r="I2" t="str">
        <f>VLOOKUP(A2,$N$2:$AB$206,15,FALSE)</f>
        <v>Annual</v>
      </c>
      <c r="N2" s="1">
        <v>41363</v>
      </c>
      <c r="Q2" s="1" t="s">
        <v>88</v>
      </c>
      <c r="T2" s="50" t="s">
        <v>1840</v>
      </c>
      <c r="U2">
        <v>17969718</v>
      </c>
      <c r="V2" s="10" t="s">
        <v>84</v>
      </c>
      <c r="W2" s="10" t="s">
        <v>84</v>
      </c>
      <c r="X2" t="s">
        <v>86</v>
      </c>
      <c r="Y2" s="1" t="s">
        <v>82</v>
      </c>
      <c r="AA2" s="88">
        <f ca="1">RANDBETWEEN(750000,1000000)</f>
        <v>894023</v>
      </c>
      <c r="AB2" t="s">
        <v>81</v>
      </c>
      <c r="AE2" s="46">
        <v>41363</v>
      </c>
      <c r="AF2" s="24" t="s">
        <v>85</v>
      </c>
      <c r="AI2" s="1">
        <v>41363</v>
      </c>
      <c r="AJ2" s="1" t="s">
        <v>85</v>
      </c>
      <c r="AK2" s="1" t="str">
        <f>IF(ISNUMBER(SEARCH("C",AJ2)),"Y","")</f>
        <v/>
      </c>
      <c r="AL2" t="b">
        <f>OR(LEN(AJ2)=0, ISBLANK(AJ2))</f>
        <v>0</v>
      </c>
      <c r="AM2" s="49" t="str">
        <f>IF(ISNUMBER(SEARCH("C",AJ2)),"A",IF(ISNUMBER(SEARCH("B",AJ2)),"Q",IF(ISNUMBER(SEARCH("FALSE",AL2)),"Q","Q")))</f>
        <v>Q</v>
      </c>
      <c r="AN2" t="b">
        <f>OR(LEN(AJ2)=0, ISBLANK(AJ2))</f>
        <v>0</v>
      </c>
      <c r="AO2" s="93"/>
      <c r="AP2" s="10" t="s">
        <v>97</v>
      </c>
      <c r="AS2" t="s">
        <v>1841</v>
      </c>
      <c r="AT2" s="6" t="s">
        <v>97</v>
      </c>
      <c r="AU2" s="6" t="str">
        <f>IF(LEN(AS2)&gt;0, AT2,"")</f>
        <v>The errors in accounting will be corrected. The accounting policy suggested will be followed. The financials will be recalculated based on the revised accounting policies and submitted.</v>
      </c>
      <c r="AV2" s="6" t="s">
        <v>96</v>
      </c>
      <c r="AW2" s="6" t="str">
        <f>IF(LEN(AS2)&gt;0, AV2,"")</f>
        <v>Change in accounting practice</v>
      </c>
    </row>
    <row r="3" spans="1:49" ht="135">
      <c r="A3" s="1">
        <v>41363</v>
      </c>
      <c r="B3" t="str">
        <f t="shared" ref="B3:B66" si="0">VLOOKUP(A3,$N$2:$Q$206,4,FALSE)</f>
        <v>8L97IR76985-13</v>
      </c>
      <c r="C3" s="6" t="str">
        <f t="shared" ref="C3:C66" si="1">VLOOKUP(A3,$N$2:$T$206,7,FALSE)</f>
        <v>ATSDRS PROGRAM TO PROMOTE LOCALIZED EFFORTS TO REDUCE ENVIRONMENTAL
EXPOSURE (APPLETREE)</v>
      </c>
      <c r="D3" s="6" t="str">
        <f t="shared" ref="D3:D66" si="2">VLOOKUP(A3,$N$2:$W$206,10,FALSE)</f>
        <v>NEW YORK DEPARTMENT  OF HEALTH</v>
      </c>
      <c r="E3">
        <f t="shared" ref="E3:E66" si="3">VLOOKUP(A3,$N$2:$U$206,8,FALSE)</f>
        <v>17969718</v>
      </c>
      <c r="F3" t="str">
        <f t="shared" ref="F3:F66" si="4">VLOOKUP(A3,$N$2:$X$206,11,FALSE)</f>
        <v>CDC</v>
      </c>
      <c r="G3" t="str">
        <f t="shared" ref="G3:G66" si="5">VLOOKUP(A3,$N$2:$Y$206,12,FALSE)</f>
        <v>63-6001138</v>
      </c>
      <c r="H3">
        <f t="shared" ref="H3:H66" ca="1" si="6">VLOOKUP(A3,$N$2:$AA$206,14,FALSE)</f>
        <v>894023</v>
      </c>
      <c r="I3" t="str">
        <f t="shared" ref="I3:I66" si="7">VLOOKUP(A3,$N$2:$AB$206,15,FALSE)</f>
        <v>Annual</v>
      </c>
      <c r="N3" s="1">
        <v>45482</v>
      </c>
      <c r="Q3" s="1" t="s">
        <v>118</v>
      </c>
      <c r="T3" s="51" t="s">
        <v>1842</v>
      </c>
      <c r="U3">
        <v>17969718</v>
      </c>
      <c r="V3" s="10" t="s">
        <v>116</v>
      </c>
      <c r="W3" s="10" t="s">
        <v>116</v>
      </c>
      <c r="X3" t="s">
        <v>117</v>
      </c>
      <c r="Y3" s="1" t="s">
        <v>114</v>
      </c>
      <c r="AA3" s="88">
        <f t="shared" ref="AA3:AA50" ca="1" si="8">RANDBETWEEN(750000,1000000)</f>
        <v>818265</v>
      </c>
      <c r="AB3" t="s">
        <v>81</v>
      </c>
      <c r="AE3" s="46">
        <v>41363</v>
      </c>
      <c r="AF3" s="24" t="s">
        <v>85</v>
      </c>
      <c r="AI3" s="1">
        <v>41363</v>
      </c>
      <c r="AJ3" s="1" t="s">
        <v>85</v>
      </c>
      <c r="AK3" s="1" t="str">
        <f t="shared" ref="AK3:AK66" si="9">IF(ISNUMBER(SEARCH("C",AJ3)),"Y","")</f>
        <v/>
      </c>
      <c r="AL3" t="b">
        <f t="shared" ref="AL3:AL66" si="10">OR(LEN(AJ3)=0, ISBLANK(AJ3))</f>
        <v>0</v>
      </c>
      <c r="AM3" s="49" t="str">
        <f t="shared" ref="AM3:AM66" si="11">IF(ISNUMBER(SEARCH("C",AJ3)),"A",IF(ISNUMBER(SEARCH("B",AJ3)),"Q",IF(ISNUMBER(SEARCH("FALSE",AL3)),"Q","Q")))</f>
        <v>Q</v>
      </c>
      <c r="AN3" t="b">
        <f t="shared" ref="AN3:AN6" si="12">OR(LEN(AJ3)=0, ISBLANK(AJ3))</f>
        <v>0</v>
      </c>
      <c r="AP3" s="10" t="s">
        <v>327</v>
      </c>
      <c r="AS3" t="s">
        <v>1841</v>
      </c>
      <c r="AT3" s="6" t="s">
        <v>327</v>
      </c>
      <c r="AU3" s="6" t="str">
        <f t="shared" ref="AU3:AU66" si="13">IF(LEN(AS3)&gt;0, AT3,"")</f>
        <v>Cost rate will be followed. The revised rate will be applied from the last audit period and the expenditure recalculated and submitted.</v>
      </c>
      <c r="AV3" s="6" t="s">
        <v>104</v>
      </c>
      <c r="AW3" s="6" t="str">
        <f t="shared" ref="AW3:AW66" si="14">IF(LEN(AS3)&gt;0, AV3,"")</f>
        <v>Cost rate Corrections</v>
      </c>
    </row>
    <row r="4" spans="1:49" ht="90">
      <c r="A4" s="1">
        <v>41363</v>
      </c>
      <c r="B4" t="str">
        <f t="shared" si="0"/>
        <v>8L97IR76985-13</v>
      </c>
      <c r="C4" s="6" t="str">
        <f t="shared" si="1"/>
        <v>ATSDRS PROGRAM TO PROMOTE LOCALIZED EFFORTS TO REDUCE ENVIRONMENTAL
EXPOSURE (APPLETREE)</v>
      </c>
      <c r="D4" s="6" t="str">
        <f t="shared" si="2"/>
        <v>NEW YORK DEPARTMENT  OF HEALTH</v>
      </c>
      <c r="E4">
        <f t="shared" si="3"/>
        <v>17969718</v>
      </c>
      <c r="F4" t="str">
        <f t="shared" si="4"/>
        <v>CDC</v>
      </c>
      <c r="G4" t="str">
        <f t="shared" si="5"/>
        <v>63-6001138</v>
      </c>
      <c r="H4">
        <f t="shared" ca="1" si="6"/>
        <v>894023</v>
      </c>
      <c r="I4" t="str">
        <f t="shared" si="7"/>
        <v>Annual</v>
      </c>
      <c r="N4" s="1">
        <v>53526</v>
      </c>
      <c r="Q4" s="1" t="s">
        <v>133</v>
      </c>
      <c r="T4" s="52" t="s">
        <v>1843</v>
      </c>
      <c r="U4">
        <v>14405873</v>
      </c>
      <c r="V4" s="10" t="s">
        <v>131</v>
      </c>
      <c r="W4" s="10" t="s">
        <v>131</v>
      </c>
      <c r="X4" t="s">
        <v>132</v>
      </c>
      <c r="Y4" s="1" t="s">
        <v>129</v>
      </c>
      <c r="AA4" s="88">
        <f t="shared" ca="1" si="8"/>
        <v>875678</v>
      </c>
      <c r="AB4" t="s">
        <v>81</v>
      </c>
      <c r="AE4" s="89">
        <v>41363</v>
      </c>
      <c r="AF4" s="90" t="s">
        <v>425</v>
      </c>
      <c r="AI4" s="1">
        <v>41363</v>
      </c>
      <c r="AJ4" s="1" t="s">
        <v>85</v>
      </c>
      <c r="AK4" s="1" t="str">
        <f t="shared" si="9"/>
        <v/>
      </c>
      <c r="AL4" t="b">
        <f t="shared" si="10"/>
        <v>0</v>
      </c>
      <c r="AM4" s="49" t="str">
        <f t="shared" si="11"/>
        <v>Q</v>
      </c>
      <c r="AN4" t="b">
        <f t="shared" si="12"/>
        <v>0</v>
      </c>
      <c r="AP4" s="10" t="s">
        <v>113</v>
      </c>
      <c r="AS4" t="s">
        <v>1841</v>
      </c>
      <c r="AT4" s="6" t="s">
        <v>113</v>
      </c>
      <c r="AU4" s="6" t="str">
        <f t="shared" si="13"/>
        <v>Loan accounts will be reviewed and appropriate amendments will be made and submitted</v>
      </c>
      <c r="AV4" s="6" t="s">
        <v>112</v>
      </c>
      <c r="AW4" s="6" t="str">
        <f t="shared" si="14"/>
        <v>Loan accountsrecalculation</v>
      </c>
    </row>
    <row r="5" spans="1:49" ht="105">
      <c r="A5" s="1">
        <v>45482</v>
      </c>
      <c r="B5" t="str">
        <f t="shared" si="0"/>
        <v>9T99BT76986-11</v>
      </c>
      <c r="C5" s="6" t="str">
        <f t="shared" si="1"/>
        <v>UCI PFAS HEALTH STUDY</v>
      </c>
      <c r="D5" s="6" t="str">
        <f t="shared" si="2"/>
        <v>HEALTH RESEARCH, INC - ALBANY DIVISION</v>
      </c>
      <c r="E5">
        <f t="shared" si="3"/>
        <v>17969718</v>
      </c>
      <c r="F5" t="str">
        <f t="shared" si="4"/>
        <v>NIH</v>
      </c>
      <c r="G5" t="str">
        <f t="shared" si="5"/>
        <v>63-6001139</v>
      </c>
      <c r="H5">
        <f t="shared" ca="1" si="6"/>
        <v>818265</v>
      </c>
      <c r="I5" t="str">
        <f t="shared" si="7"/>
        <v>Annual</v>
      </c>
      <c r="N5" s="1">
        <v>58675</v>
      </c>
      <c r="Q5" s="1" t="s">
        <v>151</v>
      </c>
      <c r="T5" s="53" t="s">
        <v>1844</v>
      </c>
      <c r="U5">
        <v>14405873</v>
      </c>
      <c r="V5" s="10" t="s">
        <v>149</v>
      </c>
      <c r="W5" s="10" t="s">
        <v>149</v>
      </c>
      <c r="X5" t="s">
        <v>150</v>
      </c>
      <c r="Y5" s="1" t="s">
        <v>147</v>
      </c>
      <c r="AA5" s="88">
        <f t="shared" ca="1" si="8"/>
        <v>803155</v>
      </c>
      <c r="AB5" t="s">
        <v>81</v>
      </c>
      <c r="AE5" s="46">
        <v>79267</v>
      </c>
      <c r="AF5" s="24" t="s">
        <v>85</v>
      </c>
      <c r="AI5" s="1">
        <v>45482</v>
      </c>
      <c r="AJ5" s="1"/>
      <c r="AK5" s="1" t="str">
        <f t="shared" si="9"/>
        <v/>
      </c>
      <c r="AL5" t="b">
        <f t="shared" si="10"/>
        <v>1</v>
      </c>
      <c r="AM5" s="49" t="str">
        <f t="shared" si="11"/>
        <v>Q</v>
      </c>
      <c r="AN5" t="b">
        <f t="shared" si="12"/>
        <v>1</v>
      </c>
      <c r="AP5" s="10" t="s">
        <v>97</v>
      </c>
      <c r="AS5" t="s">
        <v>119</v>
      </c>
      <c r="AT5" s="6" t="s">
        <v>97</v>
      </c>
      <c r="AU5" s="6" t="str">
        <f t="shared" si="13"/>
        <v/>
      </c>
      <c r="AV5" s="6" t="s">
        <v>96</v>
      </c>
      <c r="AW5" s="6" t="str">
        <f t="shared" si="14"/>
        <v/>
      </c>
    </row>
    <row r="6" spans="1:49" ht="75">
      <c r="A6" s="1">
        <v>45482</v>
      </c>
      <c r="B6" t="str">
        <f t="shared" si="0"/>
        <v>9T99BT76986-11</v>
      </c>
      <c r="C6" s="6" t="str">
        <f t="shared" si="1"/>
        <v>UCI PFAS HEALTH STUDY</v>
      </c>
      <c r="D6" s="6" t="str">
        <f t="shared" si="2"/>
        <v>HEALTH RESEARCH, INC - ALBANY DIVISION</v>
      </c>
      <c r="E6">
        <f t="shared" si="3"/>
        <v>17969718</v>
      </c>
      <c r="F6" t="str">
        <f t="shared" si="4"/>
        <v>NIH</v>
      </c>
      <c r="G6" t="str">
        <f t="shared" si="5"/>
        <v>63-6001139</v>
      </c>
      <c r="H6">
        <f t="shared" ca="1" si="6"/>
        <v>818265</v>
      </c>
      <c r="I6" t="str">
        <f t="shared" si="7"/>
        <v>Annual</v>
      </c>
      <c r="N6" s="1">
        <v>60493</v>
      </c>
      <c r="Q6" s="1" t="s">
        <v>166</v>
      </c>
      <c r="T6" s="54" t="s">
        <v>1845</v>
      </c>
      <c r="U6">
        <v>14405873</v>
      </c>
      <c r="V6" s="10" t="s">
        <v>165</v>
      </c>
      <c r="W6" s="10" t="s">
        <v>165</v>
      </c>
      <c r="X6" t="s">
        <v>86</v>
      </c>
      <c r="Y6" s="1" t="s">
        <v>163</v>
      </c>
      <c r="AA6" s="88">
        <f t="shared" ca="1" si="8"/>
        <v>793392</v>
      </c>
      <c r="AB6" t="s">
        <v>81</v>
      </c>
      <c r="AE6" s="89">
        <v>79338</v>
      </c>
      <c r="AF6" s="90" t="s">
        <v>304</v>
      </c>
      <c r="AI6" s="1">
        <v>45482</v>
      </c>
      <c r="AJ6" s="1"/>
      <c r="AK6" s="1" t="str">
        <f t="shared" si="9"/>
        <v/>
      </c>
      <c r="AL6" t="b">
        <f t="shared" si="10"/>
        <v>1</v>
      </c>
      <c r="AM6" s="49" t="str">
        <f t="shared" si="11"/>
        <v>Q</v>
      </c>
      <c r="AN6" t="b">
        <f t="shared" si="12"/>
        <v>1</v>
      </c>
      <c r="AP6" s="10" t="s">
        <v>327</v>
      </c>
      <c r="AS6" t="s">
        <v>119</v>
      </c>
      <c r="AT6" s="6" t="s">
        <v>327</v>
      </c>
      <c r="AU6" s="6" t="str">
        <f t="shared" si="13"/>
        <v/>
      </c>
      <c r="AV6" s="6" t="s">
        <v>104</v>
      </c>
      <c r="AW6" s="6" t="str">
        <f t="shared" si="14"/>
        <v/>
      </c>
    </row>
    <row r="7" spans="1:49" ht="90">
      <c r="A7" s="1">
        <v>45482</v>
      </c>
      <c r="B7" t="str">
        <f t="shared" si="0"/>
        <v>9T99BT76986-11</v>
      </c>
      <c r="C7" s="6" t="str">
        <f t="shared" si="1"/>
        <v>UCI PFAS HEALTH STUDY</v>
      </c>
      <c r="D7" s="6" t="str">
        <f t="shared" si="2"/>
        <v>HEALTH RESEARCH, INC - ALBANY DIVISION</v>
      </c>
      <c r="E7">
        <f t="shared" si="3"/>
        <v>17969718</v>
      </c>
      <c r="F7" t="str">
        <f t="shared" si="4"/>
        <v>NIH</v>
      </c>
      <c r="G7" t="str">
        <f t="shared" si="5"/>
        <v>63-6001139</v>
      </c>
      <c r="H7">
        <f t="shared" ca="1" si="6"/>
        <v>818265</v>
      </c>
      <c r="I7" t="str">
        <f t="shared" si="7"/>
        <v>Annual</v>
      </c>
      <c r="N7" s="1">
        <v>61898</v>
      </c>
      <c r="Q7" s="1" t="s">
        <v>181</v>
      </c>
      <c r="T7" s="52" t="s">
        <v>1843</v>
      </c>
      <c r="U7">
        <v>18877619</v>
      </c>
      <c r="V7" s="10" t="s">
        <v>180</v>
      </c>
      <c r="W7" s="10" t="s">
        <v>180</v>
      </c>
      <c r="X7" t="s">
        <v>117</v>
      </c>
      <c r="Y7" s="1" t="s">
        <v>178</v>
      </c>
      <c r="AA7" s="88">
        <f t="shared" ca="1" si="8"/>
        <v>887373</v>
      </c>
      <c r="AB7" t="s">
        <v>81</v>
      </c>
      <c r="AE7" s="89">
        <v>84136</v>
      </c>
      <c r="AF7" s="90" t="s">
        <v>322</v>
      </c>
      <c r="AI7" s="1">
        <v>45482</v>
      </c>
      <c r="AJ7" s="1"/>
      <c r="AK7" s="1" t="str">
        <f t="shared" si="9"/>
        <v/>
      </c>
      <c r="AL7" t="b">
        <f t="shared" si="10"/>
        <v>1</v>
      </c>
      <c r="AM7" s="49" t="str">
        <f t="shared" si="11"/>
        <v>Q</v>
      </c>
      <c r="AP7" s="10"/>
      <c r="AS7" t="s">
        <v>119</v>
      </c>
      <c r="AT7" s="6" t="s">
        <v>812</v>
      </c>
      <c r="AU7" s="6" t="str">
        <f t="shared" si="13"/>
        <v/>
      </c>
      <c r="AV7" s="6" t="s">
        <v>811</v>
      </c>
      <c r="AW7" s="6" t="str">
        <f t="shared" si="14"/>
        <v/>
      </c>
    </row>
    <row r="8" spans="1:49" ht="90">
      <c r="A8" s="1">
        <v>45482</v>
      </c>
      <c r="B8" t="str">
        <f t="shared" si="0"/>
        <v>9T99BT76986-11</v>
      </c>
      <c r="C8" s="6" t="str">
        <f t="shared" si="1"/>
        <v>UCI PFAS HEALTH STUDY</v>
      </c>
      <c r="D8" s="6" t="str">
        <f t="shared" si="2"/>
        <v>HEALTH RESEARCH, INC - ALBANY DIVISION</v>
      </c>
      <c r="E8">
        <f t="shared" si="3"/>
        <v>17969718</v>
      </c>
      <c r="F8" t="str">
        <f t="shared" si="4"/>
        <v>NIH</v>
      </c>
      <c r="G8" t="str">
        <f t="shared" si="5"/>
        <v>63-6001139</v>
      </c>
      <c r="H8">
        <f t="shared" ca="1" si="6"/>
        <v>818265</v>
      </c>
      <c r="I8" t="str">
        <f t="shared" si="7"/>
        <v>Annual</v>
      </c>
      <c r="N8" s="1">
        <v>65549</v>
      </c>
      <c r="Q8" s="1" t="s">
        <v>201</v>
      </c>
      <c r="T8" s="53" t="s">
        <v>1846</v>
      </c>
      <c r="U8">
        <v>18877619</v>
      </c>
      <c r="V8" s="10" t="s">
        <v>200</v>
      </c>
      <c r="W8" s="10" t="s">
        <v>200</v>
      </c>
      <c r="X8" t="s">
        <v>132</v>
      </c>
      <c r="Y8" s="1" t="s">
        <v>198</v>
      </c>
      <c r="AA8" s="88">
        <f t="shared" ca="1" si="8"/>
        <v>955139</v>
      </c>
      <c r="AB8" t="s">
        <v>81</v>
      </c>
      <c r="AE8" s="89">
        <v>84136</v>
      </c>
      <c r="AF8" s="90" t="s">
        <v>322</v>
      </c>
      <c r="AI8" s="1">
        <v>45482</v>
      </c>
      <c r="AJ8" s="1" t="s">
        <v>119</v>
      </c>
      <c r="AK8" s="1" t="str">
        <f t="shared" si="9"/>
        <v/>
      </c>
      <c r="AL8" t="b">
        <f t="shared" si="10"/>
        <v>1</v>
      </c>
      <c r="AM8" s="49" t="str">
        <f t="shared" si="11"/>
        <v>Q</v>
      </c>
      <c r="AP8" s="10" t="s">
        <v>113</v>
      </c>
      <c r="AS8" t="s">
        <v>119</v>
      </c>
      <c r="AT8" s="6" t="s">
        <v>113</v>
      </c>
      <c r="AU8" s="6" t="str">
        <f t="shared" si="13"/>
        <v/>
      </c>
      <c r="AV8" s="6" t="s">
        <v>112</v>
      </c>
      <c r="AW8" s="6" t="str">
        <f t="shared" si="14"/>
        <v/>
      </c>
    </row>
    <row r="9" spans="1:49" ht="90">
      <c r="A9" s="1">
        <v>53526</v>
      </c>
      <c r="B9" t="str">
        <f t="shared" si="0"/>
        <v>7T82HT87295-99</v>
      </c>
      <c r="C9" s="6" t="str">
        <f t="shared" si="1"/>
        <v>CALIFORNIA CENTER OF BD-STEPS II FINDING CAUSES AND PREVENTIVES OF BIRTH DEFECTS</v>
      </c>
      <c r="D9" s="6" t="str">
        <f t="shared" si="2"/>
        <v>MARCH OF DIMES FOUNDATION</v>
      </c>
      <c r="E9">
        <f t="shared" si="3"/>
        <v>14405873</v>
      </c>
      <c r="F9" t="str">
        <f t="shared" si="4"/>
        <v>FDA</v>
      </c>
      <c r="G9" t="str">
        <f t="shared" si="5"/>
        <v>63-6001140</v>
      </c>
      <c r="H9">
        <f t="shared" ca="1" si="6"/>
        <v>875678</v>
      </c>
      <c r="I9" t="str">
        <f t="shared" si="7"/>
        <v>Annual</v>
      </c>
      <c r="N9" s="1">
        <v>66846</v>
      </c>
      <c r="Q9" s="1" t="s">
        <v>217</v>
      </c>
      <c r="T9" s="52" t="s">
        <v>1847</v>
      </c>
      <c r="U9">
        <v>18877619</v>
      </c>
      <c r="V9" s="10" t="s">
        <v>216</v>
      </c>
      <c r="W9" s="10" t="s">
        <v>216</v>
      </c>
      <c r="X9" t="s">
        <v>150</v>
      </c>
      <c r="Y9" s="1" t="s">
        <v>214</v>
      </c>
      <c r="AA9" s="88">
        <f t="shared" ca="1" si="8"/>
        <v>998203</v>
      </c>
      <c r="AB9" t="s">
        <v>81</v>
      </c>
      <c r="AE9" s="89">
        <v>97793</v>
      </c>
      <c r="AF9" s="90" t="s">
        <v>426</v>
      </c>
      <c r="AI9" s="1">
        <v>53526</v>
      </c>
      <c r="AJ9" s="1" t="s">
        <v>119</v>
      </c>
      <c r="AK9" s="1" t="str">
        <f t="shared" si="9"/>
        <v/>
      </c>
      <c r="AL9" t="b">
        <f t="shared" si="10"/>
        <v>1</v>
      </c>
      <c r="AM9" s="49" t="str">
        <f t="shared" si="11"/>
        <v>Q</v>
      </c>
      <c r="AP9" s="10" t="s">
        <v>97</v>
      </c>
      <c r="AS9" t="s">
        <v>119</v>
      </c>
      <c r="AT9" s="6" t="s">
        <v>97</v>
      </c>
      <c r="AU9" s="6" t="str">
        <f t="shared" si="13"/>
        <v/>
      </c>
      <c r="AV9" s="6" t="s">
        <v>96</v>
      </c>
      <c r="AW9" s="6" t="str">
        <f t="shared" si="14"/>
        <v/>
      </c>
    </row>
    <row r="10" spans="1:49" ht="105">
      <c r="A10" s="1">
        <v>53526</v>
      </c>
      <c r="B10" t="str">
        <f t="shared" si="0"/>
        <v>7T82HT87295-99</v>
      </c>
      <c r="C10" s="6" t="str">
        <f t="shared" si="1"/>
        <v>CALIFORNIA CENTER OF BD-STEPS II FINDING CAUSES AND PREVENTIVES OF BIRTH DEFECTS</v>
      </c>
      <c r="D10" s="6" t="str">
        <f t="shared" si="2"/>
        <v>MARCH OF DIMES FOUNDATION</v>
      </c>
      <c r="E10">
        <f t="shared" si="3"/>
        <v>14405873</v>
      </c>
      <c r="F10" t="str">
        <f t="shared" si="4"/>
        <v>FDA</v>
      </c>
      <c r="G10" t="str">
        <f t="shared" si="5"/>
        <v>63-6001140</v>
      </c>
      <c r="H10">
        <f t="shared" ca="1" si="6"/>
        <v>875678</v>
      </c>
      <c r="I10" t="str">
        <f t="shared" si="7"/>
        <v>Annual</v>
      </c>
      <c r="N10" s="1">
        <v>67316</v>
      </c>
      <c r="Q10" s="1" t="s">
        <v>227</v>
      </c>
      <c r="T10" s="54" t="s">
        <v>1848</v>
      </c>
      <c r="U10">
        <v>9974147</v>
      </c>
      <c r="V10" s="10" t="s">
        <v>226</v>
      </c>
      <c r="W10" s="10" t="s">
        <v>226</v>
      </c>
      <c r="X10" t="s">
        <v>86</v>
      </c>
      <c r="Y10" s="1" t="s">
        <v>224</v>
      </c>
      <c r="AA10" s="88">
        <f t="shared" ca="1" si="8"/>
        <v>755494</v>
      </c>
      <c r="AB10" t="s">
        <v>81</v>
      </c>
      <c r="AE10" s="89">
        <v>98877</v>
      </c>
      <c r="AF10" s="90" t="s">
        <v>445</v>
      </c>
      <c r="AI10" s="1">
        <v>53526</v>
      </c>
      <c r="AJ10" s="1" t="s">
        <v>119</v>
      </c>
      <c r="AK10" s="1" t="str">
        <f t="shared" si="9"/>
        <v/>
      </c>
      <c r="AL10" t="b">
        <f t="shared" si="10"/>
        <v>1</v>
      </c>
      <c r="AM10" s="49" t="str">
        <f t="shared" si="11"/>
        <v>Q</v>
      </c>
      <c r="AP10" s="10" t="s">
        <v>327</v>
      </c>
      <c r="AS10" t="s">
        <v>119</v>
      </c>
      <c r="AT10" s="6" t="s">
        <v>327</v>
      </c>
      <c r="AU10" s="6" t="str">
        <f t="shared" si="13"/>
        <v/>
      </c>
      <c r="AV10" s="6" t="s">
        <v>104</v>
      </c>
      <c r="AW10" s="6" t="str">
        <f t="shared" si="14"/>
        <v/>
      </c>
    </row>
    <row r="11" spans="1:49" ht="90">
      <c r="A11" s="1">
        <v>53526</v>
      </c>
      <c r="B11" t="str">
        <f t="shared" si="0"/>
        <v>7T82HT87295-99</v>
      </c>
      <c r="C11" s="6" t="str">
        <f t="shared" si="1"/>
        <v>CALIFORNIA CENTER OF BD-STEPS II FINDING CAUSES AND PREVENTIVES OF BIRTH DEFECTS</v>
      </c>
      <c r="D11" s="6" t="str">
        <f t="shared" si="2"/>
        <v>MARCH OF DIMES FOUNDATION</v>
      </c>
      <c r="E11">
        <f t="shared" si="3"/>
        <v>14405873</v>
      </c>
      <c r="F11" t="str">
        <f t="shared" si="4"/>
        <v>FDA</v>
      </c>
      <c r="G11" t="str">
        <f t="shared" si="5"/>
        <v>63-6001140</v>
      </c>
      <c r="H11">
        <f t="shared" ca="1" si="6"/>
        <v>875678</v>
      </c>
      <c r="I11" t="str">
        <f t="shared" si="7"/>
        <v>Annual</v>
      </c>
      <c r="N11" s="1">
        <v>67455</v>
      </c>
      <c r="Q11" s="1" t="s">
        <v>242</v>
      </c>
      <c r="T11" s="55" t="s">
        <v>1849</v>
      </c>
      <c r="U11">
        <v>9974147</v>
      </c>
      <c r="V11" s="10" t="s">
        <v>241</v>
      </c>
      <c r="W11" s="10" t="s">
        <v>241</v>
      </c>
      <c r="X11" t="s">
        <v>117</v>
      </c>
      <c r="Y11" s="1" t="s">
        <v>239</v>
      </c>
      <c r="AA11" s="88">
        <f t="shared" ca="1" si="8"/>
        <v>813255</v>
      </c>
      <c r="AB11" t="s">
        <v>81</v>
      </c>
      <c r="AE11" s="89">
        <v>99302</v>
      </c>
      <c r="AF11" s="90" t="s">
        <v>445</v>
      </c>
      <c r="AI11" s="1">
        <v>53526</v>
      </c>
      <c r="AJ11" s="1" t="s">
        <v>119</v>
      </c>
      <c r="AK11" s="1" t="str">
        <f t="shared" si="9"/>
        <v/>
      </c>
      <c r="AL11" t="b">
        <f t="shared" si="10"/>
        <v>1</v>
      </c>
      <c r="AM11" s="49" t="str">
        <f t="shared" si="11"/>
        <v>Q</v>
      </c>
      <c r="AP11" s="10"/>
      <c r="AS11" t="s">
        <v>119</v>
      </c>
      <c r="AT11" s="6" t="s">
        <v>812</v>
      </c>
      <c r="AU11" s="6" t="str">
        <f t="shared" si="13"/>
        <v/>
      </c>
      <c r="AV11" s="6" t="s">
        <v>811</v>
      </c>
      <c r="AW11" s="6" t="str">
        <f t="shared" si="14"/>
        <v/>
      </c>
    </row>
    <row r="12" spans="1:49" ht="60">
      <c r="A12" s="1">
        <v>53526</v>
      </c>
      <c r="B12" t="str">
        <f t="shared" si="0"/>
        <v>7T82HT87295-99</v>
      </c>
      <c r="C12" s="6" t="str">
        <f t="shared" si="1"/>
        <v>CALIFORNIA CENTER OF BD-STEPS II FINDING CAUSES AND PREVENTIVES OF BIRTH DEFECTS</v>
      </c>
      <c r="D12" s="6" t="str">
        <f t="shared" si="2"/>
        <v>MARCH OF DIMES FOUNDATION</v>
      </c>
      <c r="E12">
        <f t="shared" si="3"/>
        <v>14405873</v>
      </c>
      <c r="F12" t="str">
        <f t="shared" si="4"/>
        <v>FDA</v>
      </c>
      <c r="G12" t="str">
        <f t="shared" si="5"/>
        <v>63-6001140</v>
      </c>
      <c r="H12">
        <f t="shared" ca="1" si="6"/>
        <v>875678</v>
      </c>
      <c r="I12" t="str">
        <f t="shared" si="7"/>
        <v>Annual</v>
      </c>
      <c r="N12" s="1">
        <v>70538</v>
      </c>
      <c r="Q12" s="1" t="s">
        <v>253</v>
      </c>
      <c r="T12" s="56" t="s">
        <v>1850</v>
      </c>
      <c r="U12">
        <v>9974147</v>
      </c>
      <c r="V12" s="10" t="s">
        <v>252</v>
      </c>
      <c r="W12" s="10" t="s">
        <v>252</v>
      </c>
      <c r="X12" t="s">
        <v>132</v>
      </c>
      <c r="Y12" s="1" t="s">
        <v>250</v>
      </c>
      <c r="AA12" s="88">
        <f t="shared" ca="1" si="8"/>
        <v>815159</v>
      </c>
      <c r="AB12" t="s">
        <v>81</v>
      </c>
      <c r="AE12" s="89">
        <v>126069</v>
      </c>
      <c r="AF12" s="90" t="s">
        <v>584</v>
      </c>
      <c r="AI12" s="1">
        <v>53526</v>
      </c>
      <c r="AJ12" s="1" t="s">
        <v>119</v>
      </c>
      <c r="AK12" s="1" t="str">
        <f t="shared" si="9"/>
        <v/>
      </c>
      <c r="AL12" t="b">
        <f t="shared" si="10"/>
        <v>1</v>
      </c>
      <c r="AM12" s="49" t="str">
        <f t="shared" si="11"/>
        <v>Q</v>
      </c>
      <c r="AP12" s="10"/>
      <c r="AS12" t="s">
        <v>119</v>
      </c>
      <c r="AT12" s="6" t="s">
        <v>812</v>
      </c>
      <c r="AU12" s="6" t="str">
        <f t="shared" si="13"/>
        <v/>
      </c>
      <c r="AV12" s="6" t="s">
        <v>811</v>
      </c>
      <c r="AW12" s="6" t="str">
        <f t="shared" si="14"/>
        <v/>
      </c>
    </row>
    <row r="13" spans="1:49" ht="60">
      <c r="A13" s="1">
        <v>53526</v>
      </c>
      <c r="B13" t="str">
        <f t="shared" si="0"/>
        <v>7T82HT87295-99</v>
      </c>
      <c r="C13" s="6" t="str">
        <f t="shared" si="1"/>
        <v>CALIFORNIA CENTER OF BD-STEPS II FINDING CAUSES AND PREVENTIVES OF BIRTH DEFECTS</v>
      </c>
      <c r="D13" s="6" t="str">
        <f t="shared" si="2"/>
        <v>MARCH OF DIMES FOUNDATION</v>
      </c>
      <c r="E13">
        <f t="shared" si="3"/>
        <v>14405873</v>
      </c>
      <c r="F13" t="str">
        <f t="shared" si="4"/>
        <v>FDA</v>
      </c>
      <c r="G13" t="str">
        <f t="shared" si="5"/>
        <v>63-6001140</v>
      </c>
      <c r="H13">
        <f t="shared" ca="1" si="6"/>
        <v>875678</v>
      </c>
      <c r="I13" t="str">
        <f t="shared" si="7"/>
        <v>Annual</v>
      </c>
      <c r="N13" s="1">
        <v>71379</v>
      </c>
      <c r="Q13" s="1" t="s">
        <v>263</v>
      </c>
      <c r="T13" s="57" t="s">
        <v>1851</v>
      </c>
      <c r="U13">
        <v>9974147</v>
      </c>
      <c r="V13" s="10" t="s">
        <v>262</v>
      </c>
      <c r="W13" s="10" t="s">
        <v>262</v>
      </c>
      <c r="X13" t="s">
        <v>150</v>
      </c>
      <c r="Y13" s="1" t="s">
        <v>260</v>
      </c>
      <c r="AA13" s="88">
        <f t="shared" ca="1" si="8"/>
        <v>938459</v>
      </c>
      <c r="AB13" t="s">
        <v>81</v>
      </c>
      <c r="AE13" s="46">
        <v>126387</v>
      </c>
      <c r="AF13" s="24" t="s">
        <v>584</v>
      </c>
      <c r="AI13" s="1">
        <v>53526</v>
      </c>
      <c r="AJ13" s="1" t="s">
        <v>119</v>
      </c>
      <c r="AK13" s="1" t="str">
        <f t="shared" si="9"/>
        <v/>
      </c>
      <c r="AL13" t="b">
        <f t="shared" si="10"/>
        <v>1</v>
      </c>
      <c r="AM13" s="49" t="str">
        <f t="shared" si="11"/>
        <v>Q</v>
      </c>
      <c r="AP13" s="10" t="s">
        <v>113</v>
      </c>
      <c r="AS13" t="s">
        <v>119</v>
      </c>
      <c r="AT13" s="6" t="s">
        <v>113</v>
      </c>
      <c r="AU13" s="6" t="str">
        <f t="shared" si="13"/>
        <v/>
      </c>
      <c r="AV13" s="6" t="s">
        <v>112</v>
      </c>
      <c r="AW13" s="6" t="str">
        <f t="shared" si="14"/>
        <v/>
      </c>
    </row>
    <row r="14" spans="1:49" ht="135">
      <c r="A14" s="1">
        <v>58675</v>
      </c>
      <c r="B14" t="str">
        <f t="shared" si="0"/>
        <v>4T90HT90841-42</v>
      </c>
      <c r="C14" s="6" t="str">
        <f t="shared" si="1"/>
        <v>BEHAVIORAL RISK FACTOR SURVEILLANCE SYSTEM (BRFSS) FOR CALIFORNIA</v>
      </c>
      <c r="D14" s="6" t="str">
        <f t="shared" si="2"/>
        <v>ICAHN SCHOOL  OF MEDICINE AT MOUNT SINAI</v>
      </c>
      <c r="E14">
        <f t="shared" si="3"/>
        <v>14405873</v>
      </c>
      <c r="F14" t="str">
        <f t="shared" si="4"/>
        <v>ACF</v>
      </c>
      <c r="G14" t="str">
        <f t="shared" si="5"/>
        <v>63-6001141</v>
      </c>
      <c r="H14">
        <f t="shared" ca="1" si="6"/>
        <v>803155</v>
      </c>
      <c r="I14" t="str">
        <f t="shared" si="7"/>
        <v>Annual</v>
      </c>
      <c r="N14" s="1">
        <v>79155</v>
      </c>
      <c r="Q14" s="1" t="s">
        <v>277</v>
      </c>
      <c r="T14" s="54" t="s">
        <v>1852</v>
      </c>
      <c r="U14">
        <v>9974147</v>
      </c>
      <c r="V14" s="10" t="s">
        <v>276</v>
      </c>
      <c r="W14" s="10" t="s">
        <v>276</v>
      </c>
      <c r="X14" t="s">
        <v>86</v>
      </c>
      <c r="Y14" s="1" t="s">
        <v>274</v>
      </c>
      <c r="AA14" s="88">
        <f t="shared" ca="1" si="8"/>
        <v>856031</v>
      </c>
      <c r="AB14" t="s">
        <v>81</v>
      </c>
      <c r="AE14" s="46">
        <v>181760</v>
      </c>
      <c r="AF14" s="24" t="s">
        <v>689</v>
      </c>
      <c r="AI14" s="1">
        <v>58675</v>
      </c>
      <c r="AJ14" s="1" t="s">
        <v>119</v>
      </c>
      <c r="AK14" s="1" t="str">
        <f t="shared" si="9"/>
        <v/>
      </c>
      <c r="AL14" t="b">
        <f t="shared" si="10"/>
        <v>1</v>
      </c>
      <c r="AM14" s="49" t="str">
        <f t="shared" si="11"/>
        <v>Q</v>
      </c>
      <c r="AP14" s="10" t="s">
        <v>97</v>
      </c>
      <c r="AS14" t="s">
        <v>119</v>
      </c>
      <c r="AT14" s="6" t="s">
        <v>97</v>
      </c>
      <c r="AU14" s="6" t="str">
        <f t="shared" si="13"/>
        <v/>
      </c>
      <c r="AV14" s="6" t="s">
        <v>96</v>
      </c>
      <c r="AW14" s="6" t="str">
        <f t="shared" si="14"/>
        <v/>
      </c>
    </row>
    <row r="15" spans="1:49" ht="105">
      <c r="A15" s="1">
        <v>58675</v>
      </c>
      <c r="B15" t="str">
        <f t="shared" si="0"/>
        <v>4T90HT90841-42</v>
      </c>
      <c r="C15" s="6" t="str">
        <f t="shared" si="1"/>
        <v>BEHAVIORAL RISK FACTOR SURVEILLANCE SYSTEM (BRFSS) FOR CALIFORNIA</v>
      </c>
      <c r="D15" s="6" t="str">
        <f t="shared" si="2"/>
        <v>ICAHN SCHOOL  OF MEDICINE AT MOUNT SINAI</v>
      </c>
      <c r="E15">
        <f t="shared" si="3"/>
        <v>14405873</v>
      </c>
      <c r="F15" t="str">
        <f t="shared" si="4"/>
        <v>ACF</v>
      </c>
      <c r="G15" t="str">
        <f t="shared" si="5"/>
        <v>63-6001141</v>
      </c>
      <c r="H15">
        <f t="shared" ca="1" si="6"/>
        <v>803155</v>
      </c>
      <c r="I15" t="str">
        <f t="shared" si="7"/>
        <v>Annual</v>
      </c>
      <c r="N15" s="1">
        <v>79267</v>
      </c>
      <c r="Q15" s="1" t="s">
        <v>287</v>
      </c>
      <c r="T15" s="57" t="s">
        <v>1853</v>
      </c>
      <c r="U15">
        <v>9907323</v>
      </c>
      <c r="V15" s="10" t="s">
        <v>286</v>
      </c>
      <c r="W15" s="10" t="s">
        <v>286</v>
      </c>
      <c r="X15" t="s">
        <v>117</v>
      </c>
      <c r="Y15" s="1" t="s">
        <v>284</v>
      </c>
      <c r="AA15" s="88">
        <f t="shared" ca="1" si="8"/>
        <v>771472</v>
      </c>
      <c r="AB15" t="s">
        <v>283</v>
      </c>
      <c r="AE15" s="46">
        <v>183839</v>
      </c>
      <c r="AF15" s="24" t="s">
        <v>584</v>
      </c>
      <c r="AI15" s="1">
        <v>58675</v>
      </c>
      <c r="AJ15" s="1" t="s">
        <v>119</v>
      </c>
      <c r="AK15" s="1" t="str">
        <f t="shared" si="9"/>
        <v/>
      </c>
      <c r="AL15" t="b">
        <f t="shared" si="10"/>
        <v>1</v>
      </c>
      <c r="AM15" s="49" t="str">
        <f t="shared" si="11"/>
        <v>Q</v>
      </c>
      <c r="AP15" s="10" t="s">
        <v>327</v>
      </c>
      <c r="AS15" t="s">
        <v>119</v>
      </c>
      <c r="AT15" s="6" t="s">
        <v>327</v>
      </c>
      <c r="AU15" s="6" t="str">
        <f t="shared" si="13"/>
        <v/>
      </c>
      <c r="AV15" s="6" t="s">
        <v>104</v>
      </c>
      <c r="AW15" s="6" t="str">
        <f t="shared" si="14"/>
        <v/>
      </c>
    </row>
    <row r="16" spans="1:49" ht="120">
      <c r="A16" s="1">
        <v>60493</v>
      </c>
      <c r="B16" t="str">
        <f t="shared" si="0"/>
        <v>1M31CS90744-99</v>
      </c>
      <c r="C16" s="6" t="str">
        <f t="shared" si="1"/>
        <v>ENHANCING PUBLIC HEALTH SURVEILLANCE OF AUTISM SPECTRUM DISORDER THROUGH THE AUTISM AND DEVELOPMENTAL DISABILITIES
MONITORING (ADDM) IN SAN DIEGO COUNTY</v>
      </c>
      <c r="D16" s="6" t="str">
        <f t="shared" si="2"/>
        <v>ASSOCIATION  OF AMERICA, INC</v>
      </c>
      <c r="E16">
        <f t="shared" si="3"/>
        <v>14405873</v>
      </c>
      <c r="F16" t="str">
        <f t="shared" si="4"/>
        <v>CDC</v>
      </c>
      <c r="G16" t="str">
        <f t="shared" si="5"/>
        <v>63-6001142</v>
      </c>
      <c r="H16">
        <f t="shared" ca="1" si="6"/>
        <v>793392</v>
      </c>
      <c r="I16" t="str">
        <f t="shared" si="7"/>
        <v>Annual</v>
      </c>
      <c r="N16" s="1">
        <v>79338</v>
      </c>
      <c r="Q16" s="1" t="s">
        <v>302</v>
      </c>
      <c r="T16" s="56" t="s">
        <v>1854</v>
      </c>
      <c r="U16">
        <v>9907323</v>
      </c>
      <c r="V16" s="10" t="s">
        <v>301</v>
      </c>
      <c r="W16" s="10" t="s">
        <v>301</v>
      </c>
      <c r="X16" t="s">
        <v>132</v>
      </c>
      <c r="Y16" s="1" t="s">
        <v>299</v>
      </c>
      <c r="AA16" s="88">
        <f t="shared" ca="1" si="8"/>
        <v>950482</v>
      </c>
      <c r="AB16" t="s">
        <v>81</v>
      </c>
      <c r="AE16" s="46">
        <v>185514</v>
      </c>
      <c r="AF16" s="24" t="s">
        <v>804</v>
      </c>
      <c r="AI16" s="1">
        <v>60493</v>
      </c>
      <c r="AJ16" s="1" t="s">
        <v>119</v>
      </c>
      <c r="AK16" s="1" t="str">
        <f t="shared" si="9"/>
        <v/>
      </c>
      <c r="AL16" t="b">
        <f t="shared" si="10"/>
        <v>1</v>
      </c>
      <c r="AM16" s="49" t="str">
        <f t="shared" si="11"/>
        <v>Q</v>
      </c>
      <c r="AP16" s="10" t="s">
        <v>97</v>
      </c>
      <c r="AS16" t="s">
        <v>119</v>
      </c>
      <c r="AT16" s="6" t="s">
        <v>97</v>
      </c>
      <c r="AU16" s="6" t="str">
        <f t="shared" si="13"/>
        <v/>
      </c>
      <c r="AV16" s="6" t="s">
        <v>96</v>
      </c>
      <c r="AW16" s="6" t="str">
        <f t="shared" si="14"/>
        <v/>
      </c>
    </row>
    <row r="17" spans="1:49" ht="120">
      <c r="A17" s="1">
        <v>60493</v>
      </c>
      <c r="B17" t="str">
        <f t="shared" si="0"/>
        <v>1M31CS90744-99</v>
      </c>
      <c r="C17" s="6" t="str">
        <f t="shared" si="1"/>
        <v>ENHANCING PUBLIC HEALTH SURVEILLANCE OF AUTISM SPECTRUM DISORDER THROUGH THE AUTISM AND DEVELOPMENTAL DISABILITIES
MONITORING (ADDM) IN SAN DIEGO COUNTY</v>
      </c>
      <c r="D17" s="6" t="str">
        <f t="shared" si="2"/>
        <v>ASSOCIATION  OF AMERICA, INC</v>
      </c>
      <c r="E17">
        <f t="shared" si="3"/>
        <v>14405873</v>
      </c>
      <c r="F17" t="str">
        <f t="shared" si="4"/>
        <v>CDC</v>
      </c>
      <c r="G17" t="str">
        <f t="shared" si="5"/>
        <v>63-6001142</v>
      </c>
      <c r="H17">
        <f t="shared" ca="1" si="6"/>
        <v>793392</v>
      </c>
      <c r="I17" t="str">
        <f t="shared" si="7"/>
        <v>Annual</v>
      </c>
      <c r="N17" s="1">
        <v>80870</v>
      </c>
      <c r="Q17" s="1" t="s">
        <v>312</v>
      </c>
      <c r="T17" s="54" t="s">
        <v>1855</v>
      </c>
      <c r="U17">
        <v>9907323</v>
      </c>
      <c r="V17" s="10" t="s">
        <v>311</v>
      </c>
      <c r="W17" s="10" t="s">
        <v>311</v>
      </c>
      <c r="X17" t="s">
        <v>150</v>
      </c>
      <c r="Y17" s="1" t="s">
        <v>309</v>
      </c>
      <c r="AA17" s="88">
        <f t="shared" ca="1" si="8"/>
        <v>782886</v>
      </c>
      <c r="AB17" t="s">
        <v>81</v>
      </c>
      <c r="AE17" s="46">
        <v>186102</v>
      </c>
      <c r="AF17" s="24" t="s">
        <v>804</v>
      </c>
      <c r="AI17" s="1">
        <v>60493</v>
      </c>
      <c r="AJ17" s="1" t="s">
        <v>119</v>
      </c>
      <c r="AK17" s="1" t="str">
        <f t="shared" si="9"/>
        <v/>
      </c>
      <c r="AL17" t="b">
        <f t="shared" si="10"/>
        <v>1</v>
      </c>
      <c r="AM17" s="49" t="str">
        <f t="shared" si="11"/>
        <v>Q</v>
      </c>
      <c r="AP17" s="10" t="s">
        <v>327</v>
      </c>
      <c r="AS17" t="s">
        <v>119</v>
      </c>
      <c r="AT17" s="6" t="s">
        <v>327</v>
      </c>
      <c r="AU17" s="6" t="str">
        <f t="shared" si="13"/>
        <v/>
      </c>
      <c r="AV17" s="6" t="s">
        <v>104</v>
      </c>
      <c r="AW17" s="6" t="str">
        <f t="shared" si="14"/>
        <v/>
      </c>
    </row>
    <row r="18" spans="1:49" ht="120">
      <c r="A18" s="1">
        <v>60493</v>
      </c>
      <c r="B18" t="str">
        <f t="shared" si="0"/>
        <v>1M31CS90744-99</v>
      </c>
      <c r="C18" s="6" t="str">
        <f t="shared" si="1"/>
        <v>ENHANCING PUBLIC HEALTH SURVEILLANCE OF AUTISM SPECTRUM DISORDER THROUGH THE AUTISM AND DEVELOPMENTAL DISABILITIES
MONITORING (ADDM) IN SAN DIEGO COUNTY</v>
      </c>
      <c r="D18" s="6" t="str">
        <f t="shared" si="2"/>
        <v>ASSOCIATION  OF AMERICA, INC</v>
      </c>
      <c r="E18">
        <f t="shared" si="3"/>
        <v>14405873</v>
      </c>
      <c r="F18" t="str">
        <f t="shared" si="4"/>
        <v>CDC</v>
      </c>
      <c r="G18" t="str">
        <f t="shared" si="5"/>
        <v>63-6001142</v>
      </c>
      <c r="H18">
        <f t="shared" ca="1" si="6"/>
        <v>793392</v>
      </c>
      <c r="I18" t="str">
        <f t="shared" si="7"/>
        <v>Annual</v>
      </c>
      <c r="N18" s="1">
        <v>84136</v>
      </c>
      <c r="Q18" s="1" t="s">
        <v>320</v>
      </c>
      <c r="T18" s="53" t="s">
        <v>1856</v>
      </c>
      <c r="U18">
        <v>9907323</v>
      </c>
      <c r="V18" s="10" t="s">
        <v>319</v>
      </c>
      <c r="W18" s="10" t="s">
        <v>319</v>
      </c>
      <c r="X18" t="s">
        <v>86</v>
      </c>
      <c r="Y18" s="1" t="s">
        <v>317</v>
      </c>
      <c r="AA18" s="88">
        <f t="shared" ca="1" si="8"/>
        <v>966772</v>
      </c>
      <c r="AB18" t="s">
        <v>81</v>
      </c>
      <c r="AE18" s="46">
        <v>196310</v>
      </c>
      <c r="AF18" s="24" t="s">
        <v>954</v>
      </c>
      <c r="AI18" s="1">
        <v>60493</v>
      </c>
      <c r="AJ18" s="1" t="s">
        <v>119</v>
      </c>
      <c r="AK18" s="1" t="str">
        <f t="shared" si="9"/>
        <v/>
      </c>
      <c r="AL18" t="b">
        <f t="shared" si="10"/>
        <v>1</v>
      </c>
      <c r="AM18" s="49" t="str">
        <f t="shared" si="11"/>
        <v>Q</v>
      </c>
      <c r="AP18" s="10"/>
      <c r="AS18" t="s">
        <v>119</v>
      </c>
      <c r="AT18" s="6" t="s">
        <v>812</v>
      </c>
      <c r="AU18" s="6" t="str">
        <f t="shared" si="13"/>
        <v/>
      </c>
      <c r="AV18" s="6" t="s">
        <v>811</v>
      </c>
      <c r="AW18" s="6" t="str">
        <f t="shared" si="14"/>
        <v/>
      </c>
    </row>
    <row r="19" spans="1:49" ht="120">
      <c r="A19" s="1">
        <v>60493</v>
      </c>
      <c r="B19" t="str">
        <f t="shared" si="0"/>
        <v>1M31CS90744-99</v>
      </c>
      <c r="C19" s="6" t="str">
        <f t="shared" si="1"/>
        <v>ENHANCING PUBLIC HEALTH SURVEILLANCE OF AUTISM SPECTRUM DISORDER THROUGH THE AUTISM AND DEVELOPMENTAL DISABILITIES
MONITORING (ADDM) IN SAN DIEGO COUNTY</v>
      </c>
      <c r="D19" s="6" t="str">
        <f t="shared" si="2"/>
        <v>ASSOCIATION  OF AMERICA, INC</v>
      </c>
      <c r="E19">
        <f t="shared" si="3"/>
        <v>14405873</v>
      </c>
      <c r="F19" t="str">
        <f t="shared" si="4"/>
        <v>CDC</v>
      </c>
      <c r="G19" t="str">
        <f t="shared" si="5"/>
        <v>63-6001142</v>
      </c>
      <c r="H19">
        <f t="shared" ca="1" si="6"/>
        <v>793392</v>
      </c>
      <c r="I19" t="str">
        <f t="shared" si="7"/>
        <v>Annual</v>
      </c>
      <c r="N19" s="1">
        <v>85330</v>
      </c>
      <c r="Q19" s="1" t="s">
        <v>332</v>
      </c>
      <c r="T19" s="58" t="s">
        <v>1857</v>
      </c>
      <c r="U19">
        <v>38967512</v>
      </c>
      <c r="V19" s="10" t="s">
        <v>331</v>
      </c>
      <c r="W19" s="10" t="s">
        <v>331</v>
      </c>
      <c r="X19" t="s">
        <v>117</v>
      </c>
      <c r="Y19" s="1" t="s">
        <v>329</v>
      </c>
      <c r="AA19" s="88">
        <f t="shared" ca="1" si="8"/>
        <v>868981</v>
      </c>
      <c r="AB19" t="s">
        <v>283</v>
      </c>
      <c r="AE19" s="46">
        <v>196310</v>
      </c>
      <c r="AF19" s="24" t="s">
        <v>804</v>
      </c>
      <c r="AI19" s="1">
        <v>60493</v>
      </c>
      <c r="AJ19" s="1" t="s">
        <v>119</v>
      </c>
      <c r="AK19" s="1" t="str">
        <f t="shared" si="9"/>
        <v/>
      </c>
      <c r="AL19" t="b">
        <f t="shared" si="10"/>
        <v>1</v>
      </c>
      <c r="AM19" s="49" t="str">
        <f t="shared" si="11"/>
        <v>Q</v>
      </c>
      <c r="AP19" s="10" t="s">
        <v>113</v>
      </c>
      <c r="AS19" t="s">
        <v>119</v>
      </c>
      <c r="AT19" s="6" t="s">
        <v>113</v>
      </c>
      <c r="AU19" s="6" t="str">
        <f t="shared" si="13"/>
        <v/>
      </c>
      <c r="AV19" s="6" t="s">
        <v>112</v>
      </c>
      <c r="AW19" s="6" t="str">
        <f t="shared" si="14"/>
        <v/>
      </c>
    </row>
    <row r="20" spans="1:49" ht="120">
      <c r="A20" s="1">
        <v>60493</v>
      </c>
      <c r="B20" t="str">
        <f t="shared" si="0"/>
        <v>1M31CS90744-99</v>
      </c>
      <c r="C20" s="6" t="str">
        <f t="shared" si="1"/>
        <v>ENHANCING PUBLIC HEALTH SURVEILLANCE OF AUTISM SPECTRUM DISORDER THROUGH THE AUTISM AND DEVELOPMENTAL DISABILITIES
MONITORING (ADDM) IN SAN DIEGO COUNTY</v>
      </c>
      <c r="D20" s="6" t="str">
        <f t="shared" si="2"/>
        <v>ASSOCIATION  OF AMERICA, INC</v>
      </c>
      <c r="E20">
        <f t="shared" si="3"/>
        <v>14405873</v>
      </c>
      <c r="F20" t="str">
        <f t="shared" si="4"/>
        <v>CDC</v>
      </c>
      <c r="G20" t="str">
        <f t="shared" si="5"/>
        <v>63-6001142</v>
      </c>
      <c r="H20">
        <f t="shared" ca="1" si="6"/>
        <v>793392</v>
      </c>
      <c r="I20" t="str">
        <f t="shared" si="7"/>
        <v>Annual</v>
      </c>
      <c r="N20" s="1">
        <v>85490</v>
      </c>
      <c r="Q20" s="1" t="s">
        <v>339</v>
      </c>
      <c r="T20" s="54" t="s">
        <v>1858</v>
      </c>
      <c r="U20">
        <v>38967512</v>
      </c>
      <c r="V20" s="10" t="s">
        <v>338</v>
      </c>
      <c r="W20" s="10" t="s">
        <v>338</v>
      </c>
      <c r="X20" t="s">
        <v>132</v>
      </c>
      <c r="Y20" s="1" t="s">
        <v>336</v>
      </c>
      <c r="AA20" s="88">
        <f t="shared" ca="1" si="8"/>
        <v>872853</v>
      </c>
      <c r="AB20" t="s">
        <v>81</v>
      </c>
      <c r="AE20" s="46">
        <v>196310</v>
      </c>
      <c r="AF20" s="24" t="s">
        <v>85</v>
      </c>
      <c r="AI20" s="1">
        <v>60493</v>
      </c>
      <c r="AJ20" s="1" t="s">
        <v>119</v>
      </c>
      <c r="AK20" s="1" t="str">
        <f t="shared" si="9"/>
        <v/>
      </c>
      <c r="AL20" t="b">
        <f t="shared" si="10"/>
        <v>1</v>
      </c>
      <c r="AM20" s="49" t="str">
        <f t="shared" si="11"/>
        <v>Q</v>
      </c>
      <c r="AP20" s="10"/>
      <c r="AS20" t="s">
        <v>119</v>
      </c>
      <c r="AT20" s="6" t="s">
        <v>812</v>
      </c>
      <c r="AU20" s="6" t="str">
        <f t="shared" si="13"/>
        <v/>
      </c>
      <c r="AV20" s="6" t="s">
        <v>811</v>
      </c>
      <c r="AW20" s="6" t="str">
        <f t="shared" si="14"/>
        <v/>
      </c>
    </row>
    <row r="21" spans="1:49" ht="105">
      <c r="A21" s="1">
        <v>61898</v>
      </c>
      <c r="B21" t="str">
        <f t="shared" si="0"/>
        <v>8H11AT87392-89</v>
      </c>
      <c r="C21" s="6" t="str">
        <f t="shared" si="1"/>
        <v>CALIFORNIA CENTER OF BD-STEPS II FINDING CAUSES AND PREVENTIVES OF BIRTH DEFECTS</v>
      </c>
      <c r="D21" s="6" t="str">
        <f t="shared" si="2"/>
        <v>NATIONAL HEMOPHILIA FOUNDATION</v>
      </c>
      <c r="E21">
        <f t="shared" si="3"/>
        <v>18877619</v>
      </c>
      <c r="F21" t="str">
        <f t="shared" si="4"/>
        <v>NIH</v>
      </c>
      <c r="G21" t="str">
        <f t="shared" si="5"/>
        <v>63-6001143</v>
      </c>
      <c r="H21">
        <f t="shared" ca="1" si="6"/>
        <v>887373</v>
      </c>
      <c r="I21" t="str">
        <f t="shared" si="7"/>
        <v>Annual</v>
      </c>
      <c r="N21" s="1">
        <v>89298</v>
      </c>
      <c r="Q21" s="1" t="s">
        <v>351</v>
      </c>
      <c r="T21" s="57" t="s">
        <v>1859</v>
      </c>
      <c r="U21">
        <v>36535435</v>
      </c>
      <c r="V21" s="10" t="s">
        <v>350</v>
      </c>
      <c r="W21" s="10" t="s">
        <v>350</v>
      </c>
      <c r="X21" t="s">
        <v>150</v>
      </c>
      <c r="Y21" s="1" t="s">
        <v>348</v>
      </c>
      <c r="AA21" s="88">
        <f t="shared" ca="1" si="8"/>
        <v>784413</v>
      </c>
      <c r="AB21" t="s">
        <v>81</v>
      </c>
      <c r="AE21" s="46">
        <v>196474</v>
      </c>
      <c r="AF21" s="24" t="s">
        <v>85</v>
      </c>
      <c r="AI21" s="1">
        <v>61898</v>
      </c>
      <c r="AJ21" s="1" t="s">
        <v>119</v>
      </c>
      <c r="AK21" s="1" t="str">
        <f t="shared" si="9"/>
        <v/>
      </c>
      <c r="AL21" t="b">
        <f t="shared" si="10"/>
        <v>1</v>
      </c>
      <c r="AM21" s="49" t="str">
        <f t="shared" si="11"/>
        <v>Q</v>
      </c>
      <c r="AP21" s="10" t="s">
        <v>97</v>
      </c>
      <c r="AS21" t="s">
        <v>119</v>
      </c>
      <c r="AT21" s="6" t="s">
        <v>97</v>
      </c>
      <c r="AU21" s="6" t="str">
        <f t="shared" si="13"/>
        <v/>
      </c>
      <c r="AV21" s="6" t="s">
        <v>96</v>
      </c>
      <c r="AW21" s="6" t="str">
        <f t="shared" si="14"/>
        <v/>
      </c>
    </row>
    <row r="22" spans="1:49" ht="105">
      <c r="A22" s="1">
        <v>61898</v>
      </c>
      <c r="B22" t="str">
        <f t="shared" si="0"/>
        <v>8H11AT87392-89</v>
      </c>
      <c r="C22" s="6" t="str">
        <f t="shared" si="1"/>
        <v>CALIFORNIA CENTER OF BD-STEPS II FINDING CAUSES AND PREVENTIVES OF BIRTH DEFECTS</v>
      </c>
      <c r="D22" s="6" t="str">
        <f t="shared" si="2"/>
        <v>NATIONAL HEMOPHILIA FOUNDATION</v>
      </c>
      <c r="E22">
        <f t="shared" si="3"/>
        <v>18877619</v>
      </c>
      <c r="F22" t="str">
        <f t="shared" si="4"/>
        <v>NIH</v>
      </c>
      <c r="G22" t="str">
        <f t="shared" si="5"/>
        <v>63-6001143</v>
      </c>
      <c r="H22">
        <f t="shared" ca="1" si="6"/>
        <v>887373</v>
      </c>
      <c r="I22" t="str">
        <f t="shared" si="7"/>
        <v>Annual</v>
      </c>
      <c r="N22" s="1">
        <v>91992</v>
      </c>
      <c r="Q22" s="1" t="s">
        <v>358</v>
      </c>
      <c r="T22" s="53" t="s">
        <v>1860</v>
      </c>
      <c r="U22">
        <v>36535435</v>
      </c>
      <c r="V22" s="10" t="s">
        <v>357</v>
      </c>
      <c r="W22" s="10" t="s">
        <v>357</v>
      </c>
      <c r="X22" t="s">
        <v>86</v>
      </c>
      <c r="Y22" s="1" t="s">
        <v>355</v>
      </c>
      <c r="AA22" s="88">
        <f t="shared" ca="1" si="8"/>
        <v>931956</v>
      </c>
      <c r="AB22" t="s">
        <v>81</v>
      </c>
      <c r="AE22" s="46">
        <v>196651</v>
      </c>
      <c r="AF22" s="24" t="s">
        <v>85</v>
      </c>
      <c r="AI22" s="1">
        <v>61898</v>
      </c>
      <c r="AJ22" s="1" t="s">
        <v>119</v>
      </c>
      <c r="AK22" s="1" t="str">
        <f t="shared" si="9"/>
        <v/>
      </c>
      <c r="AL22" t="b">
        <f t="shared" si="10"/>
        <v>1</v>
      </c>
      <c r="AM22" s="49" t="str">
        <f t="shared" si="11"/>
        <v>Q</v>
      </c>
      <c r="AP22" s="10" t="s">
        <v>327</v>
      </c>
      <c r="AS22" t="s">
        <v>119</v>
      </c>
      <c r="AT22" s="6" t="s">
        <v>327</v>
      </c>
      <c r="AU22" s="6" t="str">
        <f t="shared" si="13"/>
        <v/>
      </c>
      <c r="AV22" s="6" t="s">
        <v>104</v>
      </c>
      <c r="AW22" s="6" t="str">
        <f t="shared" si="14"/>
        <v/>
      </c>
    </row>
    <row r="23" spans="1:49" ht="75">
      <c r="A23" s="1">
        <v>61898</v>
      </c>
      <c r="B23" t="str">
        <f t="shared" si="0"/>
        <v>8H11AT87392-89</v>
      </c>
      <c r="C23" s="6" t="str">
        <f t="shared" si="1"/>
        <v>CALIFORNIA CENTER OF BD-STEPS II FINDING CAUSES AND PREVENTIVES OF BIRTH DEFECTS</v>
      </c>
      <c r="D23" s="6" t="str">
        <f t="shared" si="2"/>
        <v>NATIONAL HEMOPHILIA FOUNDATION</v>
      </c>
      <c r="E23">
        <f t="shared" si="3"/>
        <v>18877619</v>
      </c>
      <c r="F23" t="str">
        <f t="shared" si="4"/>
        <v>NIH</v>
      </c>
      <c r="G23" t="str">
        <f t="shared" si="5"/>
        <v>63-6001143</v>
      </c>
      <c r="H23">
        <f t="shared" ca="1" si="6"/>
        <v>887373</v>
      </c>
      <c r="I23" t="str">
        <f t="shared" si="7"/>
        <v>Annual</v>
      </c>
      <c r="N23" s="1">
        <v>92106</v>
      </c>
      <c r="Q23" s="1" t="s">
        <v>371</v>
      </c>
      <c r="T23" s="57" t="s">
        <v>1861</v>
      </c>
      <c r="U23">
        <v>36535435</v>
      </c>
      <c r="V23" s="10" t="s">
        <v>370</v>
      </c>
      <c r="W23" s="10" t="s">
        <v>370</v>
      </c>
      <c r="X23" t="s">
        <v>117</v>
      </c>
      <c r="Y23" s="1" t="s">
        <v>368</v>
      </c>
      <c r="AA23" s="88">
        <f t="shared" ca="1" si="8"/>
        <v>934505</v>
      </c>
      <c r="AB23" t="s">
        <v>81</v>
      </c>
      <c r="AE23" s="46">
        <v>201435</v>
      </c>
      <c r="AF23" s="24" t="s">
        <v>85</v>
      </c>
      <c r="AI23" s="1">
        <v>61898</v>
      </c>
      <c r="AJ23" s="1" t="s">
        <v>119</v>
      </c>
      <c r="AK23" s="1" t="str">
        <f t="shared" si="9"/>
        <v/>
      </c>
      <c r="AL23" t="b">
        <f t="shared" si="10"/>
        <v>1</v>
      </c>
      <c r="AM23" s="49" t="str">
        <f t="shared" si="11"/>
        <v>Q</v>
      </c>
      <c r="AP23" s="10"/>
      <c r="AS23" t="s">
        <v>119</v>
      </c>
      <c r="AT23" s="6" t="s">
        <v>812</v>
      </c>
      <c r="AU23" s="6" t="str">
        <f t="shared" si="13"/>
        <v/>
      </c>
      <c r="AV23" s="6" t="s">
        <v>811</v>
      </c>
      <c r="AW23" s="6" t="str">
        <f t="shared" si="14"/>
        <v/>
      </c>
    </row>
    <row r="24" spans="1:49" ht="60">
      <c r="A24" s="1">
        <v>61898</v>
      </c>
      <c r="B24" t="str">
        <f t="shared" si="0"/>
        <v>8H11AT87392-89</v>
      </c>
      <c r="C24" s="6" t="str">
        <f t="shared" si="1"/>
        <v>CALIFORNIA CENTER OF BD-STEPS II FINDING CAUSES AND PREVENTIVES OF BIRTH DEFECTS</v>
      </c>
      <c r="D24" s="6" t="str">
        <f t="shared" si="2"/>
        <v>NATIONAL HEMOPHILIA FOUNDATION</v>
      </c>
      <c r="E24">
        <f t="shared" si="3"/>
        <v>18877619</v>
      </c>
      <c r="F24" t="str">
        <f t="shared" si="4"/>
        <v>NIH</v>
      </c>
      <c r="G24" t="str">
        <f t="shared" si="5"/>
        <v>63-6001143</v>
      </c>
      <c r="H24">
        <f t="shared" ca="1" si="6"/>
        <v>887373</v>
      </c>
      <c r="I24" t="str">
        <f t="shared" si="7"/>
        <v>Annual</v>
      </c>
      <c r="N24" s="1">
        <v>93575</v>
      </c>
      <c r="Q24" s="1" t="s">
        <v>379</v>
      </c>
      <c r="T24" s="57" t="s">
        <v>1862</v>
      </c>
      <c r="U24">
        <v>1224561</v>
      </c>
      <c r="V24" s="10" t="s">
        <v>378</v>
      </c>
      <c r="W24" s="10" t="s">
        <v>378</v>
      </c>
      <c r="X24" t="s">
        <v>132</v>
      </c>
      <c r="Y24" s="1" t="s">
        <v>376</v>
      </c>
      <c r="AA24" s="88">
        <f t="shared" ca="1" si="8"/>
        <v>937678</v>
      </c>
      <c r="AB24" t="s">
        <v>81</v>
      </c>
      <c r="AE24" s="46">
        <v>203396</v>
      </c>
      <c r="AF24" s="24" t="s">
        <v>804</v>
      </c>
      <c r="AI24" s="1">
        <v>61898</v>
      </c>
      <c r="AJ24" s="1" t="s">
        <v>119</v>
      </c>
      <c r="AK24" s="1" t="str">
        <f t="shared" si="9"/>
        <v/>
      </c>
      <c r="AL24" t="b">
        <f t="shared" si="10"/>
        <v>1</v>
      </c>
      <c r="AM24" s="49" t="str">
        <f t="shared" si="11"/>
        <v>Q</v>
      </c>
      <c r="AP24" s="10"/>
      <c r="AS24" t="s">
        <v>119</v>
      </c>
      <c r="AT24" s="6" t="s">
        <v>812</v>
      </c>
      <c r="AU24" s="6" t="str">
        <f t="shared" si="13"/>
        <v/>
      </c>
      <c r="AV24" s="6" t="s">
        <v>811</v>
      </c>
      <c r="AW24" s="6" t="str">
        <f t="shared" si="14"/>
        <v/>
      </c>
    </row>
    <row r="25" spans="1:49" ht="105">
      <c r="A25" s="1">
        <v>61898</v>
      </c>
      <c r="B25" t="str">
        <f t="shared" si="0"/>
        <v>8H11AT87392-89</v>
      </c>
      <c r="C25" s="6" t="str">
        <f t="shared" si="1"/>
        <v>CALIFORNIA CENTER OF BD-STEPS II FINDING CAUSES AND PREVENTIVES OF BIRTH DEFECTS</v>
      </c>
      <c r="D25" s="6" t="str">
        <f t="shared" si="2"/>
        <v>NATIONAL HEMOPHILIA FOUNDATION</v>
      </c>
      <c r="E25">
        <f t="shared" si="3"/>
        <v>18877619</v>
      </c>
      <c r="F25" t="str">
        <f t="shared" si="4"/>
        <v>NIH</v>
      </c>
      <c r="G25" t="str">
        <f t="shared" si="5"/>
        <v>63-6001143</v>
      </c>
      <c r="H25">
        <f t="shared" ca="1" si="6"/>
        <v>887373</v>
      </c>
      <c r="I25" t="str">
        <f t="shared" si="7"/>
        <v>Annual</v>
      </c>
      <c r="N25" s="1">
        <v>95224</v>
      </c>
      <c r="Q25" s="1" t="s">
        <v>386</v>
      </c>
      <c r="T25" s="52" t="s">
        <v>1863</v>
      </c>
      <c r="U25">
        <v>1224561</v>
      </c>
      <c r="V25" s="10" t="s">
        <v>385</v>
      </c>
      <c r="W25" s="10" t="s">
        <v>385</v>
      </c>
      <c r="X25" t="s">
        <v>150</v>
      </c>
      <c r="Y25" s="1" t="s">
        <v>383</v>
      </c>
      <c r="AA25" s="88">
        <f t="shared" ca="1" si="8"/>
        <v>975260</v>
      </c>
      <c r="AB25" t="s">
        <v>81</v>
      </c>
      <c r="AE25" s="46">
        <v>204121</v>
      </c>
      <c r="AF25" s="24" t="s">
        <v>804</v>
      </c>
      <c r="AI25" s="1">
        <v>61898</v>
      </c>
      <c r="AJ25" s="1" t="s">
        <v>119</v>
      </c>
      <c r="AK25" s="1" t="str">
        <f t="shared" si="9"/>
        <v/>
      </c>
      <c r="AL25" t="b">
        <f t="shared" si="10"/>
        <v>1</v>
      </c>
      <c r="AM25" s="49" t="str">
        <f t="shared" si="11"/>
        <v>Q</v>
      </c>
      <c r="AP25" s="10"/>
      <c r="AS25" t="s">
        <v>119</v>
      </c>
      <c r="AT25" s="6" t="s">
        <v>812</v>
      </c>
      <c r="AU25" s="6" t="str">
        <f t="shared" si="13"/>
        <v/>
      </c>
      <c r="AV25" s="6" t="s">
        <v>811</v>
      </c>
      <c r="AW25" s="6" t="str">
        <f t="shared" si="14"/>
        <v/>
      </c>
    </row>
    <row r="26" spans="1:49" ht="120">
      <c r="A26" s="1">
        <v>65549</v>
      </c>
      <c r="B26" t="str">
        <f t="shared" si="0"/>
        <v>6S93HS87137-84</v>
      </c>
      <c r="C26" s="6" t="str">
        <f t="shared" si="1"/>
        <v>CATEGORY B: PUBLIC HEALTH LAWYERS AND THEIR CLIENTS</v>
      </c>
      <c r="D26" s="6" t="str">
        <f t="shared" si="2"/>
        <v>NATIONAL BLOOD CLOT ALLIANCE</v>
      </c>
      <c r="E26">
        <f t="shared" si="3"/>
        <v>18877619</v>
      </c>
      <c r="F26" t="str">
        <f t="shared" si="4"/>
        <v>FDA</v>
      </c>
      <c r="G26" t="str">
        <f t="shared" si="5"/>
        <v>63-6001144</v>
      </c>
      <c r="H26">
        <f t="shared" ca="1" si="6"/>
        <v>955139</v>
      </c>
      <c r="I26" t="str">
        <f t="shared" si="7"/>
        <v>Annual</v>
      </c>
      <c r="N26" s="1">
        <v>95984</v>
      </c>
      <c r="Q26" s="1" t="s">
        <v>402</v>
      </c>
      <c r="T26" s="52" t="s">
        <v>1864</v>
      </c>
      <c r="U26">
        <v>1224561</v>
      </c>
      <c r="V26" s="10" t="s">
        <v>401</v>
      </c>
      <c r="W26" s="10" t="s">
        <v>401</v>
      </c>
      <c r="X26" t="s">
        <v>86</v>
      </c>
      <c r="Y26" s="1" t="s">
        <v>399</v>
      </c>
      <c r="AA26" s="88">
        <f t="shared" ca="1" si="8"/>
        <v>879009</v>
      </c>
      <c r="AB26" t="s">
        <v>283</v>
      </c>
      <c r="AE26" s="46">
        <v>204145</v>
      </c>
      <c r="AF26" s="24" t="s">
        <v>804</v>
      </c>
      <c r="AI26" s="1">
        <v>65549</v>
      </c>
      <c r="AJ26" s="1" t="s">
        <v>119</v>
      </c>
      <c r="AK26" s="1" t="str">
        <f t="shared" si="9"/>
        <v/>
      </c>
      <c r="AL26" t="b">
        <f t="shared" si="10"/>
        <v>1</v>
      </c>
      <c r="AM26" s="49" t="str">
        <f t="shared" si="11"/>
        <v>Q</v>
      </c>
      <c r="AP26" s="10" t="s">
        <v>97</v>
      </c>
      <c r="AS26" t="s">
        <v>119</v>
      </c>
      <c r="AT26" s="6" t="s">
        <v>97</v>
      </c>
      <c r="AU26" s="6" t="str">
        <f t="shared" si="13"/>
        <v/>
      </c>
      <c r="AV26" s="6" t="s">
        <v>96</v>
      </c>
      <c r="AW26" s="6" t="str">
        <f t="shared" si="14"/>
        <v/>
      </c>
    </row>
    <row r="27" spans="1:49" ht="75">
      <c r="A27" s="1">
        <v>65549</v>
      </c>
      <c r="B27" t="str">
        <f t="shared" si="0"/>
        <v>6S93HS87137-84</v>
      </c>
      <c r="C27" s="6" t="str">
        <f t="shared" si="1"/>
        <v>CATEGORY B: PUBLIC HEALTH LAWYERS AND THEIR CLIENTS</v>
      </c>
      <c r="D27" s="6" t="str">
        <f t="shared" si="2"/>
        <v>NATIONAL BLOOD CLOT ALLIANCE</v>
      </c>
      <c r="E27">
        <f t="shared" si="3"/>
        <v>18877619</v>
      </c>
      <c r="F27" t="str">
        <f t="shared" si="4"/>
        <v>FDA</v>
      </c>
      <c r="G27" t="str">
        <f t="shared" si="5"/>
        <v>63-6001144</v>
      </c>
      <c r="H27">
        <f t="shared" ca="1" si="6"/>
        <v>955139</v>
      </c>
      <c r="I27" t="str">
        <f t="shared" si="7"/>
        <v>Annual</v>
      </c>
      <c r="N27" s="1">
        <v>95999</v>
      </c>
      <c r="Q27" s="1" t="s">
        <v>409</v>
      </c>
      <c r="T27" s="52" t="s">
        <v>1865</v>
      </c>
      <c r="U27">
        <v>12116498</v>
      </c>
      <c r="V27" s="10" t="s">
        <v>408</v>
      </c>
      <c r="W27" s="10" t="s">
        <v>408</v>
      </c>
      <c r="X27" t="s">
        <v>117</v>
      </c>
      <c r="Y27" s="1" t="s">
        <v>406</v>
      </c>
      <c r="AA27" s="88">
        <f t="shared" ca="1" si="8"/>
        <v>920249</v>
      </c>
      <c r="AB27" t="s">
        <v>81</v>
      </c>
      <c r="AE27" s="46">
        <v>204145</v>
      </c>
      <c r="AF27" s="24" t="s">
        <v>954</v>
      </c>
      <c r="AI27" s="1">
        <v>65549</v>
      </c>
      <c r="AJ27" s="1" t="s">
        <v>119</v>
      </c>
      <c r="AK27" s="1" t="str">
        <f t="shared" si="9"/>
        <v/>
      </c>
      <c r="AL27" t="b">
        <f t="shared" si="10"/>
        <v>1</v>
      </c>
      <c r="AM27" s="49" t="str">
        <f t="shared" si="11"/>
        <v>Q</v>
      </c>
      <c r="AP27" s="10" t="s">
        <v>327</v>
      </c>
      <c r="AS27" t="s">
        <v>119</v>
      </c>
      <c r="AT27" s="6" t="s">
        <v>327</v>
      </c>
      <c r="AU27" s="6" t="str">
        <f t="shared" si="13"/>
        <v/>
      </c>
      <c r="AV27" s="6" t="s">
        <v>104</v>
      </c>
      <c r="AW27" s="6" t="str">
        <f t="shared" si="14"/>
        <v/>
      </c>
    </row>
    <row r="28" spans="1:49" ht="60">
      <c r="A28" s="1">
        <v>65549</v>
      </c>
      <c r="B28" t="str">
        <f t="shared" si="0"/>
        <v>6S93HS87137-84</v>
      </c>
      <c r="C28" s="6" t="str">
        <f t="shared" si="1"/>
        <v>CATEGORY B: PUBLIC HEALTH LAWYERS AND THEIR CLIENTS</v>
      </c>
      <c r="D28" s="6" t="str">
        <f t="shared" si="2"/>
        <v>NATIONAL BLOOD CLOT ALLIANCE</v>
      </c>
      <c r="E28">
        <f t="shared" si="3"/>
        <v>18877619</v>
      </c>
      <c r="F28" t="str">
        <f t="shared" si="4"/>
        <v>FDA</v>
      </c>
      <c r="G28" t="str">
        <f t="shared" si="5"/>
        <v>63-6001144</v>
      </c>
      <c r="H28">
        <f t="shared" ca="1" si="6"/>
        <v>955139</v>
      </c>
      <c r="I28" t="str">
        <f t="shared" si="7"/>
        <v>Annual</v>
      </c>
      <c r="N28" s="1">
        <v>96008</v>
      </c>
      <c r="Q28" s="1" t="s">
        <v>416</v>
      </c>
      <c r="T28" s="73" t="s">
        <v>1866</v>
      </c>
      <c r="U28">
        <v>12116498</v>
      </c>
      <c r="V28" s="10" t="s">
        <v>415</v>
      </c>
      <c r="W28" s="10" t="s">
        <v>415</v>
      </c>
      <c r="X28" t="s">
        <v>132</v>
      </c>
      <c r="Y28" s="1" t="s">
        <v>413</v>
      </c>
      <c r="AA28" s="88">
        <f t="shared" ca="1" si="8"/>
        <v>957920</v>
      </c>
      <c r="AB28" t="s">
        <v>81</v>
      </c>
      <c r="AE28" s="46">
        <v>204529</v>
      </c>
      <c r="AF28" s="24" t="s">
        <v>804</v>
      </c>
      <c r="AI28" s="1">
        <v>65549</v>
      </c>
      <c r="AJ28" s="1" t="s">
        <v>119</v>
      </c>
      <c r="AK28" s="1" t="str">
        <f t="shared" si="9"/>
        <v/>
      </c>
      <c r="AL28" t="b">
        <f t="shared" si="10"/>
        <v>1</v>
      </c>
      <c r="AM28" s="49" t="str">
        <f t="shared" si="11"/>
        <v>Q</v>
      </c>
      <c r="AP28" s="10" t="s">
        <v>113</v>
      </c>
      <c r="AS28" t="s">
        <v>119</v>
      </c>
      <c r="AT28" s="6" t="s">
        <v>113</v>
      </c>
      <c r="AU28" s="6" t="str">
        <f t="shared" si="13"/>
        <v/>
      </c>
      <c r="AV28" s="6" t="s">
        <v>112</v>
      </c>
      <c r="AW28" s="6" t="str">
        <f t="shared" si="14"/>
        <v/>
      </c>
    </row>
    <row r="29" spans="1:49" ht="135">
      <c r="A29" s="1">
        <v>65549</v>
      </c>
      <c r="B29" t="str">
        <f t="shared" si="0"/>
        <v>6S93HS87137-84</v>
      </c>
      <c r="C29" s="6" t="str">
        <f t="shared" si="1"/>
        <v>CATEGORY B: PUBLIC HEALTH LAWYERS AND THEIR CLIENTS</v>
      </c>
      <c r="D29" s="6" t="str">
        <f t="shared" si="2"/>
        <v>NATIONAL BLOOD CLOT ALLIANCE</v>
      </c>
      <c r="E29">
        <f t="shared" si="3"/>
        <v>18877619</v>
      </c>
      <c r="F29" t="str">
        <f t="shared" si="4"/>
        <v>FDA</v>
      </c>
      <c r="G29" t="str">
        <f t="shared" si="5"/>
        <v>63-6001144</v>
      </c>
      <c r="H29">
        <f t="shared" ca="1" si="6"/>
        <v>955139</v>
      </c>
      <c r="I29" t="str">
        <f t="shared" si="7"/>
        <v>Annual</v>
      </c>
      <c r="N29" s="1">
        <v>97793</v>
      </c>
      <c r="Q29" s="1" t="s">
        <v>423</v>
      </c>
      <c r="T29" s="80" t="s">
        <v>1867</v>
      </c>
      <c r="U29">
        <v>27524497</v>
      </c>
      <c r="V29" s="10" t="s">
        <v>422</v>
      </c>
      <c r="W29" s="10" t="s">
        <v>422</v>
      </c>
      <c r="X29" t="s">
        <v>150</v>
      </c>
      <c r="Y29" s="1" t="s">
        <v>420</v>
      </c>
      <c r="AA29" s="88">
        <f t="shared" ca="1" si="8"/>
        <v>977870</v>
      </c>
      <c r="AB29" t="s">
        <v>81</v>
      </c>
      <c r="AE29" s="46">
        <v>205167</v>
      </c>
      <c r="AF29" s="24" t="s">
        <v>85</v>
      </c>
      <c r="AI29" s="1">
        <v>65549</v>
      </c>
      <c r="AJ29" s="1" t="s">
        <v>119</v>
      </c>
      <c r="AK29" s="1" t="str">
        <f t="shared" si="9"/>
        <v/>
      </c>
      <c r="AL29" t="b">
        <f t="shared" si="10"/>
        <v>1</v>
      </c>
      <c r="AM29" s="49" t="str">
        <f t="shared" si="11"/>
        <v>Q</v>
      </c>
      <c r="AP29" s="10"/>
      <c r="AS29" t="s">
        <v>119</v>
      </c>
      <c r="AT29" s="6" t="s">
        <v>812</v>
      </c>
      <c r="AU29" s="6" t="str">
        <f t="shared" si="13"/>
        <v/>
      </c>
      <c r="AV29" s="6" t="s">
        <v>811</v>
      </c>
      <c r="AW29" s="6" t="str">
        <f t="shared" si="14"/>
        <v/>
      </c>
    </row>
    <row r="30" spans="1:49" ht="195">
      <c r="A30" s="1">
        <v>66846</v>
      </c>
      <c r="B30" t="str">
        <f t="shared" si="0"/>
        <v>7S57BS87135-60</v>
      </c>
      <c r="C30" s="6" t="str">
        <f t="shared" si="1"/>
        <v>COMPONENT B. NATIONAL SPINA BIFIDA PATIENT REGISTRY (NSBPR)</v>
      </c>
      <c r="D30" s="6" t="str">
        <f t="shared" si="2"/>
        <v>COOLEYS  ANEMIA FDN INC.</v>
      </c>
      <c r="E30">
        <f t="shared" si="3"/>
        <v>18877619</v>
      </c>
      <c r="F30" t="str">
        <f t="shared" si="4"/>
        <v>ACF</v>
      </c>
      <c r="G30" t="str">
        <f t="shared" si="5"/>
        <v>63-6001145</v>
      </c>
      <c r="H30">
        <f t="shared" ca="1" si="6"/>
        <v>998203</v>
      </c>
      <c r="I30" t="str">
        <f t="shared" si="7"/>
        <v>Annual</v>
      </c>
      <c r="N30" s="1">
        <v>98727</v>
      </c>
      <c r="Q30" s="1" t="s">
        <v>434</v>
      </c>
      <c r="T30" s="79" t="s">
        <v>1868</v>
      </c>
      <c r="U30">
        <v>27524497</v>
      </c>
      <c r="V30" s="10" t="s">
        <v>433</v>
      </c>
      <c r="W30" s="10" t="s">
        <v>433</v>
      </c>
      <c r="X30" t="s">
        <v>86</v>
      </c>
      <c r="Y30" s="1" t="s">
        <v>431</v>
      </c>
      <c r="AA30" s="88">
        <f t="shared" ca="1" si="8"/>
        <v>925769</v>
      </c>
      <c r="AB30" t="s">
        <v>81</v>
      </c>
      <c r="AE30" s="46">
        <v>205167</v>
      </c>
      <c r="AF30" s="24" t="s">
        <v>85</v>
      </c>
      <c r="AI30" s="1">
        <v>66846</v>
      </c>
      <c r="AJ30" s="1" t="s">
        <v>119</v>
      </c>
      <c r="AK30" s="1" t="str">
        <f t="shared" si="9"/>
        <v/>
      </c>
      <c r="AL30" t="b">
        <f t="shared" si="10"/>
        <v>1</v>
      </c>
      <c r="AM30" s="49" t="str">
        <f t="shared" si="11"/>
        <v>Q</v>
      </c>
      <c r="AP30" s="10" t="s">
        <v>97</v>
      </c>
      <c r="AS30" t="s">
        <v>119</v>
      </c>
      <c r="AT30" s="6" t="s">
        <v>97</v>
      </c>
      <c r="AU30" s="6" t="str">
        <f t="shared" si="13"/>
        <v/>
      </c>
      <c r="AV30" s="6" t="s">
        <v>96</v>
      </c>
      <c r="AW30" s="6" t="str">
        <f t="shared" si="14"/>
        <v/>
      </c>
    </row>
    <row r="31" spans="1:49" ht="150">
      <c r="A31" s="1">
        <v>66846</v>
      </c>
      <c r="B31" t="str">
        <f t="shared" si="0"/>
        <v>7S57BS87135-60</v>
      </c>
      <c r="C31" s="6" t="str">
        <f t="shared" si="1"/>
        <v>COMPONENT B. NATIONAL SPINA BIFIDA PATIENT REGISTRY (NSBPR)</v>
      </c>
      <c r="D31" s="6" t="str">
        <f t="shared" si="2"/>
        <v>COOLEYS  ANEMIA FDN INC.</v>
      </c>
      <c r="E31">
        <f t="shared" si="3"/>
        <v>18877619</v>
      </c>
      <c r="F31" t="str">
        <f t="shared" si="4"/>
        <v>ACF</v>
      </c>
      <c r="G31" t="str">
        <f t="shared" si="5"/>
        <v>63-6001145</v>
      </c>
      <c r="H31">
        <f t="shared" ca="1" si="6"/>
        <v>998203</v>
      </c>
      <c r="I31" t="str">
        <f t="shared" si="7"/>
        <v>Annual</v>
      </c>
      <c r="N31" s="1">
        <v>98877</v>
      </c>
      <c r="Q31" s="1" t="s">
        <v>443</v>
      </c>
      <c r="T31" s="76" t="s">
        <v>1869</v>
      </c>
      <c r="U31">
        <v>27524497</v>
      </c>
      <c r="V31" s="10" t="s">
        <v>442</v>
      </c>
      <c r="W31" s="10" t="s">
        <v>442</v>
      </c>
      <c r="X31" t="s">
        <v>117</v>
      </c>
      <c r="Y31" s="1" t="s">
        <v>440</v>
      </c>
      <c r="AA31" s="88">
        <f t="shared" ca="1" si="8"/>
        <v>804887</v>
      </c>
      <c r="AB31" t="s">
        <v>81</v>
      </c>
      <c r="AE31" s="46">
        <v>205167</v>
      </c>
      <c r="AF31" s="24" t="s">
        <v>85</v>
      </c>
      <c r="AI31" s="1">
        <v>66846</v>
      </c>
      <c r="AJ31" s="1" t="s">
        <v>119</v>
      </c>
      <c r="AK31" s="1" t="str">
        <f t="shared" si="9"/>
        <v/>
      </c>
      <c r="AL31" t="b">
        <f t="shared" si="10"/>
        <v>1</v>
      </c>
      <c r="AM31" s="49" t="str">
        <f t="shared" si="11"/>
        <v>Q</v>
      </c>
      <c r="AP31" s="10" t="s">
        <v>327</v>
      </c>
      <c r="AS31" t="s">
        <v>119</v>
      </c>
      <c r="AT31" s="6" t="s">
        <v>327</v>
      </c>
      <c r="AU31" s="6" t="str">
        <f t="shared" si="13"/>
        <v/>
      </c>
      <c r="AV31" s="6" t="s">
        <v>104</v>
      </c>
      <c r="AW31" s="6" t="str">
        <f t="shared" si="14"/>
        <v/>
      </c>
    </row>
    <row r="32" spans="1:49" ht="210">
      <c r="A32" s="1">
        <v>66846</v>
      </c>
      <c r="B32" t="str">
        <f t="shared" si="0"/>
        <v>7S57BS87135-60</v>
      </c>
      <c r="C32" s="6" t="str">
        <f t="shared" si="1"/>
        <v>COMPONENT B. NATIONAL SPINA BIFIDA PATIENT REGISTRY (NSBPR)</v>
      </c>
      <c r="D32" s="6" t="str">
        <f t="shared" si="2"/>
        <v>COOLEYS  ANEMIA FDN INC.</v>
      </c>
      <c r="E32">
        <f t="shared" si="3"/>
        <v>18877619</v>
      </c>
      <c r="F32" t="str">
        <f t="shared" si="4"/>
        <v>ACF</v>
      </c>
      <c r="G32" t="str">
        <f t="shared" si="5"/>
        <v>63-6001145</v>
      </c>
      <c r="H32">
        <f t="shared" ca="1" si="6"/>
        <v>998203</v>
      </c>
      <c r="I32" t="str">
        <f t="shared" si="7"/>
        <v>Annual</v>
      </c>
      <c r="N32" s="1">
        <v>99302</v>
      </c>
      <c r="Q32" s="1" t="s">
        <v>455</v>
      </c>
      <c r="T32" s="82" t="s">
        <v>1870</v>
      </c>
      <c r="U32">
        <v>2168146</v>
      </c>
      <c r="V32" s="10" t="s">
        <v>454</v>
      </c>
      <c r="W32" s="10" t="s">
        <v>454</v>
      </c>
      <c r="X32" t="s">
        <v>132</v>
      </c>
      <c r="Y32" s="1" t="s">
        <v>452</v>
      </c>
      <c r="AA32" s="88">
        <f t="shared" ca="1" si="8"/>
        <v>795172</v>
      </c>
      <c r="AB32" t="s">
        <v>81</v>
      </c>
      <c r="AE32" s="46">
        <v>205167</v>
      </c>
      <c r="AF32" s="24" t="s">
        <v>85</v>
      </c>
      <c r="AI32" s="1">
        <v>66846</v>
      </c>
      <c r="AJ32" s="1" t="s">
        <v>119</v>
      </c>
      <c r="AK32" s="1" t="str">
        <f t="shared" si="9"/>
        <v/>
      </c>
      <c r="AL32" t="b">
        <f t="shared" si="10"/>
        <v>1</v>
      </c>
      <c r="AM32" s="49" t="str">
        <f t="shared" si="11"/>
        <v>Q</v>
      </c>
      <c r="AP32" s="10"/>
      <c r="AS32" t="s">
        <v>119</v>
      </c>
      <c r="AT32" s="6" t="s">
        <v>812</v>
      </c>
      <c r="AU32" s="6" t="str">
        <f t="shared" si="13"/>
        <v/>
      </c>
      <c r="AV32" s="6" t="s">
        <v>811</v>
      </c>
      <c r="AW32" s="6" t="str">
        <f t="shared" si="14"/>
        <v/>
      </c>
    </row>
    <row r="33" spans="1:49" ht="195">
      <c r="A33" s="1">
        <v>67316</v>
      </c>
      <c r="B33" t="str">
        <f t="shared" si="0"/>
        <v>8S21AS85967-90</v>
      </c>
      <c r="C33" s="6" t="str">
        <f t="shared" si="1"/>
        <v>COMPONENT C. UROLOGIC MANAGEMENT TO PRESERVE INITIAL RENAL FUNCTION PROTOCOL
FOR YOUNG CHILDREN WITH SPINA BIFIDA (UMPIRE PROTOCOL)</v>
      </c>
      <c r="D33" s="6" t="str">
        <f t="shared" si="2"/>
        <v>AIDS SERVICE CENTER  OF LOWER MANHATTAN</v>
      </c>
      <c r="E33">
        <f t="shared" si="3"/>
        <v>9974147</v>
      </c>
      <c r="F33" t="str">
        <f t="shared" si="4"/>
        <v>CDC</v>
      </c>
      <c r="G33" t="str">
        <f t="shared" si="5"/>
        <v>63-6001146</v>
      </c>
      <c r="H33">
        <f t="shared" ca="1" si="6"/>
        <v>755494</v>
      </c>
      <c r="I33" t="str">
        <f t="shared" si="7"/>
        <v>Annual</v>
      </c>
      <c r="N33" s="1">
        <v>101896</v>
      </c>
      <c r="Q33" s="1" t="s">
        <v>466</v>
      </c>
      <c r="T33" s="77" t="s">
        <v>1871</v>
      </c>
      <c r="U33">
        <v>2168146</v>
      </c>
      <c r="V33" s="10" t="s">
        <v>465</v>
      </c>
      <c r="W33" s="10" t="s">
        <v>465</v>
      </c>
      <c r="X33" t="s">
        <v>150</v>
      </c>
      <c r="Y33" s="1" t="s">
        <v>463</v>
      </c>
      <c r="AA33" s="88">
        <f t="shared" ca="1" si="8"/>
        <v>817677</v>
      </c>
      <c r="AB33" t="s">
        <v>283</v>
      </c>
      <c r="AE33" s="46">
        <v>216140</v>
      </c>
      <c r="AF33" s="24" t="s">
        <v>85</v>
      </c>
      <c r="AI33" s="1">
        <v>67316</v>
      </c>
      <c r="AJ33" s="1" t="s">
        <v>119</v>
      </c>
      <c r="AK33" s="1" t="str">
        <f t="shared" si="9"/>
        <v/>
      </c>
      <c r="AL33" t="b">
        <f t="shared" si="10"/>
        <v>1</v>
      </c>
      <c r="AM33" s="49" t="str">
        <f t="shared" si="11"/>
        <v>Q</v>
      </c>
      <c r="AP33" s="10" t="s">
        <v>97</v>
      </c>
      <c r="AS33" t="s">
        <v>119</v>
      </c>
      <c r="AT33" s="6" t="s">
        <v>97</v>
      </c>
      <c r="AU33" s="6" t="str">
        <f t="shared" si="13"/>
        <v/>
      </c>
      <c r="AV33" s="6" t="s">
        <v>96</v>
      </c>
      <c r="AW33" s="6" t="str">
        <f t="shared" si="14"/>
        <v/>
      </c>
    </row>
    <row r="34" spans="1:49" ht="195">
      <c r="A34" s="1">
        <v>67316</v>
      </c>
      <c r="B34" t="str">
        <f t="shared" si="0"/>
        <v>8S21AS85967-90</v>
      </c>
      <c r="C34" s="6" t="str">
        <f t="shared" si="1"/>
        <v>COMPONENT C. UROLOGIC MANAGEMENT TO PRESERVE INITIAL RENAL FUNCTION PROTOCOL
FOR YOUNG CHILDREN WITH SPINA BIFIDA (UMPIRE PROTOCOL)</v>
      </c>
      <c r="D34" s="6" t="str">
        <f t="shared" si="2"/>
        <v>AIDS SERVICE CENTER  OF LOWER MANHATTAN</v>
      </c>
      <c r="E34">
        <f t="shared" si="3"/>
        <v>9974147</v>
      </c>
      <c r="F34" t="str">
        <f t="shared" si="4"/>
        <v>CDC</v>
      </c>
      <c r="G34" t="str">
        <f t="shared" si="5"/>
        <v>63-6001146</v>
      </c>
      <c r="H34">
        <f t="shared" ca="1" si="6"/>
        <v>755494</v>
      </c>
      <c r="I34" t="str">
        <f t="shared" si="7"/>
        <v>Annual</v>
      </c>
      <c r="N34" s="1">
        <v>102138</v>
      </c>
      <c r="Q34" s="1" t="s">
        <v>478</v>
      </c>
      <c r="T34" s="77" t="s">
        <v>1872</v>
      </c>
      <c r="U34">
        <v>27271214</v>
      </c>
      <c r="V34" s="10" t="s">
        <v>477</v>
      </c>
      <c r="W34" s="10" t="s">
        <v>477</v>
      </c>
      <c r="X34" t="s">
        <v>86</v>
      </c>
      <c r="Y34" s="1" t="s">
        <v>475</v>
      </c>
      <c r="AA34" s="88">
        <f t="shared" ca="1" si="8"/>
        <v>931706</v>
      </c>
      <c r="AB34" t="s">
        <v>81</v>
      </c>
      <c r="AE34" s="46">
        <v>216140</v>
      </c>
      <c r="AF34" s="24" t="s">
        <v>85</v>
      </c>
      <c r="AI34" s="1">
        <v>67316</v>
      </c>
      <c r="AJ34" s="1" t="s">
        <v>119</v>
      </c>
      <c r="AK34" s="1" t="str">
        <f t="shared" si="9"/>
        <v/>
      </c>
      <c r="AL34" t="b">
        <f t="shared" si="10"/>
        <v>1</v>
      </c>
      <c r="AM34" s="49" t="str">
        <f t="shared" si="11"/>
        <v>Q</v>
      </c>
      <c r="AP34" s="10" t="s">
        <v>327</v>
      </c>
      <c r="AS34" t="s">
        <v>119</v>
      </c>
      <c r="AT34" s="6" t="s">
        <v>327</v>
      </c>
      <c r="AU34" s="6" t="str">
        <f t="shared" si="13"/>
        <v/>
      </c>
      <c r="AV34" s="6" t="s">
        <v>104</v>
      </c>
      <c r="AW34" s="6" t="str">
        <f t="shared" si="14"/>
        <v/>
      </c>
    </row>
    <row r="35" spans="1:49" ht="135">
      <c r="A35" s="1">
        <v>67316</v>
      </c>
      <c r="B35" t="str">
        <f t="shared" si="0"/>
        <v>8S21AS85967-90</v>
      </c>
      <c r="C35" s="6" t="str">
        <f t="shared" si="1"/>
        <v>COMPONENT C. UROLOGIC MANAGEMENT TO PRESERVE INITIAL RENAL FUNCTION PROTOCOL
FOR YOUNG CHILDREN WITH SPINA BIFIDA (UMPIRE PROTOCOL)</v>
      </c>
      <c r="D35" s="6" t="str">
        <f t="shared" si="2"/>
        <v>AIDS SERVICE CENTER  OF LOWER MANHATTAN</v>
      </c>
      <c r="E35">
        <f t="shared" si="3"/>
        <v>9974147</v>
      </c>
      <c r="F35" t="str">
        <f t="shared" si="4"/>
        <v>CDC</v>
      </c>
      <c r="G35" t="str">
        <f t="shared" si="5"/>
        <v>63-6001146</v>
      </c>
      <c r="H35">
        <f t="shared" ca="1" si="6"/>
        <v>755494</v>
      </c>
      <c r="I35" t="str">
        <f t="shared" si="7"/>
        <v>Annual</v>
      </c>
      <c r="N35" s="1">
        <v>102309</v>
      </c>
      <c r="Q35" s="1" t="s">
        <v>490</v>
      </c>
      <c r="T35" s="80" t="s">
        <v>1873</v>
      </c>
      <c r="U35">
        <v>27271214</v>
      </c>
      <c r="V35" s="10" t="s">
        <v>489</v>
      </c>
      <c r="W35" s="10" t="s">
        <v>489</v>
      </c>
      <c r="X35" t="s">
        <v>117</v>
      </c>
      <c r="Y35" s="1" t="s">
        <v>487</v>
      </c>
      <c r="AA35" s="88">
        <f t="shared" ca="1" si="8"/>
        <v>911685</v>
      </c>
      <c r="AB35" t="s">
        <v>81</v>
      </c>
      <c r="AE35" s="46">
        <v>222289</v>
      </c>
      <c r="AF35" s="24" t="s">
        <v>85</v>
      </c>
      <c r="AI35" s="1">
        <v>67316</v>
      </c>
      <c r="AJ35" s="1" t="s">
        <v>119</v>
      </c>
      <c r="AK35" s="1" t="str">
        <f t="shared" si="9"/>
        <v/>
      </c>
      <c r="AL35" t="b">
        <f t="shared" si="10"/>
        <v>1</v>
      </c>
      <c r="AM35" s="49" t="str">
        <f t="shared" si="11"/>
        <v>Q</v>
      </c>
      <c r="AP35" s="10"/>
      <c r="AS35" t="s">
        <v>119</v>
      </c>
      <c r="AT35" s="6" t="s">
        <v>812</v>
      </c>
      <c r="AU35" s="6" t="str">
        <f t="shared" si="13"/>
        <v/>
      </c>
      <c r="AV35" s="6" t="s">
        <v>811</v>
      </c>
      <c r="AW35" s="6" t="str">
        <f t="shared" si="14"/>
        <v/>
      </c>
    </row>
    <row r="36" spans="1:49" ht="180">
      <c r="A36" s="1">
        <v>67316</v>
      </c>
      <c r="B36" t="str">
        <f t="shared" si="0"/>
        <v>8S21AS85967-90</v>
      </c>
      <c r="C36" s="6" t="str">
        <f t="shared" si="1"/>
        <v>COMPONENT C. UROLOGIC MANAGEMENT TO PRESERVE INITIAL RENAL FUNCTION PROTOCOL
FOR YOUNG CHILDREN WITH SPINA BIFIDA (UMPIRE PROTOCOL)</v>
      </c>
      <c r="D36" s="6" t="str">
        <f t="shared" si="2"/>
        <v>AIDS SERVICE CENTER  OF LOWER MANHATTAN</v>
      </c>
      <c r="E36">
        <f t="shared" si="3"/>
        <v>9974147</v>
      </c>
      <c r="F36" t="str">
        <f t="shared" si="4"/>
        <v>CDC</v>
      </c>
      <c r="G36" t="str">
        <f t="shared" si="5"/>
        <v>63-6001146</v>
      </c>
      <c r="H36">
        <f t="shared" ca="1" si="6"/>
        <v>755494</v>
      </c>
      <c r="I36" t="str">
        <f t="shared" si="7"/>
        <v>Annual</v>
      </c>
      <c r="N36" s="1">
        <v>102635</v>
      </c>
      <c r="Q36" s="1" t="s">
        <v>499</v>
      </c>
      <c r="T36" s="79" t="s">
        <v>1874</v>
      </c>
      <c r="U36">
        <v>21346824</v>
      </c>
      <c r="V36" s="10" t="s">
        <v>498</v>
      </c>
      <c r="W36" s="10" t="s">
        <v>498</v>
      </c>
      <c r="X36" t="s">
        <v>132</v>
      </c>
      <c r="Y36" s="1" t="s">
        <v>496</v>
      </c>
      <c r="AA36" s="88">
        <f t="shared" ca="1" si="8"/>
        <v>942147</v>
      </c>
      <c r="AB36" t="s">
        <v>81</v>
      </c>
      <c r="AE36" s="46">
        <v>222289</v>
      </c>
      <c r="AF36" s="24" t="s">
        <v>85</v>
      </c>
      <c r="AI36" s="1">
        <v>67316</v>
      </c>
      <c r="AJ36" s="1" t="s">
        <v>119</v>
      </c>
      <c r="AK36" s="1" t="str">
        <f t="shared" si="9"/>
        <v/>
      </c>
      <c r="AL36" t="b">
        <f t="shared" si="10"/>
        <v>1</v>
      </c>
      <c r="AM36" s="49" t="str">
        <f t="shared" si="11"/>
        <v>Q</v>
      </c>
      <c r="AP36" s="10"/>
      <c r="AS36" t="s">
        <v>119</v>
      </c>
      <c r="AT36" s="6" t="s">
        <v>812</v>
      </c>
      <c r="AU36" s="6" t="str">
        <f t="shared" si="13"/>
        <v/>
      </c>
      <c r="AV36" s="6" t="s">
        <v>811</v>
      </c>
      <c r="AW36" s="6" t="str">
        <f t="shared" si="14"/>
        <v/>
      </c>
    </row>
    <row r="37" spans="1:49" ht="150">
      <c r="A37" s="1">
        <v>67455</v>
      </c>
      <c r="B37" t="str">
        <f t="shared" si="0"/>
        <v>9R13IR85968-77</v>
      </c>
      <c r="C37" s="6" t="str">
        <f t="shared" si="1"/>
        <v>LOS ANGELES COUNTY EPIDEMIOLOGY AND LABORATORY CAPACITY COOPERATIVE AGREEMENT 2019</v>
      </c>
      <c r="D37" s="6" t="str">
        <f t="shared" si="2"/>
        <v>ALBERT EINSTEIN COLLEGE  OF MEDICINE INC</v>
      </c>
      <c r="E37">
        <f t="shared" si="3"/>
        <v>9974147</v>
      </c>
      <c r="F37" t="str">
        <f t="shared" si="4"/>
        <v>NIH</v>
      </c>
      <c r="G37" t="str">
        <f t="shared" si="5"/>
        <v>63-6001147</v>
      </c>
      <c r="H37">
        <f t="shared" ca="1" si="6"/>
        <v>813255</v>
      </c>
      <c r="I37" t="str">
        <f t="shared" si="7"/>
        <v>Annual</v>
      </c>
      <c r="N37" s="1">
        <v>108149</v>
      </c>
      <c r="Q37" s="1" t="s">
        <v>507</v>
      </c>
      <c r="T37" s="77" t="s">
        <v>1875</v>
      </c>
      <c r="U37">
        <v>21346824</v>
      </c>
      <c r="V37" s="10" t="s">
        <v>506</v>
      </c>
      <c r="W37" s="10" t="s">
        <v>506</v>
      </c>
      <c r="X37" t="s">
        <v>150</v>
      </c>
      <c r="Y37" s="1" t="s">
        <v>504</v>
      </c>
      <c r="AA37" s="88">
        <f t="shared" ca="1" si="8"/>
        <v>771041</v>
      </c>
      <c r="AB37" t="s">
        <v>81</v>
      </c>
      <c r="AE37" s="46">
        <v>224763</v>
      </c>
      <c r="AF37" s="24" t="s">
        <v>85</v>
      </c>
      <c r="AI37" s="1">
        <v>67455</v>
      </c>
      <c r="AJ37" s="1" t="s">
        <v>119</v>
      </c>
      <c r="AK37" s="1" t="str">
        <f t="shared" si="9"/>
        <v/>
      </c>
      <c r="AL37" t="b">
        <f t="shared" si="10"/>
        <v>1</v>
      </c>
      <c r="AM37" s="49" t="str">
        <f t="shared" si="11"/>
        <v>Q</v>
      </c>
      <c r="AP37" s="10" t="s">
        <v>97</v>
      </c>
      <c r="AS37" t="s">
        <v>119</v>
      </c>
      <c r="AT37" s="6" t="s">
        <v>97</v>
      </c>
      <c r="AU37" s="6" t="str">
        <f t="shared" si="13"/>
        <v/>
      </c>
      <c r="AV37" s="6" t="s">
        <v>96</v>
      </c>
      <c r="AW37" s="6" t="str">
        <f t="shared" si="14"/>
        <v/>
      </c>
    </row>
    <row r="38" spans="1:49" ht="285">
      <c r="A38" s="1">
        <v>67455</v>
      </c>
      <c r="B38" t="str">
        <f t="shared" si="0"/>
        <v>9R13IR85968-77</v>
      </c>
      <c r="C38" s="6" t="str">
        <f t="shared" si="1"/>
        <v>LOS ANGELES COUNTY EPIDEMIOLOGY AND LABORATORY CAPACITY COOPERATIVE AGREEMENT 2019</v>
      </c>
      <c r="D38" s="6" t="str">
        <f t="shared" si="2"/>
        <v>ALBERT EINSTEIN COLLEGE  OF MEDICINE INC</v>
      </c>
      <c r="E38">
        <f t="shared" si="3"/>
        <v>9974147</v>
      </c>
      <c r="F38" t="str">
        <f t="shared" si="4"/>
        <v>NIH</v>
      </c>
      <c r="G38" t="str">
        <f t="shared" si="5"/>
        <v>63-6001147</v>
      </c>
      <c r="H38">
        <f t="shared" ca="1" si="6"/>
        <v>813255</v>
      </c>
      <c r="I38" t="str">
        <f t="shared" si="7"/>
        <v>Annual</v>
      </c>
      <c r="N38" s="1">
        <v>111191</v>
      </c>
      <c r="Q38" s="1" t="s">
        <v>516</v>
      </c>
      <c r="T38" s="74" t="s">
        <v>1876</v>
      </c>
      <c r="U38">
        <v>21346824</v>
      </c>
      <c r="V38" s="10" t="s">
        <v>515</v>
      </c>
      <c r="W38" s="10" t="s">
        <v>515</v>
      </c>
      <c r="X38" t="s">
        <v>86</v>
      </c>
      <c r="Y38" s="1" t="s">
        <v>513</v>
      </c>
      <c r="AA38" s="88">
        <f t="shared" ca="1" si="8"/>
        <v>795907</v>
      </c>
      <c r="AB38" t="s">
        <v>81</v>
      </c>
      <c r="AE38" s="46">
        <v>224763</v>
      </c>
      <c r="AF38" s="24" t="s">
        <v>85</v>
      </c>
      <c r="AI38" s="1">
        <v>67455</v>
      </c>
      <c r="AJ38" s="1" t="s">
        <v>119</v>
      </c>
      <c r="AK38" s="1" t="str">
        <f t="shared" si="9"/>
        <v/>
      </c>
      <c r="AL38" t="b">
        <f t="shared" si="10"/>
        <v>1</v>
      </c>
      <c r="AM38" s="49" t="str">
        <f t="shared" si="11"/>
        <v>Q</v>
      </c>
      <c r="AP38" s="10" t="s">
        <v>327</v>
      </c>
      <c r="AS38" t="s">
        <v>119</v>
      </c>
      <c r="AT38" s="6" t="s">
        <v>327</v>
      </c>
      <c r="AU38" s="6" t="str">
        <f t="shared" si="13"/>
        <v/>
      </c>
      <c r="AV38" s="6" t="s">
        <v>104</v>
      </c>
      <c r="AW38" s="6" t="str">
        <f t="shared" si="14"/>
        <v/>
      </c>
    </row>
    <row r="39" spans="1:49" ht="180">
      <c r="A39" s="1">
        <v>67455</v>
      </c>
      <c r="B39" t="str">
        <f t="shared" si="0"/>
        <v>9R13IR85968-77</v>
      </c>
      <c r="C39" s="6" t="str">
        <f t="shared" si="1"/>
        <v>LOS ANGELES COUNTY EPIDEMIOLOGY AND LABORATORY CAPACITY COOPERATIVE AGREEMENT 2019</v>
      </c>
      <c r="D39" s="6" t="str">
        <f t="shared" si="2"/>
        <v>ALBERT EINSTEIN COLLEGE  OF MEDICINE INC</v>
      </c>
      <c r="E39">
        <f t="shared" si="3"/>
        <v>9974147</v>
      </c>
      <c r="F39" t="str">
        <f t="shared" si="4"/>
        <v>NIH</v>
      </c>
      <c r="G39" t="str">
        <f t="shared" si="5"/>
        <v>63-6001147</v>
      </c>
      <c r="H39">
        <f t="shared" ca="1" si="6"/>
        <v>813255</v>
      </c>
      <c r="I39" t="str">
        <f t="shared" si="7"/>
        <v>Annual</v>
      </c>
      <c r="N39" s="1">
        <v>112930</v>
      </c>
      <c r="Q39" s="1" t="s">
        <v>525</v>
      </c>
      <c r="T39" s="75" t="s">
        <v>1877</v>
      </c>
      <c r="U39">
        <v>32122094</v>
      </c>
      <c r="V39" s="10" t="s">
        <v>524</v>
      </c>
      <c r="W39" s="10" t="s">
        <v>524</v>
      </c>
      <c r="X39" t="s">
        <v>117</v>
      </c>
      <c r="Y39" s="1" t="s">
        <v>522</v>
      </c>
      <c r="AA39" s="88">
        <f t="shared" ca="1" si="8"/>
        <v>797535</v>
      </c>
      <c r="AB39" t="s">
        <v>81</v>
      </c>
      <c r="AE39" s="46">
        <v>228285</v>
      </c>
      <c r="AF39" s="24" t="s">
        <v>584</v>
      </c>
      <c r="AI39" s="1">
        <v>67455</v>
      </c>
      <c r="AJ39" s="1" t="s">
        <v>119</v>
      </c>
      <c r="AK39" s="1" t="str">
        <f t="shared" si="9"/>
        <v/>
      </c>
      <c r="AL39" t="b">
        <f t="shared" si="10"/>
        <v>1</v>
      </c>
      <c r="AM39" s="49" t="str">
        <f t="shared" si="11"/>
        <v>Q</v>
      </c>
      <c r="AP39" s="10"/>
      <c r="AS39" t="s">
        <v>119</v>
      </c>
      <c r="AT39" s="6" t="s">
        <v>812</v>
      </c>
      <c r="AU39" s="6" t="str">
        <f t="shared" si="13"/>
        <v/>
      </c>
      <c r="AV39" s="6" t="s">
        <v>811</v>
      </c>
      <c r="AW39" s="6" t="str">
        <f t="shared" si="14"/>
        <v/>
      </c>
    </row>
    <row r="40" spans="1:49" ht="135">
      <c r="A40" s="1">
        <v>67455</v>
      </c>
      <c r="B40" t="str">
        <f t="shared" si="0"/>
        <v>9R13IR85968-77</v>
      </c>
      <c r="C40" s="6" t="str">
        <f t="shared" si="1"/>
        <v>LOS ANGELES COUNTY EPIDEMIOLOGY AND LABORATORY CAPACITY COOPERATIVE AGREEMENT 2019</v>
      </c>
      <c r="D40" s="6" t="str">
        <f t="shared" si="2"/>
        <v>ALBERT EINSTEIN COLLEGE  OF MEDICINE INC</v>
      </c>
      <c r="E40">
        <f t="shared" si="3"/>
        <v>9974147</v>
      </c>
      <c r="F40" t="str">
        <f t="shared" si="4"/>
        <v>NIH</v>
      </c>
      <c r="G40" t="str">
        <f t="shared" si="5"/>
        <v>63-6001147</v>
      </c>
      <c r="H40">
        <f t="shared" ca="1" si="6"/>
        <v>813255</v>
      </c>
      <c r="I40" t="str">
        <f t="shared" si="7"/>
        <v>Annual</v>
      </c>
      <c r="N40" s="1">
        <v>120400</v>
      </c>
      <c r="Q40" s="1" t="s">
        <v>532</v>
      </c>
      <c r="T40" s="77" t="s">
        <v>1878</v>
      </c>
      <c r="U40">
        <v>32122094</v>
      </c>
      <c r="V40" s="10" t="s">
        <v>531</v>
      </c>
      <c r="W40" s="10" t="s">
        <v>531</v>
      </c>
      <c r="X40" t="s">
        <v>132</v>
      </c>
      <c r="Y40" s="1" t="s">
        <v>529</v>
      </c>
      <c r="AA40" s="88">
        <f t="shared" ca="1" si="8"/>
        <v>849857</v>
      </c>
      <c r="AB40" t="s">
        <v>81</v>
      </c>
      <c r="AE40" s="46">
        <v>228285</v>
      </c>
      <c r="AF40" s="24" t="s">
        <v>584</v>
      </c>
      <c r="AI40" s="1">
        <v>67455</v>
      </c>
      <c r="AJ40" s="1" t="s">
        <v>119</v>
      </c>
      <c r="AK40" s="1" t="str">
        <f t="shared" si="9"/>
        <v/>
      </c>
      <c r="AL40" t="b">
        <f t="shared" si="10"/>
        <v>1</v>
      </c>
      <c r="AM40" s="49" t="str">
        <f t="shared" si="11"/>
        <v>Q</v>
      </c>
      <c r="AP40" s="10"/>
      <c r="AS40" t="s">
        <v>119</v>
      </c>
      <c r="AT40" s="6" t="s">
        <v>812</v>
      </c>
      <c r="AU40" s="6" t="str">
        <f t="shared" si="13"/>
        <v/>
      </c>
      <c r="AV40" s="6" t="s">
        <v>811</v>
      </c>
      <c r="AW40" s="6" t="str">
        <f t="shared" si="14"/>
        <v/>
      </c>
    </row>
    <row r="41" spans="1:49" ht="150">
      <c r="A41" s="1">
        <v>70538</v>
      </c>
      <c r="B41" t="str">
        <f t="shared" si="0"/>
        <v>8R35DR84190-19</v>
      </c>
      <c r="C41" s="6" t="str">
        <f t="shared" si="1"/>
        <v>PHFE CDPH ELC 2019-2024</v>
      </c>
      <c r="D41" s="6" t="str">
        <f t="shared" si="2"/>
        <v>BOOM!HEALTH</v>
      </c>
      <c r="E41">
        <f t="shared" si="3"/>
        <v>9974147</v>
      </c>
      <c r="F41" t="str">
        <f t="shared" si="4"/>
        <v>FDA</v>
      </c>
      <c r="G41" t="str">
        <f t="shared" si="5"/>
        <v>63-6001148</v>
      </c>
      <c r="H41">
        <f t="shared" ca="1" si="6"/>
        <v>815159</v>
      </c>
      <c r="I41" t="str">
        <f t="shared" si="7"/>
        <v>Annual</v>
      </c>
      <c r="N41" s="1">
        <v>121044</v>
      </c>
      <c r="Q41" s="1" t="s">
        <v>547</v>
      </c>
      <c r="T41" s="77" t="s">
        <v>1879</v>
      </c>
      <c r="U41">
        <v>32122094</v>
      </c>
      <c r="V41" s="10" t="s">
        <v>546</v>
      </c>
      <c r="W41" s="10" t="s">
        <v>546</v>
      </c>
      <c r="X41" t="s">
        <v>150</v>
      </c>
      <c r="Y41" s="1" t="s">
        <v>544</v>
      </c>
      <c r="AA41" s="88">
        <f t="shared" ca="1" si="8"/>
        <v>847995</v>
      </c>
      <c r="AB41" t="s">
        <v>81</v>
      </c>
      <c r="AE41" s="46">
        <v>228285</v>
      </c>
      <c r="AF41" s="24" t="s">
        <v>584</v>
      </c>
      <c r="AI41" s="1">
        <v>70538</v>
      </c>
      <c r="AJ41" s="1" t="s">
        <v>119</v>
      </c>
      <c r="AK41" s="1" t="str">
        <f t="shared" si="9"/>
        <v/>
      </c>
      <c r="AL41" t="b">
        <f t="shared" si="10"/>
        <v>1</v>
      </c>
      <c r="AM41" s="49" t="str">
        <f t="shared" si="11"/>
        <v>Q</v>
      </c>
      <c r="AP41" s="10" t="s">
        <v>97</v>
      </c>
      <c r="AS41" t="s">
        <v>119</v>
      </c>
      <c r="AT41" s="6" t="s">
        <v>97</v>
      </c>
      <c r="AU41" s="6" t="str">
        <f t="shared" si="13"/>
        <v/>
      </c>
      <c r="AV41" s="6" t="s">
        <v>96</v>
      </c>
      <c r="AW41" s="6" t="str">
        <f t="shared" si="14"/>
        <v/>
      </c>
    </row>
    <row r="42" spans="1:49" ht="75">
      <c r="A42" s="1">
        <v>70538</v>
      </c>
      <c r="B42" t="str">
        <f t="shared" si="0"/>
        <v>8R35DR84190-19</v>
      </c>
      <c r="C42" s="6" t="str">
        <f t="shared" si="1"/>
        <v>PHFE CDPH ELC 2019-2024</v>
      </c>
      <c r="D42" s="6" t="str">
        <f t="shared" si="2"/>
        <v>BOOM!HEALTH</v>
      </c>
      <c r="E42">
        <f t="shared" si="3"/>
        <v>9974147</v>
      </c>
      <c r="F42" t="str">
        <f t="shared" si="4"/>
        <v>FDA</v>
      </c>
      <c r="G42" t="str">
        <f t="shared" si="5"/>
        <v>63-6001148</v>
      </c>
      <c r="H42">
        <f t="shared" ca="1" si="6"/>
        <v>815159</v>
      </c>
      <c r="I42" t="str">
        <f t="shared" si="7"/>
        <v>Annual</v>
      </c>
      <c r="N42" s="1">
        <v>125403</v>
      </c>
      <c r="Q42" s="1" t="s">
        <v>562</v>
      </c>
      <c r="T42" s="79" t="s">
        <v>1880</v>
      </c>
      <c r="U42">
        <v>15251087</v>
      </c>
      <c r="V42" s="10" t="s">
        <v>561</v>
      </c>
      <c r="W42" s="10" t="s">
        <v>561</v>
      </c>
      <c r="X42" t="s">
        <v>86</v>
      </c>
      <c r="Y42" s="1" t="s">
        <v>559</v>
      </c>
      <c r="AA42" s="88">
        <f t="shared" ca="1" si="8"/>
        <v>991617</v>
      </c>
      <c r="AB42" t="s">
        <v>81</v>
      </c>
      <c r="AE42" s="46">
        <v>230722</v>
      </c>
      <c r="AF42" s="24" t="s">
        <v>425</v>
      </c>
      <c r="AI42" s="1">
        <v>70538</v>
      </c>
      <c r="AJ42" s="1" t="s">
        <v>119</v>
      </c>
      <c r="AK42" s="1" t="str">
        <f t="shared" si="9"/>
        <v/>
      </c>
      <c r="AL42" t="b">
        <f t="shared" si="10"/>
        <v>1</v>
      </c>
      <c r="AM42" s="49" t="str">
        <f t="shared" si="11"/>
        <v>Q</v>
      </c>
      <c r="AP42" s="10" t="s">
        <v>327</v>
      </c>
      <c r="AS42" t="s">
        <v>119</v>
      </c>
      <c r="AT42" s="6" t="s">
        <v>327</v>
      </c>
      <c r="AU42" s="6" t="str">
        <f t="shared" si="13"/>
        <v/>
      </c>
      <c r="AV42" s="6" t="s">
        <v>104</v>
      </c>
      <c r="AW42" s="6" t="str">
        <f t="shared" si="14"/>
        <v/>
      </c>
    </row>
    <row r="43" spans="1:49" ht="45">
      <c r="A43" s="1">
        <v>70538</v>
      </c>
      <c r="B43" t="str">
        <f t="shared" si="0"/>
        <v>8R35DR84190-19</v>
      </c>
      <c r="C43" s="6" t="str">
        <f t="shared" si="1"/>
        <v>PHFE CDPH ELC 2019-2024</v>
      </c>
      <c r="D43" s="6" t="str">
        <f t="shared" si="2"/>
        <v>BOOM!HEALTH</v>
      </c>
      <c r="E43">
        <f t="shared" si="3"/>
        <v>9974147</v>
      </c>
      <c r="F43" t="str">
        <f t="shared" si="4"/>
        <v>FDA</v>
      </c>
      <c r="G43" t="str">
        <f t="shared" si="5"/>
        <v>63-6001148</v>
      </c>
      <c r="H43">
        <f t="shared" ca="1" si="6"/>
        <v>815159</v>
      </c>
      <c r="I43" t="str">
        <f t="shared" si="7"/>
        <v>Annual</v>
      </c>
      <c r="N43" s="1">
        <v>125970</v>
      </c>
      <c r="Q43" s="1" t="s">
        <v>572</v>
      </c>
      <c r="T43" s="78" t="s">
        <v>1881</v>
      </c>
      <c r="U43">
        <v>15251087</v>
      </c>
      <c r="V43" s="10" t="s">
        <v>571</v>
      </c>
      <c r="W43" s="10" t="s">
        <v>571</v>
      </c>
      <c r="X43" t="s">
        <v>117</v>
      </c>
      <c r="Y43" s="1" t="s">
        <v>569</v>
      </c>
      <c r="AA43" s="88">
        <f t="shared" ca="1" si="8"/>
        <v>823112</v>
      </c>
      <c r="AB43" t="s">
        <v>81</v>
      </c>
      <c r="AE43" s="46">
        <v>234203</v>
      </c>
      <c r="AF43" s="24" t="s">
        <v>85</v>
      </c>
      <c r="AI43" s="1">
        <v>70538</v>
      </c>
      <c r="AJ43" s="1" t="s">
        <v>119</v>
      </c>
      <c r="AK43" s="1" t="str">
        <f t="shared" si="9"/>
        <v/>
      </c>
      <c r="AL43" t="b">
        <f t="shared" si="10"/>
        <v>1</v>
      </c>
      <c r="AM43" s="49" t="str">
        <f t="shared" si="11"/>
        <v>Q</v>
      </c>
      <c r="AP43" s="10" t="s">
        <v>113</v>
      </c>
      <c r="AS43" t="s">
        <v>119</v>
      </c>
      <c r="AT43" s="6" t="s">
        <v>113</v>
      </c>
      <c r="AU43" s="6" t="str">
        <f t="shared" si="13"/>
        <v/>
      </c>
      <c r="AV43" s="6" t="s">
        <v>112</v>
      </c>
      <c r="AW43" s="6" t="str">
        <f t="shared" si="14"/>
        <v/>
      </c>
    </row>
    <row r="44" spans="1:49" ht="90">
      <c r="A44" s="1">
        <v>71379</v>
      </c>
      <c r="B44" t="str">
        <f t="shared" si="0"/>
        <v>5H66CT89998-17</v>
      </c>
      <c r="C44" s="6" t="str">
        <f t="shared" si="1"/>
        <v>CHARACTERIZING THE COMPLICATIONS ASSOCIATED WITH THERAPEUTIC BLOOD TRANSFUSIONS FOR HEMOGLOBINOPATHIES</v>
      </c>
      <c r="D44" s="6" t="str">
        <f t="shared" si="2"/>
        <v>CICATELLI ASSOCIATES, INC</v>
      </c>
      <c r="E44">
        <f t="shared" si="3"/>
        <v>9974147</v>
      </c>
      <c r="F44" t="str">
        <f t="shared" si="4"/>
        <v>ACF</v>
      </c>
      <c r="G44" t="str">
        <f t="shared" si="5"/>
        <v>63-6001149</v>
      </c>
      <c r="H44">
        <f t="shared" ca="1" si="6"/>
        <v>938459</v>
      </c>
      <c r="I44" t="str">
        <f t="shared" si="7"/>
        <v>Annual</v>
      </c>
      <c r="N44" s="1">
        <v>126069</v>
      </c>
      <c r="Q44" s="1" t="s">
        <v>582</v>
      </c>
      <c r="T44" s="77" t="s">
        <v>1882</v>
      </c>
      <c r="U44">
        <v>15251087</v>
      </c>
      <c r="V44" s="10" t="s">
        <v>581</v>
      </c>
      <c r="W44" s="10" t="s">
        <v>581</v>
      </c>
      <c r="X44" t="s">
        <v>132</v>
      </c>
      <c r="Y44" s="1" t="s">
        <v>579</v>
      </c>
      <c r="AA44" s="88">
        <f t="shared" ca="1" si="8"/>
        <v>796092</v>
      </c>
      <c r="AB44" t="s">
        <v>81</v>
      </c>
      <c r="AE44" s="46">
        <v>234203</v>
      </c>
      <c r="AF44" s="24" t="s">
        <v>85</v>
      </c>
      <c r="AI44" s="1">
        <v>71379</v>
      </c>
      <c r="AJ44" s="1" t="s">
        <v>119</v>
      </c>
      <c r="AK44" s="1" t="str">
        <f t="shared" si="9"/>
        <v/>
      </c>
      <c r="AL44" t="b">
        <f t="shared" si="10"/>
        <v>1</v>
      </c>
      <c r="AM44" s="49" t="str">
        <f t="shared" si="11"/>
        <v>Q</v>
      </c>
      <c r="AP44" s="10" t="s">
        <v>97</v>
      </c>
      <c r="AS44" t="s">
        <v>119</v>
      </c>
      <c r="AT44" s="6" t="s">
        <v>97</v>
      </c>
      <c r="AU44" s="6" t="str">
        <f t="shared" si="13"/>
        <v/>
      </c>
      <c r="AV44" s="6" t="s">
        <v>96</v>
      </c>
      <c r="AW44" s="6" t="str">
        <f t="shared" si="14"/>
        <v/>
      </c>
    </row>
    <row r="45" spans="1:49" ht="90">
      <c r="A45" s="1">
        <v>71379</v>
      </c>
      <c r="B45" t="str">
        <f t="shared" si="0"/>
        <v>5H66CT89998-17</v>
      </c>
      <c r="C45" s="6" t="str">
        <f t="shared" si="1"/>
        <v>CHARACTERIZING THE COMPLICATIONS ASSOCIATED WITH THERAPEUTIC BLOOD TRANSFUSIONS FOR HEMOGLOBINOPATHIES</v>
      </c>
      <c r="D45" s="6" t="str">
        <f t="shared" si="2"/>
        <v>CICATELLI ASSOCIATES, INC</v>
      </c>
      <c r="E45">
        <f t="shared" si="3"/>
        <v>9974147</v>
      </c>
      <c r="F45" t="str">
        <f t="shared" si="4"/>
        <v>ACF</v>
      </c>
      <c r="G45" t="str">
        <f t="shared" si="5"/>
        <v>63-6001149</v>
      </c>
      <c r="H45">
        <f t="shared" ca="1" si="6"/>
        <v>938459</v>
      </c>
      <c r="I45" t="str">
        <f t="shared" si="7"/>
        <v>Annual</v>
      </c>
      <c r="N45" s="1">
        <v>126181</v>
      </c>
      <c r="Q45" s="1" t="s">
        <v>594</v>
      </c>
      <c r="T45" s="77" t="s">
        <v>1883</v>
      </c>
      <c r="U45">
        <v>7405939</v>
      </c>
      <c r="V45" s="10" t="s">
        <v>593</v>
      </c>
      <c r="W45" s="10" t="s">
        <v>593</v>
      </c>
      <c r="X45" t="s">
        <v>150</v>
      </c>
      <c r="Y45" s="1" t="s">
        <v>591</v>
      </c>
      <c r="AA45" s="88">
        <f t="shared" ca="1" si="8"/>
        <v>843738</v>
      </c>
      <c r="AB45" t="s">
        <v>81</v>
      </c>
      <c r="AE45" s="46">
        <v>239787</v>
      </c>
      <c r="AF45" s="24" t="s">
        <v>584</v>
      </c>
      <c r="AI45" s="1">
        <v>71379</v>
      </c>
      <c r="AJ45" s="1" t="s">
        <v>119</v>
      </c>
      <c r="AK45" s="1" t="str">
        <f t="shared" si="9"/>
        <v/>
      </c>
      <c r="AL45" t="b">
        <f t="shared" si="10"/>
        <v>1</v>
      </c>
      <c r="AM45" s="49" t="str">
        <f t="shared" si="11"/>
        <v>Q</v>
      </c>
      <c r="AP45" s="10" t="s">
        <v>327</v>
      </c>
      <c r="AS45" t="s">
        <v>119</v>
      </c>
      <c r="AT45" s="6" t="s">
        <v>327</v>
      </c>
      <c r="AU45" s="6" t="str">
        <f t="shared" si="13"/>
        <v/>
      </c>
      <c r="AV45" s="6" t="s">
        <v>104</v>
      </c>
      <c r="AW45" s="6" t="str">
        <f t="shared" si="14"/>
        <v/>
      </c>
    </row>
    <row r="46" spans="1:49" ht="90.75" thickBot="1">
      <c r="A46" s="1">
        <v>71379</v>
      </c>
      <c r="B46" t="str">
        <f t="shared" si="0"/>
        <v>5H66CT89998-17</v>
      </c>
      <c r="C46" s="6" t="str">
        <f t="shared" si="1"/>
        <v>CHARACTERIZING THE COMPLICATIONS ASSOCIATED WITH THERAPEUTIC BLOOD TRANSFUSIONS FOR HEMOGLOBINOPATHIES</v>
      </c>
      <c r="D46" s="6" t="str">
        <f t="shared" si="2"/>
        <v>CICATELLI ASSOCIATES, INC</v>
      </c>
      <c r="E46">
        <f t="shared" si="3"/>
        <v>9974147</v>
      </c>
      <c r="F46" t="str">
        <f t="shared" si="4"/>
        <v>ACF</v>
      </c>
      <c r="G46" t="str">
        <f t="shared" si="5"/>
        <v>63-6001149</v>
      </c>
      <c r="H46">
        <f t="shared" ca="1" si="6"/>
        <v>938459</v>
      </c>
      <c r="I46" t="str">
        <f t="shared" si="7"/>
        <v>Annual</v>
      </c>
      <c r="N46" s="1">
        <v>126273</v>
      </c>
      <c r="Q46" s="1" t="s">
        <v>602</v>
      </c>
      <c r="T46" s="79" t="s">
        <v>1884</v>
      </c>
      <c r="U46">
        <v>7405939</v>
      </c>
      <c r="V46" s="10" t="s">
        <v>601</v>
      </c>
      <c r="W46" s="10" t="s">
        <v>601</v>
      </c>
      <c r="X46" t="s">
        <v>86</v>
      </c>
      <c r="Y46" s="1" t="s">
        <v>599</v>
      </c>
      <c r="AA46" s="88">
        <f t="shared" ca="1" si="8"/>
        <v>796083</v>
      </c>
      <c r="AB46" t="s">
        <v>81</v>
      </c>
      <c r="AE46" s="91">
        <v>249556</v>
      </c>
      <c r="AF46" s="92" t="s">
        <v>584</v>
      </c>
      <c r="AI46" s="1">
        <v>71379</v>
      </c>
      <c r="AJ46" s="1" t="s">
        <v>119</v>
      </c>
      <c r="AK46" s="1" t="str">
        <f t="shared" si="9"/>
        <v/>
      </c>
      <c r="AL46" t="b">
        <f t="shared" si="10"/>
        <v>1</v>
      </c>
      <c r="AM46" s="49" t="str">
        <f t="shared" si="11"/>
        <v>Q</v>
      </c>
      <c r="AP46" s="10"/>
      <c r="AS46" t="s">
        <v>119</v>
      </c>
      <c r="AT46" s="6" t="s">
        <v>812</v>
      </c>
      <c r="AU46" s="6" t="str">
        <f t="shared" si="13"/>
        <v/>
      </c>
      <c r="AV46" s="6" t="s">
        <v>811</v>
      </c>
      <c r="AW46" s="6" t="str">
        <f t="shared" si="14"/>
        <v/>
      </c>
    </row>
    <row r="47" spans="1:49" ht="90">
      <c r="A47" s="1">
        <v>71379</v>
      </c>
      <c r="B47" t="str">
        <f t="shared" si="0"/>
        <v>5H66CT89998-17</v>
      </c>
      <c r="C47" s="6" t="str">
        <f t="shared" si="1"/>
        <v>CHARACTERIZING THE COMPLICATIONS ASSOCIATED WITH THERAPEUTIC BLOOD TRANSFUSIONS FOR HEMOGLOBINOPATHIES</v>
      </c>
      <c r="D47" s="6" t="str">
        <f t="shared" si="2"/>
        <v>CICATELLI ASSOCIATES, INC</v>
      </c>
      <c r="E47">
        <f t="shared" si="3"/>
        <v>9974147</v>
      </c>
      <c r="F47" t="str">
        <f t="shared" si="4"/>
        <v>ACF</v>
      </c>
      <c r="G47" t="str">
        <f t="shared" si="5"/>
        <v>63-6001149</v>
      </c>
      <c r="H47">
        <f t="shared" ca="1" si="6"/>
        <v>938459</v>
      </c>
      <c r="I47" t="str">
        <f t="shared" si="7"/>
        <v>Annual</v>
      </c>
      <c r="N47" s="1">
        <v>126274</v>
      </c>
      <c r="Q47" s="1" t="s">
        <v>610</v>
      </c>
      <c r="T47" s="77" t="s">
        <v>1882</v>
      </c>
      <c r="U47">
        <v>7405939</v>
      </c>
      <c r="V47" s="10" t="s">
        <v>609</v>
      </c>
      <c r="W47" s="10" t="s">
        <v>609</v>
      </c>
      <c r="X47" t="s">
        <v>117</v>
      </c>
      <c r="Y47" s="1" t="s">
        <v>607</v>
      </c>
      <c r="AA47" s="88">
        <f t="shared" ca="1" si="8"/>
        <v>813397</v>
      </c>
      <c r="AB47" t="s">
        <v>81</v>
      </c>
      <c r="AI47" s="1">
        <v>71379</v>
      </c>
      <c r="AJ47" s="1" t="s">
        <v>119</v>
      </c>
      <c r="AK47" s="1" t="str">
        <f t="shared" si="9"/>
        <v/>
      </c>
      <c r="AL47" t="b">
        <f t="shared" si="10"/>
        <v>1</v>
      </c>
      <c r="AM47" s="49" t="str">
        <f t="shared" si="11"/>
        <v>Q</v>
      </c>
      <c r="AP47" s="10"/>
      <c r="AS47" t="s">
        <v>119</v>
      </c>
      <c r="AT47" s="6" t="s">
        <v>812</v>
      </c>
      <c r="AU47" s="6" t="str">
        <f t="shared" si="13"/>
        <v/>
      </c>
      <c r="AV47" s="6" t="s">
        <v>811</v>
      </c>
      <c r="AW47" s="6" t="str">
        <f t="shared" si="14"/>
        <v/>
      </c>
    </row>
    <row r="48" spans="1:49" ht="120">
      <c r="A48" s="1">
        <v>79155</v>
      </c>
      <c r="B48" t="str">
        <f t="shared" si="0"/>
        <v>4S83DS89996-50</v>
      </c>
      <c r="C48" s="6" t="str">
        <f t="shared" si="1"/>
        <v>PACKAGING AND SPREADING THE STANFORD PEDIATRIC WEIGHT CONTROL PROGRAM - A FAMILY-BASED, GROUP, BEHAVIORAL WEIGHT
CONTROL PROGRAM FOR CHILDREN WITH OBESITY AND THEIR FAMILIES</v>
      </c>
      <c r="D48" s="6" t="str">
        <f t="shared" si="2"/>
        <v>COLUMBIA UNIVERSITY, SCHOOL OF ARTS AND SCIENCES</v>
      </c>
      <c r="E48">
        <f t="shared" si="3"/>
        <v>9974147</v>
      </c>
      <c r="F48" t="str">
        <f t="shared" si="4"/>
        <v>CDC</v>
      </c>
      <c r="G48" t="str">
        <f t="shared" si="5"/>
        <v>63-6001150</v>
      </c>
      <c r="H48">
        <f t="shared" ca="1" si="6"/>
        <v>856031</v>
      </c>
      <c r="I48" t="str">
        <f t="shared" si="7"/>
        <v>Annual</v>
      </c>
      <c r="N48" s="1">
        <v>126275</v>
      </c>
      <c r="Q48" s="1" t="s">
        <v>617</v>
      </c>
      <c r="T48" s="72" t="s">
        <v>1885</v>
      </c>
      <c r="U48">
        <v>7405939</v>
      </c>
      <c r="V48" s="10" t="s">
        <v>616</v>
      </c>
      <c r="W48" s="10" t="s">
        <v>616</v>
      </c>
      <c r="X48" t="s">
        <v>132</v>
      </c>
      <c r="Y48" s="1" t="s">
        <v>614</v>
      </c>
      <c r="AA48" s="88">
        <f t="shared" ca="1" si="8"/>
        <v>771391</v>
      </c>
      <c r="AB48" t="s">
        <v>81</v>
      </c>
      <c r="AI48" s="1">
        <v>79155</v>
      </c>
      <c r="AJ48" s="1" t="s">
        <v>119</v>
      </c>
      <c r="AK48" s="1" t="str">
        <f t="shared" si="9"/>
        <v/>
      </c>
      <c r="AL48" t="b">
        <f t="shared" si="10"/>
        <v>1</v>
      </c>
      <c r="AM48" s="49" t="str">
        <f t="shared" si="11"/>
        <v>Q</v>
      </c>
      <c r="AP48" s="10" t="s">
        <v>97</v>
      </c>
      <c r="AS48" t="s">
        <v>119</v>
      </c>
      <c r="AT48" s="6" t="s">
        <v>97</v>
      </c>
      <c r="AU48" s="6" t="str">
        <f t="shared" si="13"/>
        <v/>
      </c>
      <c r="AV48" s="6" t="s">
        <v>96</v>
      </c>
      <c r="AW48" s="6" t="str">
        <f t="shared" si="14"/>
        <v/>
      </c>
    </row>
    <row r="49" spans="1:49" ht="120">
      <c r="A49" s="1">
        <v>79155</v>
      </c>
      <c r="B49" t="str">
        <f t="shared" si="0"/>
        <v>4S83DS89996-50</v>
      </c>
      <c r="C49" s="6" t="str">
        <f t="shared" si="1"/>
        <v>PACKAGING AND SPREADING THE STANFORD PEDIATRIC WEIGHT CONTROL PROGRAM - A FAMILY-BASED, GROUP, BEHAVIORAL WEIGHT
CONTROL PROGRAM FOR CHILDREN WITH OBESITY AND THEIR FAMILIES</v>
      </c>
      <c r="D49" s="6" t="str">
        <f t="shared" si="2"/>
        <v>COLUMBIA UNIVERSITY, SCHOOL OF ARTS AND SCIENCES</v>
      </c>
      <c r="E49">
        <f t="shared" si="3"/>
        <v>9974147</v>
      </c>
      <c r="F49" t="str">
        <f t="shared" si="4"/>
        <v>CDC</v>
      </c>
      <c r="G49" t="str">
        <f t="shared" si="5"/>
        <v>63-6001150</v>
      </c>
      <c r="H49">
        <f t="shared" ca="1" si="6"/>
        <v>856031</v>
      </c>
      <c r="I49" t="str">
        <f t="shared" si="7"/>
        <v>Annual</v>
      </c>
      <c r="N49" s="1">
        <v>126366</v>
      </c>
      <c r="Q49" s="1" t="s">
        <v>625</v>
      </c>
      <c r="T49" s="76" t="s">
        <v>1886</v>
      </c>
      <c r="U49">
        <v>290718</v>
      </c>
      <c r="V49" s="10" t="s">
        <v>624</v>
      </c>
      <c r="W49" s="10" t="s">
        <v>624</v>
      </c>
      <c r="X49" t="s">
        <v>150</v>
      </c>
      <c r="Y49" s="1" t="s">
        <v>622</v>
      </c>
      <c r="AA49" s="88">
        <f t="shared" ca="1" si="8"/>
        <v>792248</v>
      </c>
      <c r="AB49" t="s">
        <v>81</v>
      </c>
      <c r="AI49" s="1">
        <v>79155</v>
      </c>
      <c r="AJ49" s="1" t="s">
        <v>119</v>
      </c>
      <c r="AK49" s="1" t="str">
        <f t="shared" si="9"/>
        <v/>
      </c>
      <c r="AL49" t="b">
        <f t="shared" si="10"/>
        <v>1</v>
      </c>
      <c r="AM49" s="49" t="str">
        <f t="shared" si="11"/>
        <v>Q</v>
      </c>
      <c r="AP49" s="10" t="s">
        <v>327</v>
      </c>
      <c r="AS49" t="s">
        <v>119</v>
      </c>
      <c r="AT49" s="6" t="s">
        <v>327</v>
      </c>
      <c r="AU49" s="6" t="str">
        <f t="shared" si="13"/>
        <v/>
      </c>
      <c r="AV49" s="6" t="s">
        <v>104</v>
      </c>
      <c r="AW49" s="6" t="str">
        <f t="shared" si="14"/>
        <v/>
      </c>
    </row>
    <row r="50" spans="1:49" ht="120">
      <c r="A50" s="1">
        <v>79155</v>
      </c>
      <c r="B50" t="str">
        <f t="shared" si="0"/>
        <v>4S83DS89996-50</v>
      </c>
      <c r="C50" s="6" t="str">
        <f t="shared" si="1"/>
        <v>PACKAGING AND SPREADING THE STANFORD PEDIATRIC WEIGHT CONTROL PROGRAM - A FAMILY-BASED, GROUP, BEHAVIORAL WEIGHT
CONTROL PROGRAM FOR CHILDREN WITH OBESITY AND THEIR FAMILIES</v>
      </c>
      <c r="D50" s="6" t="str">
        <f t="shared" si="2"/>
        <v>COLUMBIA UNIVERSITY, SCHOOL OF ARTS AND SCIENCES</v>
      </c>
      <c r="E50">
        <f t="shared" si="3"/>
        <v>9974147</v>
      </c>
      <c r="F50" t="str">
        <f t="shared" si="4"/>
        <v>CDC</v>
      </c>
      <c r="G50" t="str">
        <f t="shared" si="5"/>
        <v>63-6001150</v>
      </c>
      <c r="H50">
        <f t="shared" ca="1" si="6"/>
        <v>856031</v>
      </c>
      <c r="I50" t="str">
        <f t="shared" si="7"/>
        <v>Annual</v>
      </c>
      <c r="N50" s="1">
        <v>126387</v>
      </c>
      <c r="Q50" s="1" t="s">
        <v>633</v>
      </c>
      <c r="T50" s="79" t="s">
        <v>1887</v>
      </c>
      <c r="U50">
        <v>290718</v>
      </c>
      <c r="V50" s="10" t="s">
        <v>632</v>
      </c>
      <c r="W50" s="10" t="s">
        <v>632</v>
      </c>
      <c r="X50" t="s">
        <v>86</v>
      </c>
      <c r="Y50" s="1" t="s">
        <v>630</v>
      </c>
      <c r="AA50" s="88">
        <f t="shared" ca="1" si="8"/>
        <v>874172</v>
      </c>
      <c r="AB50" t="s">
        <v>81</v>
      </c>
      <c r="AI50" s="1">
        <v>79155</v>
      </c>
      <c r="AJ50" s="1" t="s">
        <v>119</v>
      </c>
      <c r="AK50" s="1" t="str">
        <f t="shared" si="9"/>
        <v/>
      </c>
      <c r="AL50" t="b">
        <f t="shared" si="10"/>
        <v>1</v>
      </c>
      <c r="AM50" s="49" t="str">
        <f t="shared" si="11"/>
        <v>Q</v>
      </c>
      <c r="AP50" s="10"/>
      <c r="AS50" t="s">
        <v>119</v>
      </c>
      <c r="AT50" s="6" t="s">
        <v>812</v>
      </c>
      <c r="AU50" s="6" t="str">
        <f t="shared" si="13"/>
        <v/>
      </c>
      <c r="AV50" s="6" t="s">
        <v>811</v>
      </c>
      <c r="AW50" s="6" t="str">
        <f t="shared" si="14"/>
        <v/>
      </c>
    </row>
    <row r="51" spans="1:49" ht="90">
      <c r="A51" s="1">
        <v>79267</v>
      </c>
      <c r="B51" t="str">
        <f t="shared" si="0"/>
        <v>5S53DS84197-58</v>
      </c>
      <c r="C51" s="6" t="str">
        <f t="shared" si="1"/>
        <v>ASIAN AMERICANS, NATIVE HAWAIIANS AND PACIFIC ISLANDERS NETWORK TO REACH EQUITY IN TOBACCO CONTROL AND CANCER (ASPIRE) NETWORK</v>
      </c>
      <c r="D51" s="6" t="str">
        <f t="shared" si="2"/>
        <v>COMMUNITY HEALTH ACTION OF STATEN ISLAND</v>
      </c>
      <c r="E51">
        <f t="shared" si="3"/>
        <v>9907323</v>
      </c>
      <c r="F51" t="str">
        <f t="shared" si="4"/>
        <v>NIH</v>
      </c>
      <c r="G51" t="str">
        <f t="shared" si="5"/>
        <v>63-6001151</v>
      </c>
      <c r="H51">
        <f t="shared" ca="1" si="6"/>
        <v>771472</v>
      </c>
      <c r="I51" t="str">
        <f t="shared" si="7"/>
        <v>Biennial</v>
      </c>
      <c r="N51" s="1">
        <v>129412</v>
      </c>
      <c r="Q51" s="1" t="s">
        <v>643</v>
      </c>
      <c r="T51" s="80" t="s">
        <v>1888</v>
      </c>
      <c r="U51">
        <v>290718</v>
      </c>
      <c r="V51" s="10" t="s">
        <v>642</v>
      </c>
      <c r="W51" s="10" t="s">
        <v>642</v>
      </c>
      <c r="X51" t="s">
        <v>117</v>
      </c>
      <c r="Y51" s="1" t="s">
        <v>640</v>
      </c>
      <c r="AA51" s="88">
        <f ca="1">RANDBETWEEN(1000000,2000000)</f>
        <v>1220431</v>
      </c>
      <c r="AB51" t="s">
        <v>81</v>
      </c>
      <c r="AI51" s="1">
        <v>79267</v>
      </c>
      <c r="AJ51" s="1" t="s">
        <v>85</v>
      </c>
      <c r="AK51" s="1" t="str">
        <f t="shared" si="9"/>
        <v/>
      </c>
      <c r="AL51" t="b">
        <f t="shared" si="10"/>
        <v>0</v>
      </c>
      <c r="AM51" s="49" t="str">
        <f t="shared" si="11"/>
        <v>Q</v>
      </c>
      <c r="AP51" s="10" t="s">
        <v>97</v>
      </c>
      <c r="AS51" t="s">
        <v>119</v>
      </c>
      <c r="AT51" s="6" t="s">
        <v>97</v>
      </c>
      <c r="AU51" s="6" t="str">
        <f t="shared" si="13"/>
        <v/>
      </c>
      <c r="AV51" s="6" t="s">
        <v>96</v>
      </c>
      <c r="AW51" s="6" t="str">
        <f t="shared" si="14"/>
        <v/>
      </c>
    </row>
    <row r="52" spans="1:49" ht="90">
      <c r="A52" s="1">
        <v>79267</v>
      </c>
      <c r="B52" t="str">
        <f t="shared" si="0"/>
        <v>5S53DS84197-58</v>
      </c>
      <c r="C52" s="6" t="str">
        <f t="shared" si="1"/>
        <v>ASIAN AMERICANS, NATIVE HAWAIIANS AND PACIFIC ISLANDERS NETWORK TO REACH EQUITY IN TOBACCO CONTROL AND CANCER (ASPIRE) NETWORK</v>
      </c>
      <c r="D52" s="6" t="str">
        <f t="shared" si="2"/>
        <v>COMMUNITY HEALTH ACTION OF STATEN ISLAND</v>
      </c>
      <c r="E52">
        <f t="shared" si="3"/>
        <v>9907323</v>
      </c>
      <c r="F52" t="str">
        <f t="shared" si="4"/>
        <v>NIH</v>
      </c>
      <c r="G52" t="str">
        <f t="shared" si="5"/>
        <v>63-6001151</v>
      </c>
      <c r="H52">
        <f t="shared" ca="1" si="6"/>
        <v>771472</v>
      </c>
      <c r="I52" t="str">
        <f t="shared" si="7"/>
        <v>Biennial</v>
      </c>
      <c r="N52" s="1">
        <v>143147</v>
      </c>
      <c r="Q52" s="1" t="s">
        <v>650</v>
      </c>
      <c r="T52" s="77" t="s">
        <v>1889</v>
      </c>
      <c r="U52">
        <v>290718</v>
      </c>
      <c r="V52" s="10" t="s">
        <v>649</v>
      </c>
      <c r="W52" s="10" t="s">
        <v>649</v>
      </c>
      <c r="X52" t="s">
        <v>132</v>
      </c>
      <c r="Y52" s="1" t="s">
        <v>647</v>
      </c>
      <c r="AA52" s="88">
        <f t="shared" ref="AA52:AA70" ca="1" si="15">RANDBETWEEN(1000000,2000000)</f>
        <v>1019493</v>
      </c>
      <c r="AB52" t="s">
        <v>81</v>
      </c>
      <c r="AI52" s="1">
        <v>79267</v>
      </c>
      <c r="AJ52" s="1" t="s">
        <v>85</v>
      </c>
      <c r="AK52" s="1" t="str">
        <f t="shared" si="9"/>
        <v/>
      </c>
      <c r="AL52" t="b">
        <f t="shared" si="10"/>
        <v>0</v>
      </c>
      <c r="AM52" s="49" t="str">
        <f t="shared" si="11"/>
        <v>Q</v>
      </c>
      <c r="AP52" s="10" t="s">
        <v>327</v>
      </c>
      <c r="AS52" t="s">
        <v>119</v>
      </c>
      <c r="AT52" s="6" t="s">
        <v>327</v>
      </c>
      <c r="AU52" s="6" t="str">
        <f t="shared" si="13"/>
        <v/>
      </c>
      <c r="AV52" s="6" t="s">
        <v>104</v>
      </c>
      <c r="AW52" s="6" t="str">
        <f t="shared" si="14"/>
        <v/>
      </c>
    </row>
    <row r="53" spans="1:49" ht="90">
      <c r="A53" s="1">
        <v>79267</v>
      </c>
      <c r="B53" t="str">
        <f t="shared" si="0"/>
        <v>5S53DS84197-58</v>
      </c>
      <c r="C53" s="6" t="str">
        <f t="shared" si="1"/>
        <v>ASIAN AMERICANS, NATIVE HAWAIIANS AND PACIFIC ISLANDERS NETWORK TO REACH EQUITY IN TOBACCO CONTROL AND CANCER (ASPIRE) NETWORK</v>
      </c>
      <c r="D53" s="6" t="str">
        <f t="shared" si="2"/>
        <v>COMMUNITY HEALTH ACTION OF STATEN ISLAND</v>
      </c>
      <c r="E53">
        <f t="shared" si="3"/>
        <v>9907323</v>
      </c>
      <c r="F53" t="str">
        <f t="shared" si="4"/>
        <v>NIH</v>
      </c>
      <c r="G53" t="str">
        <f t="shared" si="5"/>
        <v>63-6001151</v>
      </c>
      <c r="H53">
        <f t="shared" ca="1" si="6"/>
        <v>771472</v>
      </c>
      <c r="I53" t="str">
        <f t="shared" si="7"/>
        <v>Biennial</v>
      </c>
      <c r="N53" s="1">
        <v>155424</v>
      </c>
      <c r="Q53" s="1" t="s">
        <v>657</v>
      </c>
      <c r="T53" s="77" t="s">
        <v>1890</v>
      </c>
      <c r="U53">
        <v>290718</v>
      </c>
      <c r="V53" s="10" t="s">
        <v>656</v>
      </c>
      <c r="W53" s="10" t="s">
        <v>656</v>
      </c>
      <c r="X53" t="s">
        <v>150</v>
      </c>
      <c r="Y53" s="1" t="s">
        <v>654</v>
      </c>
      <c r="AA53" s="88">
        <f t="shared" ca="1" si="15"/>
        <v>1084046</v>
      </c>
      <c r="AB53" t="s">
        <v>81</v>
      </c>
      <c r="AI53" s="1">
        <v>79267</v>
      </c>
      <c r="AJ53" s="1" t="s">
        <v>85</v>
      </c>
      <c r="AK53" s="1" t="str">
        <f t="shared" si="9"/>
        <v/>
      </c>
      <c r="AL53" t="b">
        <f t="shared" si="10"/>
        <v>0</v>
      </c>
      <c r="AM53" s="49" t="str">
        <f t="shared" si="11"/>
        <v>Q</v>
      </c>
      <c r="AP53" s="10" t="s">
        <v>113</v>
      </c>
      <c r="AS53" t="s">
        <v>119</v>
      </c>
      <c r="AT53" s="6" t="s">
        <v>113</v>
      </c>
      <c r="AU53" s="6" t="str">
        <f t="shared" si="13"/>
        <v/>
      </c>
      <c r="AV53" s="6" t="s">
        <v>112</v>
      </c>
      <c r="AW53" s="6" t="str">
        <f t="shared" si="14"/>
        <v/>
      </c>
    </row>
    <row r="54" spans="1:49" ht="90">
      <c r="A54" s="1">
        <v>79267</v>
      </c>
      <c r="B54" t="str">
        <f t="shared" si="0"/>
        <v>5S53DS84197-58</v>
      </c>
      <c r="C54" s="6" t="str">
        <f t="shared" si="1"/>
        <v>ASIAN AMERICANS, NATIVE HAWAIIANS AND PACIFIC ISLANDERS NETWORK TO REACH EQUITY IN TOBACCO CONTROL AND CANCER (ASPIRE) NETWORK</v>
      </c>
      <c r="D54" s="6" t="str">
        <f t="shared" si="2"/>
        <v>COMMUNITY HEALTH ACTION OF STATEN ISLAND</v>
      </c>
      <c r="E54">
        <f t="shared" si="3"/>
        <v>9907323</v>
      </c>
      <c r="F54" t="str">
        <f t="shared" si="4"/>
        <v>NIH</v>
      </c>
      <c r="G54" t="str">
        <f t="shared" si="5"/>
        <v>63-6001151</v>
      </c>
      <c r="H54">
        <f t="shared" ca="1" si="6"/>
        <v>771472</v>
      </c>
      <c r="I54" t="str">
        <f t="shared" si="7"/>
        <v>Biennial</v>
      </c>
      <c r="N54" s="1">
        <v>158346</v>
      </c>
      <c r="Q54" s="1" t="s">
        <v>664</v>
      </c>
      <c r="T54" s="79" t="s">
        <v>1887</v>
      </c>
      <c r="U54">
        <v>11227649</v>
      </c>
      <c r="V54" s="10" t="s">
        <v>663</v>
      </c>
      <c r="W54" s="10" t="s">
        <v>663</v>
      </c>
      <c r="X54" t="s">
        <v>86</v>
      </c>
      <c r="Y54" s="1" t="s">
        <v>661</v>
      </c>
      <c r="AA54" s="88">
        <f t="shared" ca="1" si="15"/>
        <v>1325719</v>
      </c>
      <c r="AB54" t="s">
        <v>81</v>
      </c>
      <c r="AI54" s="1">
        <v>79267</v>
      </c>
      <c r="AJ54" s="1" t="s">
        <v>85</v>
      </c>
      <c r="AK54" s="1" t="str">
        <f t="shared" si="9"/>
        <v/>
      </c>
      <c r="AL54" t="b">
        <f t="shared" si="10"/>
        <v>0</v>
      </c>
      <c r="AM54" s="49" t="str">
        <f t="shared" si="11"/>
        <v>Q</v>
      </c>
      <c r="AP54" s="10" t="s">
        <v>113</v>
      </c>
      <c r="AS54" t="s">
        <v>119</v>
      </c>
      <c r="AT54" s="6" t="s">
        <v>113</v>
      </c>
      <c r="AU54" s="6" t="str">
        <f t="shared" si="13"/>
        <v/>
      </c>
      <c r="AV54" s="6" t="s">
        <v>112</v>
      </c>
      <c r="AW54" s="6" t="str">
        <f t="shared" si="14"/>
        <v/>
      </c>
    </row>
    <row r="55" spans="1:49" ht="90">
      <c r="A55" s="1">
        <v>79338</v>
      </c>
      <c r="B55" t="str">
        <f t="shared" si="0"/>
        <v>9S37GS89674-92</v>
      </c>
      <c r="C55" s="6" t="str">
        <f t="shared" si="1"/>
        <v>CALIFORNIA COLON CANCER CONTROL PROGRAM</v>
      </c>
      <c r="D55" s="6" t="str">
        <f t="shared" si="2"/>
        <v>EXPONENTS INC.</v>
      </c>
      <c r="E55">
        <f t="shared" si="3"/>
        <v>9907323</v>
      </c>
      <c r="F55" t="str">
        <f t="shared" si="4"/>
        <v>FDA</v>
      </c>
      <c r="G55" t="str">
        <f t="shared" si="5"/>
        <v>63-6001152</v>
      </c>
      <c r="H55">
        <f t="shared" ca="1" si="6"/>
        <v>950482</v>
      </c>
      <c r="I55" t="str">
        <f t="shared" si="7"/>
        <v>Annual</v>
      </c>
      <c r="N55" s="1">
        <v>164054</v>
      </c>
      <c r="Q55" s="1" t="s">
        <v>679</v>
      </c>
      <c r="T55" s="80" t="s">
        <v>1888</v>
      </c>
      <c r="U55">
        <v>11227649</v>
      </c>
      <c r="V55" s="10" t="s">
        <v>678</v>
      </c>
      <c r="W55" s="10" t="s">
        <v>678</v>
      </c>
      <c r="X55" t="s">
        <v>117</v>
      </c>
      <c r="Y55" s="1" t="s">
        <v>676</v>
      </c>
      <c r="AA55" s="88">
        <f t="shared" ca="1" si="15"/>
        <v>1182873</v>
      </c>
      <c r="AB55" t="s">
        <v>81</v>
      </c>
      <c r="AI55" s="1">
        <v>79338</v>
      </c>
      <c r="AJ55" s="1" t="s">
        <v>304</v>
      </c>
      <c r="AK55" s="1" t="str">
        <f t="shared" si="9"/>
        <v/>
      </c>
      <c r="AL55" t="b">
        <f t="shared" si="10"/>
        <v>0</v>
      </c>
      <c r="AM55" s="49" t="str">
        <f t="shared" si="11"/>
        <v>Q</v>
      </c>
      <c r="AP55" s="10" t="s">
        <v>97</v>
      </c>
      <c r="AS55" t="s">
        <v>119</v>
      </c>
      <c r="AT55" s="6" t="s">
        <v>97</v>
      </c>
      <c r="AU55" s="6" t="str">
        <f t="shared" si="13"/>
        <v/>
      </c>
      <c r="AV55" s="6" t="s">
        <v>96</v>
      </c>
      <c r="AW55" s="6" t="str">
        <f t="shared" si="14"/>
        <v/>
      </c>
    </row>
    <row r="56" spans="1:49" ht="75">
      <c r="A56" s="1">
        <v>79338</v>
      </c>
      <c r="B56" t="str">
        <f t="shared" si="0"/>
        <v>9S37GS89674-92</v>
      </c>
      <c r="C56" s="6" t="str">
        <f t="shared" si="1"/>
        <v>CALIFORNIA COLON CANCER CONTROL PROGRAM</v>
      </c>
      <c r="D56" s="6" t="str">
        <f t="shared" si="2"/>
        <v>EXPONENTS INC.</v>
      </c>
      <c r="E56">
        <f t="shared" si="3"/>
        <v>9907323</v>
      </c>
      <c r="F56" t="str">
        <f t="shared" si="4"/>
        <v>FDA</v>
      </c>
      <c r="G56" t="str">
        <f t="shared" si="5"/>
        <v>63-6001152</v>
      </c>
      <c r="H56">
        <f t="shared" ca="1" si="6"/>
        <v>950482</v>
      </c>
      <c r="I56" t="str">
        <f t="shared" si="7"/>
        <v>Annual</v>
      </c>
      <c r="N56" s="1">
        <v>181760</v>
      </c>
      <c r="Q56" s="1" t="s">
        <v>687</v>
      </c>
      <c r="T56" s="72" t="s">
        <v>1891</v>
      </c>
      <c r="U56">
        <v>32992541</v>
      </c>
      <c r="V56" s="10" t="s">
        <v>686</v>
      </c>
      <c r="W56" s="10" t="s">
        <v>686</v>
      </c>
      <c r="X56" t="s">
        <v>132</v>
      </c>
      <c r="Y56" s="1" t="s">
        <v>684</v>
      </c>
      <c r="AA56" s="88">
        <f t="shared" ca="1" si="15"/>
        <v>1317552</v>
      </c>
      <c r="AB56" t="s">
        <v>81</v>
      </c>
      <c r="AI56" s="1">
        <v>79338</v>
      </c>
      <c r="AJ56" s="1" t="s">
        <v>304</v>
      </c>
      <c r="AK56" s="1" t="str">
        <f t="shared" si="9"/>
        <v/>
      </c>
      <c r="AL56" t="b">
        <f t="shared" si="10"/>
        <v>0</v>
      </c>
      <c r="AM56" s="49" t="str">
        <f t="shared" si="11"/>
        <v>Q</v>
      </c>
      <c r="AP56" s="10" t="s">
        <v>327</v>
      </c>
      <c r="AS56" t="s">
        <v>119</v>
      </c>
      <c r="AT56" s="6" t="s">
        <v>327</v>
      </c>
      <c r="AU56" s="6" t="str">
        <f t="shared" si="13"/>
        <v/>
      </c>
      <c r="AV56" s="6" t="s">
        <v>104</v>
      </c>
      <c r="AW56" s="6" t="str">
        <f t="shared" si="14"/>
        <v/>
      </c>
    </row>
    <row r="57" spans="1:49" ht="165">
      <c r="A57" s="1">
        <v>80870</v>
      </c>
      <c r="B57" t="str">
        <f t="shared" si="0"/>
        <v>1S52CS86501-25</v>
      </c>
      <c r="C57" s="6" t="str">
        <f t="shared" si="1"/>
        <v>CALIFORNIA COORDINATED CANCER PREVENTION &amp; CONTROL PROGRAM; CALIFORNIA COMPREHENSIVE CANCER CONTROL PROGRAM; CALIFORNIA BREAST AND CERVICAL CANCER
EARLY DETECTION PROGRAM; CALIFORNIA CANCER REGISTRY</v>
      </c>
      <c r="D57" s="6" t="str">
        <f t="shared" si="2"/>
        <v>GAY MEN`S HEALTH CRISIS, INC</v>
      </c>
      <c r="E57">
        <f t="shared" si="3"/>
        <v>9907323</v>
      </c>
      <c r="F57" t="str">
        <f t="shared" si="4"/>
        <v>ACF</v>
      </c>
      <c r="G57" t="str">
        <f t="shared" si="5"/>
        <v>63-6001153</v>
      </c>
      <c r="H57">
        <f t="shared" ca="1" si="6"/>
        <v>782886</v>
      </c>
      <c r="I57" t="str">
        <f t="shared" si="7"/>
        <v>Annual</v>
      </c>
      <c r="N57" s="1">
        <v>182448</v>
      </c>
      <c r="Q57" s="1" t="s">
        <v>698</v>
      </c>
      <c r="T57" s="77" t="s">
        <v>1892</v>
      </c>
      <c r="U57">
        <v>32992541</v>
      </c>
      <c r="V57" s="10" t="s">
        <v>697</v>
      </c>
      <c r="W57" s="10" t="s">
        <v>697</v>
      </c>
      <c r="X57" t="s">
        <v>150</v>
      </c>
      <c r="Y57" s="1" t="s">
        <v>695</v>
      </c>
      <c r="AA57" s="88">
        <f t="shared" ca="1" si="15"/>
        <v>1781757</v>
      </c>
      <c r="AB57" t="s">
        <v>81</v>
      </c>
      <c r="AI57" s="1">
        <v>80870</v>
      </c>
      <c r="AJ57" s="1" t="s">
        <v>119</v>
      </c>
      <c r="AK57" s="1" t="str">
        <f t="shared" si="9"/>
        <v/>
      </c>
      <c r="AL57" t="b">
        <f t="shared" si="10"/>
        <v>1</v>
      </c>
      <c r="AM57" s="49" t="str">
        <f t="shared" si="11"/>
        <v>Q</v>
      </c>
      <c r="AP57" s="10" t="s">
        <v>97</v>
      </c>
      <c r="AS57" t="s">
        <v>119</v>
      </c>
      <c r="AT57" s="6" t="s">
        <v>97</v>
      </c>
      <c r="AU57" s="6" t="str">
        <f t="shared" si="13"/>
        <v/>
      </c>
      <c r="AV57" s="6" t="s">
        <v>96</v>
      </c>
      <c r="AW57" s="6" t="str">
        <f t="shared" si="14"/>
        <v/>
      </c>
    </row>
    <row r="58" spans="1:49" ht="165">
      <c r="A58" s="1">
        <v>80870</v>
      </c>
      <c r="B58" t="str">
        <f t="shared" si="0"/>
        <v>1S52CS86501-25</v>
      </c>
      <c r="C58" s="6" t="str">
        <f t="shared" si="1"/>
        <v>CALIFORNIA COORDINATED CANCER PREVENTION &amp; CONTROL PROGRAM; CALIFORNIA COMPREHENSIVE CANCER CONTROL PROGRAM; CALIFORNIA BREAST AND CERVICAL CANCER
EARLY DETECTION PROGRAM; CALIFORNIA CANCER REGISTRY</v>
      </c>
      <c r="D58" s="6" t="str">
        <f t="shared" si="2"/>
        <v>GAY MEN`S HEALTH CRISIS, INC</v>
      </c>
      <c r="E58">
        <f t="shared" si="3"/>
        <v>9907323</v>
      </c>
      <c r="F58" t="str">
        <f t="shared" si="4"/>
        <v>ACF</v>
      </c>
      <c r="G58" t="str">
        <f t="shared" si="5"/>
        <v>63-6001153</v>
      </c>
      <c r="H58">
        <f t="shared" ca="1" si="6"/>
        <v>782886</v>
      </c>
      <c r="I58" t="str">
        <f t="shared" si="7"/>
        <v>Annual</v>
      </c>
      <c r="N58" s="1">
        <v>182528</v>
      </c>
      <c r="Q58" s="1" t="s">
        <v>707</v>
      </c>
      <c r="T58" s="77" t="s">
        <v>1893</v>
      </c>
      <c r="U58">
        <v>32992541</v>
      </c>
      <c r="V58" s="10" t="s">
        <v>706</v>
      </c>
      <c r="W58" s="10" t="s">
        <v>706</v>
      </c>
      <c r="X58" t="s">
        <v>86</v>
      </c>
      <c r="Y58" s="1" t="s">
        <v>704</v>
      </c>
      <c r="AA58" s="88">
        <f t="shared" ca="1" si="15"/>
        <v>1137215</v>
      </c>
      <c r="AB58" t="s">
        <v>81</v>
      </c>
      <c r="AI58" s="1">
        <v>80870</v>
      </c>
      <c r="AJ58" s="1" t="s">
        <v>119</v>
      </c>
      <c r="AK58" s="1" t="str">
        <f t="shared" si="9"/>
        <v/>
      </c>
      <c r="AL58" t="b">
        <f t="shared" si="10"/>
        <v>1</v>
      </c>
      <c r="AM58" s="49" t="str">
        <f t="shared" si="11"/>
        <v>Q</v>
      </c>
      <c r="AP58" s="10" t="s">
        <v>327</v>
      </c>
      <c r="AS58" t="s">
        <v>119</v>
      </c>
      <c r="AT58" s="6" t="s">
        <v>327</v>
      </c>
      <c r="AU58" s="6" t="str">
        <f t="shared" si="13"/>
        <v/>
      </c>
      <c r="AV58" s="6" t="s">
        <v>104</v>
      </c>
      <c r="AW58" s="6" t="str">
        <f t="shared" si="14"/>
        <v/>
      </c>
    </row>
    <row r="59" spans="1:49" ht="165">
      <c r="A59" s="1">
        <v>84136</v>
      </c>
      <c r="B59" t="str">
        <f t="shared" si="0"/>
        <v>6H59IT76658-58</v>
      </c>
      <c r="C59" s="6" t="str">
        <f t="shared" si="1"/>
        <v>CALIFORNIA TRIBAL COMPREHENSIVE CANCER CONTROL PROGRAM (CTCCCP)</v>
      </c>
      <c r="D59" s="6" t="str">
        <f t="shared" si="2"/>
        <v xml:space="preserve">HEALTH RESEARCH, INC. </v>
      </c>
      <c r="E59">
        <f t="shared" si="3"/>
        <v>9907323</v>
      </c>
      <c r="F59" t="str">
        <f t="shared" si="4"/>
        <v>CDC</v>
      </c>
      <c r="G59" t="str">
        <f t="shared" si="5"/>
        <v>63-6001154</v>
      </c>
      <c r="H59">
        <f t="shared" ca="1" si="6"/>
        <v>966772</v>
      </c>
      <c r="I59" t="str">
        <f t="shared" si="7"/>
        <v>Annual</v>
      </c>
      <c r="N59" s="1">
        <v>183839</v>
      </c>
      <c r="Q59" s="1" t="s">
        <v>714</v>
      </c>
      <c r="T59" s="77" t="s">
        <v>1894</v>
      </c>
      <c r="U59">
        <v>32992541</v>
      </c>
      <c r="V59" s="10" t="s">
        <v>713</v>
      </c>
      <c r="W59" s="10" t="s">
        <v>713</v>
      </c>
      <c r="X59" t="s">
        <v>117</v>
      </c>
      <c r="Y59" s="1" t="s">
        <v>711</v>
      </c>
      <c r="AA59" s="88">
        <f t="shared" ca="1" si="15"/>
        <v>1179817</v>
      </c>
      <c r="AB59" t="s">
        <v>81</v>
      </c>
      <c r="AI59" s="1">
        <v>84136</v>
      </c>
      <c r="AJ59" s="1" t="s">
        <v>322</v>
      </c>
      <c r="AK59" s="1" t="str">
        <f t="shared" si="9"/>
        <v/>
      </c>
      <c r="AL59" t="b">
        <f t="shared" si="10"/>
        <v>0</v>
      </c>
      <c r="AM59" s="49" t="str">
        <f t="shared" si="11"/>
        <v>Q</v>
      </c>
      <c r="AP59" s="10" t="s">
        <v>97</v>
      </c>
      <c r="AS59" t="s">
        <v>1895</v>
      </c>
      <c r="AT59" s="6" t="s">
        <v>97</v>
      </c>
      <c r="AU59" s="6" t="str">
        <f t="shared" si="13"/>
        <v>The errors in accounting will be corrected. The accounting policy suggested will be followed. The financials will be recalculated based on the revised accounting policies and submitted.</v>
      </c>
      <c r="AV59" s="6" t="s">
        <v>96</v>
      </c>
      <c r="AW59" s="6" t="str">
        <f t="shared" si="14"/>
        <v>Change in accounting practice</v>
      </c>
    </row>
    <row r="60" spans="1:49" ht="135">
      <c r="A60" s="1">
        <v>84136</v>
      </c>
      <c r="B60" t="str">
        <f t="shared" si="0"/>
        <v>6H59IT76658-58</v>
      </c>
      <c r="C60" s="6" t="str">
        <f t="shared" si="1"/>
        <v>CALIFORNIA TRIBAL COMPREHENSIVE CANCER CONTROL PROGRAM (CTCCCP)</v>
      </c>
      <c r="D60" s="6" t="str">
        <f t="shared" si="2"/>
        <v xml:space="preserve">HEALTH RESEARCH, INC. </v>
      </c>
      <c r="E60">
        <f t="shared" si="3"/>
        <v>9907323</v>
      </c>
      <c r="F60" t="str">
        <f t="shared" si="4"/>
        <v>CDC</v>
      </c>
      <c r="G60" t="str">
        <f t="shared" si="5"/>
        <v>63-6001154</v>
      </c>
      <c r="H60">
        <f t="shared" ca="1" si="6"/>
        <v>966772</v>
      </c>
      <c r="I60" t="str">
        <f t="shared" si="7"/>
        <v>Annual</v>
      </c>
      <c r="N60" s="1">
        <v>185174</v>
      </c>
      <c r="Q60" s="1" t="s">
        <v>724</v>
      </c>
      <c r="T60" s="80" t="s">
        <v>1896</v>
      </c>
      <c r="U60">
        <v>32992541</v>
      </c>
      <c r="V60" s="10" t="s">
        <v>723</v>
      </c>
      <c r="W60" s="10" t="s">
        <v>723</v>
      </c>
      <c r="X60" t="s">
        <v>132</v>
      </c>
      <c r="Y60" s="1" t="s">
        <v>721</v>
      </c>
      <c r="AA60" s="88">
        <f t="shared" ca="1" si="15"/>
        <v>1052748</v>
      </c>
      <c r="AB60" t="s">
        <v>81</v>
      </c>
      <c r="AI60" s="1">
        <v>84136</v>
      </c>
      <c r="AJ60" s="1" t="s">
        <v>322</v>
      </c>
      <c r="AK60" s="1" t="str">
        <f t="shared" si="9"/>
        <v/>
      </c>
      <c r="AL60" t="b">
        <f t="shared" si="10"/>
        <v>0</v>
      </c>
      <c r="AM60" s="49" t="str">
        <f t="shared" si="11"/>
        <v>Q</v>
      </c>
      <c r="AP60" s="10" t="s">
        <v>327</v>
      </c>
      <c r="AS60" t="s">
        <v>1895</v>
      </c>
      <c r="AT60" s="6" t="s">
        <v>327</v>
      </c>
      <c r="AU60" s="6" t="str">
        <f t="shared" si="13"/>
        <v>Cost rate will be followed. The revised rate will be applied from the last audit period and the expenditure recalculated and submitted.</v>
      </c>
      <c r="AV60" s="6" t="s">
        <v>104</v>
      </c>
      <c r="AW60" s="6" t="str">
        <f t="shared" si="14"/>
        <v>Cost rate Corrections</v>
      </c>
    </row>
    <row r="61" spans="1:49" ht="90">
      <c r="A61" s="1">
        <v>85330</v>
      </c>
      <c r="B61" t="str">
        <f t="shared" si="0"/>
        <v>4S28GS77761-51</v>
      </c>
      <c r="C61" s="6" t="str">
        <f t="shared" si="1"/>
        <v>UCLA PUBLIC HEALTH SCHOLARS TRAINING PROGRAM</v>
      </c>
      <c r="D61" s="6" t="str">
        <f t="shared" si="2"/>
        <v>IRIS HOUSE  A CENTER FOR WOMEN LIVING WITH HIV, INC.</v>
      </c>
      <c r="E61">
        <f t="shared" si="3"/>
        <v>38967512</v>
      </c>
      <c r="F61" t="str">
        <f t="shared" si="4"/>
        <v>NIH</v>
      </c>
      <c r="G61" t="str">
        <f t="shared" si="5"/>
        <v>63-6001155</v>
      </c>
      <c r="H61">
        <f t="shared" ca="1" si="6"/>
        <v>868981</v>
      </c>
      <c r="I61" t="str">
        <f t="shared" si="7"/>
        <v>Biennial</v>
      </c>
      <c r="N61" s="1">
        <v>185192</v>
      </c>
      <c r="Q61" s="1" t="s">
        <v>737</v>
      </c>
      <c r="T61" s="79" t="s">
        <v>1897</v>
      </c>
      <c r="U61">
        <v>15180927</v>
      </c>
      <c r="V61" s="10" t="s">
        <v>736</v>
      </c>
      <c r="W61" s="10" t="s">
        <v>736</v>
      </c>
      <c r="X61" t="s">
        <v>150</v>
      </c>
      <c r="Y61" s="1" t="s">
        <v>734</v>
      </c>
      <c r="AA61" s="88">
        <f t="shared" ca="1" si="15"/>
        <v>1331730</v>
      </c>
      <c r="AB61" t="s">
        <v>81</v>
      </c>
      <c r="AI61" s="1">
        <v>85330</v>
      </c>
      <c r="AJ61" s="1" t="s">
        <v>119</v>
      </c>
      <c r="AK61" s="1" t="str">
        <f t="shared" si="9"/>
        <v/>
      </c>
      <c r="AL61" t="b">
        <f t="shared" si="10"/>
        <v>1</v>
      </c>
      <c r="AM61" s="49" t="str">
        <f t="shared" si="11"/>
        <v>Q</v>
      </c>
      <c r="AP61" s="10" t="s">
        <v>97</v>
      </c>
      <c r="AS61" t="s">
        <v>119</v>
      </c>
      <c r="AT61" s="6" t="s">
        <v>97</v>
      </c>
      <c r="AU61" s="6" t="str">
        <f t="shared" si="13"/>
        <v/>
      </c>
      <c r="AV61" s="6" t="s">
        <v>96</v>
      </c>
      <c r="AW61" s="6" t="str">
        <f t="shared" si="14"/>
        <v/>
      </c>
    </row>
    <row r="62" spans="1:49" ht="75">
      <c r="A62" s="1">
        <v>85330</v>
      </c>
      <c r="B62" t="str">
        <f t="shared" si="0"/>
        <v>4S28GS77761-51</v>
      </c>
      <c r="C62" s="6" t="str">
        <f t="shared" si="1"/>
        <v>UCLA PUBLIC HEALTH SCHOLARS TRAINING PROGRAM</v>
      </c>
      <c r="D62" s="6" t="str">
        <f t="shared" si="2"/>
        <v>IRIS HOUSE  A CENTER FOR WOMEN LIVING WITH HIV, INC.</v>
      </c>
      <c r="E62">
        <f t="shared" si="3"/>
        <v>38967512</v>
      </c>
      <c r="F62" t="str">
        <f t="shared" si="4"/>
        <v>NIH</v>
      </c>
      <c r="G62" t="str">
        <f t="shared" si="5"/>
        <v>63-6001155</v>
      </c>
      <c r="H62">
        <f t="shared" ca="1" si="6"/>
        <v>868981</v>
      </c>
      <c r="I62" t="str">
        <f t="shared" si="7"/>
        <v>Biennial</v>
      </c>
      <c r="N62" s="1">
        <v>185196</v>
      </c>
      <c r="Q62" s="1" t="s">
        <v>746</v>
      </c>
      <c r="T62" s="77" t="s">
        <v>1898</v>
      </c>
      <c r="U62">
        <v>15180927</v>
      </c>
      <c r="V62" s="10" t="s">
        <v>745</v>
      </c>
      <c r="W62" s="10" t="s">
        <v>745</v>
      </c>
      <c r="X62" t="s">
        <v>86</v>
      </c>
      <c r="Y62" s="1" t="s">
        <v>743</v>
      </c>
      <c r="AA62" s="88">
        <f t="shared" ca="1" si="15"/>
        <v>1587646</v>
      </c>
      <c r="AB62" t="s">
        <v>81</v>
      </c>
      <c r="AI62" s="1">
        <v>85330</v>
      </c>
      <c r="AJ62" s="1" t="s">
        <v>119</v>
      </c>
      <c r="AK62" s="1" t="str">
        <f t="shared" si="9"/>
        <v/>
      </c>
      <c r="AL62" t="b">
        <f t="shared" si="10"/>
        <v>1</v>
      </c>
      <c r="AM62" s="49" t="str">
        <f t="shared" si="11"/>
        <v>Q</v>
      </c>
      <c r="AP62" s="10" t="s">
        <v>327</v>
      </c>
      <c r="AS62" t="s">
        <v>119</v>
      </c>
      <c r="AT62" s="6" t="s">
        <v>327</v>
      </c>
      <c r="AU62" s="6" t="str">
        <f t="shared" si="13"/>
        <v/>
      </c>
      <c r="AV62" s="6" t="s">
        <v>104</v>
      </c>
      <c r="AW62" s="6" t="str">
        <f t="shared" si="14"/>
        <v/>
      </c>
    </row>
    <row r="63" spans="1:49" ht="90">
      <c r="A63" s="1">
        <v>85490</v>
      </c>
      <c r="B63" t="str">
        <f t="shared" si="0"/>
        <v>4S28GS77761-63</v>
      </c>
      <c r="C63" s="6" t="str">
        <f t="shared" si="1"/>
        <v>POPULATION-BASED DIABETES IN YOUTH REGISTRY. SEARCH FOR DIABETES IN YOUTH,
PHASE 4, CALIFORNIA SITE</v>
      </c>
      <c r="D63" s="6" t="str">
        <f t="shared" si="2"/>
        <v>LATINO COMMISSION ON AIDS</v>
      </c>
      <c r="E63">
        <f t="shared" si="3"/>
        <v>38967512</v>
      </c>
      <c r="F63" t="str">
        <f t="shared" si="4"/>
        <v>FDA</v>
      </c>
      <c r="G63" t="str">
        <f t="shared" si="5"/>
        <v>63-6001156</v>
      </c>
      <c r="H63">
        <f t="shared" ca="1" si="6"/>
        <v>872853</v>
      </c>
      <c r="I63" t="str">
        <f t="shared" si="7"/>
        <v>Annual</v>
      </c>
      <c r="N63" s="1">
        <v>185396</v>
      </c>
      <c r="Q63" s="1" t="s">
        <v>754</v>
      </c>
      <c r="T63" s="77" t="s">
        <v>1899</v>
      </c>
      <c r="U63">
        <v>15180927</v>
      </c>
      <c r="V63" s="10" t="s">
        <v>753</v>
      </c>
      <c r="W63" s="10" t="s">
        <v>753</v>
      </c>
      <c r="X63" t="s">
        <v>117</v>
      </c>
      <c r="Y63" s="1" t="s">
        <v>751</v>
      </c>
      <c r="AA63" s="88">
        <f t="shared" ca="1" si="15"/>
        <v>1870333</v>
      </c>
      <c r="AB63" t="s">
        <v>81</v>
      </c>
      <c r="AI63" s="1">
        <v>85490</v>
      </c>
      <c r="AJ63" s="1" t="s">
        <v>119</v>
      </c>
      <c r="AK63" s="1" t="str">
        <f t="shared" si="9"/>
        <v/>
      </c>
      <c r="AL63" t="b">
        <f t="shared" si="10"/>
        <v>1</v>
      </c>
      <c r="AM63" s="49" t="str">
        <f t="shared" si="11"/>
        <v>Q</v>
      </c>
      <c r="AP63" s="10" t="s">
        <v>97</v>
      </c>
      <c r="AS63" t="s">
        <v>119</v>
      </c>
      <c r="AT63" s="6" t="s">
        <v>97</v>
      </c>
      <c r="AU63" s="6" t="str">
        <f t="shared" si="13"/>
        <v/>
      </c>
      <c r="AV63" s="6" t="s">
        <v>96</v>
      </c>
      <c r="AW63" s="6" t="str">
        <f t="shared" si="14"/>
        <v/>
      </c>
    </row>
    <row r="64" spans="1:49" ht="75">
      <c r="A64" s="1">
        <v>85490</v>
      </c>
      <c r="B64" t="str">
        <f t="shared" si="0"/>
        <v>4S28GS77761-63</v>
      </c>
      <c r="C64" s="6" t="str">
        <f t="shared" si="1"/>
        <v>POPULATION-BASED DIABETES IN YOUTH REGISTRY. SEARCH FOR DIABETES IN YOUTH,
PHASE 4, CALIFORNIA SITE</v>
      </c>
      <c r="D64" s="6" t="str">
        <f t="shared" si="2"/>
        <v>LATINO COMMISSION ON AIDS</v>
      </c>
      <c r="E64">
        <f t="shared" si="3"/>
        <v>38967512</v>
      </c>
      <c r="F64" t="str">
        <f t="shared" si="4"/>
        <v>FDA</v>
      </c>
      <c r="G64" t="str">
        <f t="shared" si="5"/>
        <v>63-6001156</v>
      </c>
      <c r="H64">
        <f t="shared" ca="1" si="6"/>
        <v>872853</v>
      </c>
      <c r="I64" t="str">
        <f t="shared" si="7"/>
        <v>Annual</v>
      </c>
      <c r="N64" s="1">
        <v>185450</v>
      </c>
      <c r="Q64" s="1" t="s">
        <v>763</v>
      </c>
      <c r="T64" s="63" t="s">
        <v>1900</v>
      </c>
      <c r="U64">
        <v>15180927</v>
      </c>
      <c r="V64" s="10" t="s">
        <v>762</v>
      </c>
      <c r="W64" s="10" t="s">
        <v>762</v>
      </c>
      <c r="X64" t="s">
        <v>132</v>
      </c>
      <c r="Y64" s="1" t="s">
        <v>760</v>
      </c>
      <c r="AA64" s="88">
        <f t="shared" ca="1" si="15"/>
        <v>1944670</v>
      </c>
      <c r="AB64" t="s">
        <v>81</v>
      </c>
      <c r="AI64" s="1">
        <v>85490</v>
      </c>
      <c r="AJ64" s="1" t="s">
        <v>119</v>
      </c>
      <c r="AK64" s="1" t="str">
        <f t="shared" si="9"/>
        <v/>
      </c>
      <c r="AL64" t="b">
        <f t="shared" si="10"/>
        <v>1</v>
      </c>
      <c r="AM64" s="49" t="str">
        <f t="shared" si="11"/>
        <v>Q</v>
      </c>
      <c r="AP64" s="10" t="s">
        <v>327</v>
      </c>
      <c r="AS64" t="s">
        <v>119</v>
      </c>
      <c r="AT64" s="6" t="s">
        <v>327</v>
      </c>
      <c r="AU64" s="6" t="str">
        <f t="shared" si="13"/>
        <v/>
      </c>
      <c r="AV64" s="6" t="s">
        <v>104</v>
      </c>
      <c r="AW64" s="6" t="str">
        <f t="shared" si="14"/>
        <v/>
      </c>
    </row>
    <row r="65" spans="1:49" ht="75">
      <c r="A65" s="1">
        <v>85490</v>
      </c>
      <c r="B65" t="str">
        <f t="shared" si="0"/>
        <v>4S28GS77761-63</v>
      </c>
      <c r="C65" s="6" t="str">
        <f t="shared" si="1"/>
        <v>POPULATION-BASED DIABETES IN YOUTH REGISTRY. SEARCH FOR DIABETES IN YOUTH,
PHASE 4, CALIFORNIA SITE</v>
      </c>
      <c r="D65" s="6" t="str">
        <f t="shared" si="2"/>
        <v>LATINO COMMISSION ON AIDS</v>
      </c>
      <c r="E65">
        <f t="shared" si="3"/>
        <v>38967512</v>
      </c>
      <c r="F65" t="str">
        <f t="shared" si="4"/>
        <v>FDA</v>
      </c>
      <c r="G65" t="str">
        <f t="shared" si="5"/>
        <v>63-6001156</v>
      </c>
      <c r="H65">
        <f t="shared" ca="1" si="6"/>
        <v>872853</v>
      </c>
      <c r="I65" t="str">
        <f t="shared" si="7"/>
        <v>Annual</v>
      </c>
      <c r="N65" s="1">
        <v>185507</v>
      </c>
      <c r="Q65" s="1" t="s">
        <v>778</v>
      </c>
      <c r="T65" s="52" t="s">
        <v>1901</v>
      </c>
      <c r="U65">
        <v>15180927</v>
      </c>
      <c r="V65" s="10" t="s">
        <v>777</v>
      </c>
      <c r="W65" s="10" t="s">
        <v>777</v>
      </c>
      <c r="X65" t="s">
        <v>150</v>
      </c>
      <c r="Y65" s="1" t="s">
        <v>775</v>
      </c>
      <c r="AA65" s="88">
        <f t="shared" ca="1" si="15"/>
        <v>1219422</v>
      </c>
      <c r="AB65" t="s">
        <v>81</v>
      </c>
      <c r="AI65" s="1">
        <v>85490</v>
      </c>
      <c r="AJ65" s="1" t="s">
        <v>119</v>
      </c>
      <c r="AK65" s="1" t="str">
        <f t="shared" si="9"/>
        <v/>
      </c>
      <c r="AL65" t="b">
        <f t="shared" si="10"/>
        <v>1</v>
      </c>
      <c r="AM65" s="49" t="str">
        <f t="shared" si="11"/>
        <v>Q</v>
      </c>
      <c r="AP65" s="10" t="s">
        <v>113</v>
      </c>
      <c r="AS65" t="s">
        <v>119</v>
      </c>
      <c r="AT65" s="6" t="s">
        <v>113</v>
      </c>
      <c r="AU65" s="6" t="str">
        <f t="shared" si="13"/>
        <v/>
      </c>
      <c r="AV65" s="6" t="s">
        <v>112</v>
      </c>
      <c r="AW65" s="6" t="str">
        <f t="shared" si="14"/>
        <v/>
      </c>
    </row>
    <row r="66" spans="1:49" ht="75">
      <c r="A66" s="1">
        <v>85490</v>
      </c>
      <c r="B66" t="str">
        <f t="shared" si="0"/>
        <v>4S28GS77761-63</v>
      </c>
      <c r="C66" s="6" t="str">
        <f t="shared" si="1"/>
        <v>POPULATION-BASED DIABETES IN YOUTH REGISTRY. SEARCH FOR DIABETES IN YOUTH,
PHASE 4, CALIFORNIA SITE</v>
      </c>
      <c r="D66" s="6" t="str">
        <f t="shared" si="2"/>
        <v>LATINO COMMISSION ON AIDS</v>
      </c>
      <c r="E66">
        <f t="shared" si="3"/>
        <v>38967512</v>
      </c>
      <c r="F66" t="str">
        <f t="shared" si="4"/>
        <v>FDA</v>
      </c>
      <c r="G66" t="str">
        <f t="shared" si="5"/>
        <v>63-6001156</v>
      </c>
      <c r="H66">
        <f t="shared" ca="1" si="6"/>
        <v>872853</v>
      </c>
      <c r="I66" t="str">
        <f t="shared" si="7"/>
        <v>Annual</v>
      </c>
      <c r="N66" s="1">
        <v>185511</v>
      </c>
      <c r="Q66" s="1" t="s">
        <v>786</v>
      </c>
      <c r="T66" s="53" t="s">
        <v>1846</v>
      </c>
      <c r="U66">
        <v>9212768</v>
      </c>
      <c r="V66" s="10" t="s">
        <v>785</v>
      </c>
      <c r="W66" s="10" t="s">
        <v>785</v>
      </c>
      <c r="X66" t="s">
        <v>86</v>
      </c>
      <c r="Y66" s="1" t="s">
        <v>783</v>
      </c>
      <c r="AA66" s="88">
        <f t="shared" ca="1" si="15"/>
        <v>1979133</v>
      </c>
      <c r="AB66" t="s">
        <v>81</v>
      </c>
      <c r="AI66" s="1">
        <v>85490</v>
      </c>
      <c r="AJ66" s="1" t="s">
        <v>119</v>
      </c>
      <c r="AK66" s="1" t="str">
        <f t="shared" si="9"/>
        <v/>
      </c>
      <c r="AL66" t="b">
        <f t="shared" si="10"/>
        <v>1</v>
      </c>
      <c r="AM66" s="49" t="str">
        <f t="shared" si="11"/>
        <v>Q</v>
      </c>
      <c r="AP66" s="10"/>
      <c r="AS66" t="s">
        <v>119</v>
      </c>
      <c r="AT66" s="6" t="s">
        <v>812</v>
      </c>
      <c r="AU66" s="6" t="str">
        <f t="shared" si="13"/>
        <v/>
      </c>
      <c r="AV66" s="6" t="s">
        <v>811</v>
      </c>
      <c r="AW66" s="6" t="str">
        <f t="shared" si="14"/>
        <v/>
      </c>
    </row>
    <row r="67" spans="1:49" ht="90">
      <c r="A67" s="1">
        <v>89298</v>
      </c>
      <c r="B67" t="str">
        <f t="shared" ref="B67:B130" si="16">VLOOKUP(A67,$N$2:$Q$206,4,FALSE)</f>
        <v>4H68FT82253-54</v>
      </c>
      <c r="C67" s="6" t="str">
        <f t="shared" ref="C67:C130" si="17">VLOOKUP(A67,$N$2:$T$206,7,FALSE)</f>
        <v>CHRONIC DISEASE PREVENTION &amp; MANAGEMENT STRATEGY: INNOVATIVE SOLUTIONS FOR HEALTHIER COMMUNITIES</v>
      </c>
      <c r="D67" s="6" t="str">
        <f t="shared" ref="D67:D130" si="18">VLOOKUP(A67,$N$2:$W$206,10,FALSE)</f>
        <v>LONG ISLAND ASSOCIATION  FOR AIDS CARE, INC.</v>
      </c>
      <c r="E67">
        <f t="shared" ref="E67:E130" si="19">VLOOKUP(A67,$N$2:$U$206,8,FALSE)</f>
        <v>36535435</v>
      </c>
      <c r="F67" t="str">
        <f t="shared" ref="F67:F130" si="20">VLOOKUP(A67,$N$2:$X$206,11,FALSE)</f>
        <v>ACF</v>
      </c>
      <c r="G67" t="str">
        <f t="shared" ref="G67:G130" si="21">VLOOKUP(A67,$N$2:$Y$206,12,FALSE)</f>
        <v>63-6001157</v>
      </c>
      <c r="H67">
        <f t="shared" ref="H67:H130" ca="1" si="22">VLOOKUP(A67,$N$2:$AA$206,14,FALSE)</f>
        <v>784413</v>
      </c>
      <c r="I67" t="str">
        <f t="shared" ref="I67:I130" si="23">VLOOKUP(A67,$N$2:$AB$206,15,FALSE)</f>
        <v>Annual</v>
      </c>
      <c r="N67" s="1">
        <v>185513</v>
      </c>
      <c r="Q67" s="1" t="s">
        <v>798</v>
      </c>
      <c r="T67" s="57" t="s">
        <v>1862</v>
      </c>
      <c r="U67">
        <v>9212768</v>
      </c>
      <c r="V67" s="10" t="s">
        <v>797</v>
      </c>
      <c r="W67" s="10" t="s">
        <v>797</v>
      </c>
      <c r="X67" t="s">
        <v>117</v>
      </c>
      <c r="Y67" s="1" t="s">
        <v>796</v>
      </c>
      <c r="AA67" s="88">
        <f t="shared" ca="1" si="15"/>
        <v>1960071</v>
      </c>
      <c r="AB67" t="s">
        <v>81</v>
      </c>
      <c r="AI67" s="1">
        <v>89298</v>
      </c>
      <c r="AJ67" s="1" t="s">
        <v>119</v>
      </c>
      <c r="AK67" s="1" t="str">
        <f t="shared" ref="AK67:AK130" si="24">IF(ISNUMBER(SEARCH("C",AJ67)),"Y","")</f>
        <v/>
      </c>
      <c r="AL67" t="b">
        <f t="shared" ref="AL67:AL130" si="25">OR(LEN(AJ67)=0, ISBLANK(AJ67))</f>
        <v>1</v>
      </c>
      <c r="AM67" s="49" t="str">
        <f t="shared" ref="AM67:AM130" si="26">IF(ISNUMBER(SEARCH("C",AJ67)),"A",IF(ISNUMBER(SEARCH("B",AJ67)),"Q",IF(ISNUMBER(SEARCH("FALSE",AL67)),"Q","Q")))</f>
        <v>Q</v>
      </c>
      <c r="AP67" s="10" t="s">
        <v>97</v>
      </c>
      <c r="AS67" t="s">
        <v>119</v>
      </c>
      <c r="AT67" s="6" t="s">
        <v>97</v>
      </c>
      <c r="AU67" s="6" t="str">
        <f t="shared" ref="AU67:AU130" si="27">IF(LEN(AS67)&gt;0, AT67,"")</f>
        <v/>
      </c>
      <c r="AV67" s="6" t="s">
        <v>96</v>
      </c>
      <c r="AW67" s="6" t="str">
        <f t="shared" ref="AW67:AW130" si="28">IF(LEN(AS67)&gt;0, AV67,"")</f>
        <v/>
      </c>
    </row>
    <row r="68" spans="1:49" ht="105">
      <c r="A68" s="1">
        <v>89298</v>
      </c>
      <c r="B68" t="str">
        <f t="shared" si="16"/>
        <v>4H68FT82253-54</v>
      </c>
      <c r="C68" s="6" t="str">
        <f t="shared" si="17"/>
        <v>CHRONIC DISEASE PREVENTION &amp; MANAGEMENT STRATEGY: INNOVATIVE SOLUTIONS FOR HEALTHIER COMMUNITIES</v>
      </c>
      <c r="D68" s="6" t="str">
        <f t="shared" si="18"/>
        <v>LONG ISLAND ASSOCIATION  FOR AIDS CARE, INC.</v>
      </c>
      <c r="E68">
        <f t="shared" si="19"/>
        <v>36535435</v>
      </c>
      <c r="F68" t="str">
        <f t="shared" si="20"/>
        <v>ACF</v>
      </c>
      <c r="G68" t="str">
        <f t="shared" si="21"/>
        <v>63-6001157</v>
      </c>
      <c r="H68">
        <f t="shared" ca="1" si="22"/>
        <v>784413</v>
      </c>
      <c r="I68" t="str">
        <f t="shared" si="23"/>
        <v>Annual</v>
      </c>
      <c r="N68" s="1">
        <v>185514</v>
      </c>
      <c r="Q68" s="1" t="s">
        <v>802</v>
      </c>
      <c r="T68" s="53" t="s">
        <v>1902</v>
      </c>
      <c r="U68">
        <v>9212768</v>
      </c>
      <c r="V68" s="10" t="s">
        <v>801</v>
      </c>
      <c r="W68" s="10" t="s">
        <v>801</v>
      </c>
      <c r="X68" t="s">
        <v>132</v>
      </c>
      <c r="Y68" s="1" t="s">
        <v>800</v>
      </c>
      <c r="AA68" s="88">
        <f t="shared" ca="1" si="15"/>
        <v>1535572</v>
      </c>
      <c r="AB68" t="s">
        <v>81</v>
      </c>
      <c r="AI68" s="1">
        <v>89298</v>
      </c>
      <c r="AJ68" s="1" t="s">
        <v>119</v>
      </c>
      <c r="AK68" s="1" t="str">
        <f t="shared" si="24"/>
        <v/>
      </c>
      <c r="AL68" t="b">
        <f t="shared" si="25"/>
        <v>1</v>
      </c>
      <c r="AM68" s="49" t="str">
        <f t="shared" si="26"/>
        <v>Q</v>
      </c>
      <c r="AP68" s="10" t="s">
        <v>327</v>
      </c>
      <c r="AS68" t="s">
        <v>119</v>
      </c>
      <c r="AT68" s="6" t="s">
        <v>327</v>
      </c>
      <c r="AU68" s="6" t="str">
        <f t="shared" si="27"/>
        <v/>
      </c>
      <c r="AV68" s="6" t="s">
        <v>104</v>
      </c>
      <c r="AW68" s="6" t="str">
        <f t="shared" si="28"/>
        <v/>
      </c>
    </row>
    <row r="69" spans="1:49" ht="90">
      <c r="A69" s="1">
        <v>91992</v>
      </c>
      <c r="B69" t="str">
        <f t="shared" si="16"/>
        <v>9S90FS86003-67</v>
      </c>
      <c r="C69" s="6" t="str">
        <f t="shared" si="17"/>
        <v>A PARTNERED EVALUATION OF UHC MEDICAID PLAN INNOVATIONS FOR DIABETES PATIENTS</v>
      </c>
      <c r="D69" s="6" t="str">
        <f t="shared" si="18"/>
        <v>NEW YORK CITY DEPARTMENT  OF HEALTH</v>
      </c>
      <c r="E69">
        <f t="shared" si="19"/>
        <v>36535435</v>
      </c>
      <c r="F69" t="str">
        <f t="shared" si="20"/>
        <v>CDC</v>
      </c>
      <c r="G69" t="str">
        <f t="shared" si="21"/>
        <v>63-6001158</v>
      </c>
      <c r="H69">
        <f t="shared" ca="1" si="22"/>
        <v>931956</v>
      </c>
      <c r="I69" t="str">
        <f t="shared" si="23"/>
        <v>Annual</v>
      </c>
      <c r="N69" s="1">
        <v>185557</v>
      </c>
      <c r="Q69" s="1" t="s">
        <v>815</v>
      </c>
      <c r="T69" s="57" t="s">
        <v>1903</v>
      </c>
      <c r="U69">
        <v>9212768</v>
      </c>
      <c r="V69" s="10" t="s">
        <v>814</v>
      </c>
      <c r="W69" s="10" t="s">
        <v>814</v>
      </c>
      <c r="X69" t="s">
        <v>150</v>
      </c>
      <c r="Y69" s="1" t="s">
        <v>813</v>
      </c>
      <c r="AA69" s="88">
        <f t="shared" ca="1" si="15"/>
        <v>1148798</v>
      </c>
      <c r="AB69" t="s">
        <v>81</v>
      </c>
      <c r="AI69" s="1">
        <v>91992</v>
      </c>
      <c r="AJ69" s="1" t="s">
        <v>119</v>
      </c>
      <c r="AK69" s="1" t="str">
        <f t="shared" si="24"/>
        <v/>
      </c>
      <c r="AL69" t="b">
        <f t="shared" si="25"/>
        <v>1</v>
      </c>
      <c r="AM69" s="49" t="str">
        <f t="shared" si="26"/>
        <v>Q</v>
      </c>
      <c r="AP69" s="10" t="s">
        <v>97</v>
      </c>
      <c r="AS69" t="s">
        <v>119</v>
      </c>
      <c r="AT69" s="6" t="s">
        <v>97</v>
      </c>
      <c r="AU69" s="6" t="str">
        <f t="shared" si="27"/>
        <v/>
      </c>
      <c r="AV69" s="6" t="s">
        <v>96</v>
      </c>
      <c r="AW69" s="6" t="str">
        <f t="shared" si="28"/>
        <v/>
      </c>
    </row>
    <row r="70" spans="1:49" ht="75">
      <c r="A70" s="1">
        <v>91992</v>
      </c>
      <c r="B70" t="str">
        <f t="shared" si="16"/>
        <v>9S90FS86003-67</v>
      </c>
      <c r="C70" s="6" t="str">
        <f t="shared" si="17"/>
        <v>A PARTNERED EVALUATION OF UHC MEDICAID PLAN INNOVATIONS FOR DIABETES PATIENTS</v>
      </c>
      <c r="D70" s="6" t="str">
        <f t="shared" si="18"/>
        <v>NEW YORK CITY DEPARTMENT  OF HEALTH</v>
      </c>
      <c r="E70">
        <f t="shared" si="19"/>
        <v>36535435</v>
      </c>
      <c r="F70" t="str">
        <f t="shared" si="20"/>
        <v>CDC</v>
      </c>
      <c r="G70" t="str">
        <f t="shared" si="21"/>
        <v>63-6001158</v>
      </c>
      <c r="H70">
        <f t="shared" ca="1" si="22"/>
        <v>931956</v>
      </c>
      <c r="I70" t="str">
        <f t="shared" si="23"/>
        <v>Annual</v>
      </c>
      <c r="N70" s="1">
        <v>185635</v>
      </c>
      <c r="Q70" s="1" t="s">
        <v>213</v>
      </c>
      <c r="T70" s="57" t="s">
        <v>1859</v>
      </c>
      <c r="U70">
        <v>37594948</v>
      </c>
      <c r="V70" s="10" t="s">
        <v>820</v>
      </c>
      <c r="W70" s="10" t="s">
        <v>820</v>
      </c>
      <c r="X70" t="s">
        <v>86</v>
      </c>
      <c r="Y70" s="1" t="s">
        <v>819</v>
      </c>
      <c r="AA70" s="88">
        <f t="shared" ca="1" si="15"/>
        <v>1289505</v>
      </c>
      <c r="AB70" t="s">
        <v>81</v>
      </c>
      <c r="AI70" s="1">
        <v>91992</v>
      </c>
      <c r="AJ70" s="1" t="s">
        <v>119</v>
      </c>
      <c r="AK70" s="1" t="str">
        <f t="shared" si="24"/>
        <v/>
      </c>
      <c r="AL70" t="b">
        <f t="shared" si="25"/>
        <v>1</v>
      </c>
      <c r="AM70" s="49" t="str">
        <f t="shared" si="26"/>
        <v>Q</v>
      </c>
      <c r="AP70" s="10" t="s">
        <v>327</v>
      </c>
      <c r="AS70" t="s">
        <v>119</v>
      </c>
      <c r="AT70" s="6" t="s">
        <v>327</v>
      </c>
      <c r="AU70" s="6" t="str">
        <f t="shared" si="27"/>
        <v/>
      </c>
      <c r="AV70" s="6" t="s">
        <v>104</v>
      </c>
      <c r="AW70" s="6" t="str">
        <f t="shared" si="28"/>
        <v/>
      </c>
    </row>
    <row r="71" spans="1:49" ht="90">
      <c r="A71" s="1">
        <v>91992</v>
      </c>
      <c r="B71" t="str">
        <f t="shared" si="16"/>
        <v>9S90FS86003-67</v>
      </c>
      <c r="C71" s="6" t="str">
        <f t="shared" si="17"/>
        <v>A PARTNERED EVALUATION OF UHC MEDICAID PLAN INNOVATIONS FOR DIABETES PATIENTS</v>
      </c>
      <c r="D71" s="6" t="str">
        <f t="shared" si="18"/>
        <v>NEW YORK CITY DEPARTMENT  OF HEALTH</v>
      </c>
      <c r="E71">
        <f t="shared" si="19"/>
        <v>36535435</v>
      </c>
      <c r="F71" t="str">
        <f t="shared" si="20"/>
        <v>CDC</v>
      </c>
      <c r="G71" t="str">
        <f t="shared" si="21"/>
        <v>63-6001158</v>
      </c>
      <c r="H71">
        <f t="shared" ca="1" si="22"/>
        <v>931956</v>
      </c>
      <c r="I71" t="str">
        <f t="shared" si="23"/>
        <v>Annual</v>
      </c>
      <c r="N71" s="1">
        <v>186056</v>
      </c>
      <c r="Q71" s="1" t="s">
        <v>829</v>
      </c>
      <c r="T71" s="52" t="s">
        <v>1904</v>
      </c>
      <c r="U71">
        <v>37594948</v>
      </c>
      <c r="V71" s="10" t="s">
        <v>828</v>
      </c>
      <c r="W71" s="10" t="s">
        <v>828</v>
      </c>
      <c r="X71" t="s">
        <v>117</v>
      </c>
      <c r="Y71" s="1" t="s">
        <v>827</v>
      </c>
      <c r="AA71" s="88">
        <f ca="1">RANDBETWEEN(2000000,3000000)</f>
        <v>2646766</v>
      </c>
      <c r="AB71" t="s">
        <v>81</v>
      </c>
      <c r="AI71" s="1">
        <v>91992</v>
      </c>
      <c r="AJ71" s="1" t="s">
        <v>119</v>
      </c>
      <c r="AK71" s="1" t="str">
        <f t="shared" si="24"/>
        <v/>
      </c>
      <c r="AL71" t="b">
        <f t="shared" si="25"/>
        <v>1</v>
      </c>
      <c r="AM71" s="49" t="str">
        <f t="shared" si="26"/>
        <v>Q</v>
      </c>
      <c r="AP71" s="10" t="s">
        <v>113</v>
      </c>
      <c r="AS71" t="s">
        <v>119</v>
      </c>
      <c r="AT71" s="6" t="s">
        <v>113</v>
      </c>
      <c r="AU71" s="6" t="str">
        <f t="shared" si="27"/>
        <v/>
      </c>
      <c r="AV71" s="6" t="s">
        <v>112</v>
      </c>
      <c r="AW71" s="6" t="str">
        <f t="shared" si="28"/>
        <v/>
      </c>
    </row>
    <row r="72" spans="1:49" ht="75">
      <c r="A72" s="1">
        <v>91992</v>
      </c>
      <c r="B72" t="str">
        <f t="shared" si="16"/>
        <v>9S90FS86003-67</v>
      </c>
      <c r="C72" s="6" t="str">
        <f t="shared" si="17"/>
        <v>A PARTNERED EVALUATION OF UHC MEDICAID PLAN INNOVATIONS FOR DIABETES PATIENTS</v>
      </c>
      <c r="D72" s="6" t="str">
        <f t="shared" si="18"/>
        <v>NEW YORK CITY DEPARTMENT  OF HEALTH</v>
      </c>
      <c r="E72">
        <f t="shared" si="19"/>
        <v>36535435</v>
      </c>
      <c r="F72" t="str">
        <f t="shared" si="20"/>
        <v>CDC</v>
      </c>
      <c r="G72" t="str">
        <f t="shared" si="21"/>
        <v>63-6001158</v>
      </c>
      <c r="H72">
        <f t="shared" ca="1" si="22"/>
        <v>931956</v>
      </c>
      <c r="I72" t="str">
        <f t="shared" si="23"/>
        <v>Annual</v>
      </c>
      <c r="N72" s="1">
        <v>186102</v>
      </c>
      <c r="Q72" s="1" t="s">
        <v>836</v>
      </c>
      <c r="T72" s="54" t="s">
        <v>1905</v>
      </c>
      <c r="U72">
        <v>37594948</v>
      </c>
      <c r="V72" s="10" t="s">
        <v>835</v>
      </c>
      <c r="W72" s="10" t="s">
        <v>835</v>
      </c>
      <c r="X72" t="s">
        <v>132</v>
      </c>
      <c r="Y72" s="1" t="s">
        <v>834</v>
      </c>
      <c r="AA72" s="88">
        <f t="shared" ref="AA72:AA135" ca="1" si="29">RANDBETWEEN(2000000,3000000)</f>
        <v>2004643</v>
      </c>
      <c r="AB72" t="s">
        <v>81</v>
      </c>
      <c r="AI72" s="1">
        <v>91992</v>
      </c>
      <c r="AJ72" s="1" t="s">
        <v>119</v>
      </c>
      <c r="AK72" s="1" t="str">
        <f t="shared" si="24"/>
        <v/>
      </c>
      <c r="AL72" t="b">
        <f t="shared" si="25"/>
        <v>1</v>
      </c>
      <c r="AM72" s="49" t="str">
        <f t="shared" si="26"/>
        <v>Q</v>
      </c>
      <c r="AP72" s="10"/>
      <c r="AS72" t="s">
        <v>119</v>
      </c>
      <c r="AT72" s="6" t="s">
        <v>812</v>
      </c>
      <c r="AU72" s="6" t="str">
        <f t="shared" si="27"/>
        <v/>
      </c>
      <c r="AV72" s="6" t="s">
        <v>811</v>
      </c>
      <c r="AW72" s="6" t="str">
        <f t="shared" si="28"/>
        <v/>
      </c>
    </row>
    <row r="73" spans="1:49" ht="90">
      <c r="A73" s="1">
        <v>92106</v>
      </c>
      <c r="B73" t="str">
        <f t="shared" si="16"/>
        <v>6H93ET88661-32</v>
      </c>
      <c r="C73" s="6" t="str">
        <f t="shared" si="17"/>
        <v>UCLA BASED CENTRAL COORDINATING CENTER FOR THE NATURAL EXPERIMENT RESEARCH NETWORK</v>
      </c>
      <c r="D73" s="6" t="str">
        <f t="shared" si="18"/>
        <v>SUNSET PARK HEALTH COUNCIL, INC.</v>
      </c>
      <c r="E73">
        <f t="shared" si="19"/>
        <v>36535435</v>
      </c>
      <c r="F73" t="str">
        <f t="shared" si="20"/>
        <v>NIH</v>
      </c>
      <c r="G73" t="str">
        <f t="shared" si="21"/>
        <v>78-8262476</v>
      </c>
      <c r="H73">
        <f t="shared" ca="1" si="22"/>
        <v>934505</v>
      </c>
      <c r="I73" t="str">
        <f t="shared" si="23"/>
        <v>Annual</v>
      </c>
      <c r="N73" s="1">
        <v>186284</v>
      </c>
      <c r="Q73" s="1" t="s">
        <v>845</v>
      </c>
      <c r="T73" s="52" t="s">
        <v>1864</v>
      </c>
      <c r="U73">
        <v>25562879</v>
      </c>
      <c r="V73" s="10" t="s">
        <v>844</v>
      </c>
      <c r="W73" s="10" t="s">
        <v>844</v>
      </c>
      <c r="X73" t="s">
        <v>150</v>
      </c>
      <c r="Y73" s="1" t="s">
        <v>843</v>
      </c>
      <c r="AA73" s="88">
        <f t="shared" ca="1" si="29"/>
        <v>2663728</v>
      </c>
      <c r="AB73" t="s">
        <v>81</v>
      </c>
      <c r="AI73" s="1">
        <v>92106</v>
      </c>
      <c r="AJ73" s="1" t="s">
        <v>119</v>
      </c>
      <c r="AK73" s="1" t="str">
        <f t="shared" si="24"/>
        <v/>
      </c>
      <c r="AL73" t="b">
        <f t="shared" si="25"/>
        <v>1</v>
      </c>
      <c r="AM73" s="49" t="str">
        <f t="shared" si="26"/>
        <v>Q</v>
      </c>
      <c r="AP73" s="10" t="s">
        <v>97</v>
      </c>
      <c r="AS73" t="s">
        <v>119</v>
      </c>
      <c r="AT73" s="6" t="s">
        <v>97</v>
      </c>
      <c r="AU73" s="6" t="str">
        <f t="shared" si="27"/>
        <v/>
      </c>
      <c r="AV73" s="6" t="s">
        <v>96</v>
      </c>
      <c r="AW73" s="6" t="str">
        <f t="shared" si="28"/>
        <v/>
      </c>
    </row>
    <row r="74" spans="1:49" ht="75">
      <c r="A74" s="1">
        <v>92106</v>
      </c>
      <c r="B74" t="str">
        <f t="shared" si="16"/>
        <v>6H93ET88661-32</v>
      </c>
      <c r="C74" s="6" t="str">
        <f t="shared" si="17"/>
        <v>UCLA BASED CENTRAL COORDINATING CENTER FOR THE NATURAL EXPERIMENT RESEARCH NETWORK</v>
      </c>
      <c r="D74" s="6" t="str">
        <f t="shared" si="18"/>
        <v>SUNSET PARK HEALTH COUNCIL, INC.</v>
      </c>
      <c r="E74">
        <f t="shared" si="19"/>
        <v>36535435</v>
      </c>
      <c r="F74" t="str">
        <f t="shared" si="20"/>
        <v>NIH</v>
      </c>
      <c r="G74" t="str">
        <f t="shared" si="21"/>
        <v>78-8262476</v>
      </c>
      <c r="H74">
        <f t="shared" ca="1" si="22"/>
        <v>934505</v>
      </c>
      <c r="I74" t="str">
        <f t="shared" si="23"/>
        <v>Annual</v>
      </c>
      <c r="N74" s="1">
        <v>186904</v>
      </c>
      <c r="Q74" s="1" t="s">
        <v>852</v>
      </c>
      <c r="T74" s="61" t="s">
        <v>1865</v>
      </c>
      <c r="U74">
        <v>25562879</v>
      </c>
      <c r="V74" s="10" t="s">
        <v>851</v>
      </c>
      <c r="W74" s="10" t="s">
        <v>851</v>
      </c>
      <c r="X74" t="s">
        <v>86</v>
      </c>
      <c r="Y74" s="1" t="s">
        <v>850</v>
      </c>
      <c r="AA74" s="88">
        <f t="shared" ca="1" si="29"/>
        <v>2678163</v>
      </c>
      <c r="AB74" t="s">
        <v>81</v>
      </c>
      <c r="AI74" s="1">
        <v>92106</v>
      </c>
      <c r="AJ74" s="1" t="s">
        <v>119</v>
      </c>
      <c r="AK74" s="1" t="str">
        <f t="shared" si="24"/>
        <v/>
      </c>
      <c r="AL74" t="b">
        <f t="shared" si="25"/>
        <v>1</v>
      </c>
      <c r="AM74" s="49" t="str">
        <f t="shared" si="26"/>
        <v>Q</v>
      </c>
      <c r="AP74" s="10" t="s">
        <v>327</v>
      </c>
      <c r="AS74" t="s">
        <v>119</v>
      </c>
      <c r="AT74" s="6" t="s">
        <v>327</v>
      </c>
      <c r="AU74" s="6" t="str">
        <f t="shared" si="27"/>
        <v/>
      </c>
      <c r="AV74" s="6" t="s">
        <v>104</v>
      </c>
      <c r="AW74" s="6" t="str">
        <f t="shared" si="28"/>
        <v/>
      </c>
    </row>
    <row r="75" spans="1:49" ht="90">
      <c r="A75" s="1">
        <v>93575</v>
      </c>
      <c r="B75" t="str">
        <f t="shared" si="16"/>
        <v>6H12AT82681-31</v>
      </c>
      <c r="C75" s="6" t="str">
        <f t="shared" si="17"/>
        <v>SUPPORTING, MAINTAINING AND IMPROVING THE SURVEILLANCE SYSTEM FOR CHRONIC KIDNEY DISEASE IN THE UNITED STATES</v>
      </c>
      <c r="D75" s="6" t="str">
        <f t="shared" si="18"/>
        <v>UNIVERSITY OF ROCHESTER</v>
      </c>
      <c r="E75">
        <f t="shared" si="19"/>
        <v>1224561</v>
      </c>
      <c r="F75" t="str">
        <f t="shared" si="20"/>
        <v>FDA</v>
      </c>
      <c r="G75" t="str">
        <f t="shared" si="21"/>
        <v>78-8262477</v>
      </c>
      <c r="H75">
        <f t="shared" ca="1" si="22"/>
        <v>937678</v>
      </c>
      <c r="I75" t="str">
        <f t="shared" si="23"/>
        <v>Annual</v>
      </c>
      <c r="N75" s="1">
        <v>187414</v>
      </c>
      <c r="Q75" s="1" t="s">
        <v>858</v>
      </c>
      <c r="T75" s="53" t="s">
        <v>1846</v>
      </c>
      <c r="U75">
        <v>25562879</v>
      </c>
      <c r="V75" s="10" t="s">
        <v>857</v>
      </c>
      <c r="W75" s="10" t="s">
        <v>857</v>
      </c>
      <c r="X75" t="s">
        <v>117</v>
      </c>
      <c r="Y75" s="1" t="s">
        <v>856</v>
      </c>
      <c r="AA75" s="88">
        <f t="shared" ca="1" si="29"/>
        <v>2592842</v>
      </c>
      <c r="AB75" t="s">
        <v>81</v>
      </c>
      <c r="AI75" s="1">
        <v>93575</v>
      </c>
      <c r="AJ75" s="1" t="s">
        <v>119</v>
      </c>
      <c r="AK75" s="1" t="str">
        <f t="shared" si="24"/>
        <v/>
      </c>
      <c r="AL75" t="b">
        <f t="shared" si="25"/>
        <v>1</v>
      </c>
      <c r="AM75" s="49" t="str">
        <f t="shared" si="26"/>
        <v>Q</v>
      </c>
      <c r="AP75" s="10" t="s">
        <v>97</v>
      </c>
      <c r="AS75" t="s">
        <v>119</v>
      </c>
      <c r="AT75" s="6" t="s">
        <v>97</v>
      </c>
      <c r="AU75" s="6" t="str">
        <f t="shared" si="27"/>
        <v/>
      </c>
      <c r="AV75" s="6" t="s">
        <v>96</v>
      </c>
      <c r="AW75" s="6" t="str">
        <f t="shared" si="28"/>
        <v/>
      </c>
    </row>
    <row r="76" spans="1:49" ht="75">
      <c r="A76" s="1">
        <v>93575</v>
      </c>
      <c r="B76" t="str">
        <f t="shared" si="16"/>
        <v>6H12AT82681-31</v>
      </c>
      <c r="C76" s="6" t="str">
        <f t="shared" si="17"/>
        <v>SUPPORTING, MAINTAINING AND IMPROVING THE SURVEILLANCE SYSTEM FOR CHRONIC KIDNEY DISEASE IN THE UNITED STATES</v>
      </c>
      <c r="D76" s="6" t="str">
        <f t="shared" si="18"/>
        <v>UNIVERSITY OF ROCHESTER</v>
      </c>
      <c r="E76">
        <f t="shared" si="19"/>
        <v>1224561</v>
      </c>
      <c r="F76" t="str">
        <f t="shared" si="20"/>
        <v>FDA</v>
      </c>
      <c r="G76" t="str">
        <f t="shared" si="21"/>
        <v>78-8262477</v>
      </c>
      <c r="H76">
        <f t="shared" ca="1" si="22"/>
        <v>937678</v>
      </c>
      <c r="I76" t="str">
        <f t="shared" si="23"/>
        <v>Annual</v>
      </c>
      <c r="N76" s="1">
        <v>187440</v>
      </c>
      <c r="Q76" s="1" t="s">
        <v>866</v>
      </c>
      <c r="T76" s="56" t="s">
        <v>1900</v>
      </c>
      <c r="U76">
        <v>25562879</v>
      </c>
      <c r="V76" s="10" t="s">
        <v>865</v>
      </c>
      <c r="W76" s="10" t="s">
        <v>865</v>
      </c>
      <c r="X76" t="s">
        <v>132</v>
      </c>
      <c r="Y76" s="1" t="s">
        <v>864</v>
      </c>
      <c r="AA76" s="88">
        <f t="shared" ca="1" si="29"/>
        <v>2795735</v>
      </c>
      <c r="AB76" t="s">
        <v>81</v>
      </c>
      <c r="AI76" s="1">
        <v>93575</v>
      </c>
      <c r="AJ76" s="1" t="s">
        <v>119</v>
      </c>
      <c r="AK76" s="1" t="str">
        <f t="shared" si="24"/>
        <v/>
      </c>
      <c r="AL76" t="b">
        <f t="shared" si="25"/>
        <v>1</v>
      </c>
      <c r="AM76" s="49" t="str">
        <f t="shared" si="26"/>
        <v>Q</v>
      </c>
      <c r="AP76" s="10" t="s">
        <v>327</v>
      </c>
      <c r="AS76" t="s">
        <v>119</v>
      </c>
      <c r="AT76" s="6" t="s">
        <v>327</v>
      </c>
      <c r="AU76" s="6" t="str">
        <f t="shared" si="27"/>
        <v/>
      </c>
      <c r="AV76" s="6" t="s">
        <v>104</v>
      </c>
      <c r="AW76" s="6" t="str">
        <f t="shared" si="28"/>
        <v/>
      </c>
    </row>
    <row r="77" spans="1:49" ht="90">
      <c r="A77" s="1">
        <v>95224</v>
      </c>
      <c r="B77" t="str">
        <f t="shared" si="16"/>
        <v>4R23GR90422-62</v>
      </c>
      <c r="C77" s="6" t="str">
        <f t="shared" si="17"/>
        <v>STATE INNOVATION MODEL INITIATIVE IMPACTS ON DIABETES PREVENTION AND MANAGEMENT</v>
      </c>
      <c r="D77" s="6" t="str">
        <f t="shared" si="18"/>
        <v>WILLIAM F RYAN COMMUNITY HEALTH CENTER, INC</v>
      </c>
      <c r="E77">
        <f t="shared" si="19"/>
        <v>1224561</v>
      </c>
      <c r="F77" t="str">
        <f t="shared" si="20"/>
        <v>ACF</v>
      </c>
      <c r="G77" t="str">
        <f t="shared" si="21"/>
        <v>78-8262478</v>
      </c>
      <c r="H77">
        <f t="shared" ca="1" si="22"/>
        <v>975260</v>
      </c>
      <c r="I77" t="str">
        <f t="shared" si="23"/>
        <v>Annual</v>
      </c>
      <c r="N77" s="1">
        <v>188077</v>
      </c>
      <c r="Q77" s="1" t="s">
        <v>870</v>
      </c>
      <c r="T77" s="53" t="s">
        <v>1906</v>
      </c>
      <c r="U77">
        <v>15959752</v>
      </c>
      <c r="V77" s="10" t="s">
        <v>869</v>
      </c>
      <c r="W77" s="10" t="s">
        <v>869</v>
      </c>
      <c r="X77" t="s">
        <v>150</v>
      </c>
      <c r="Y77" s="1" t="s">
        <v>868</v>
      </c>
      <c r="AA77" s="88">
        <f t="shared" ca="1" si="29"/>
        <v>2736160</v>
      </c>
      <c r="AB77" t="s">
        <v>81</v>
      </c>
      <c r="AI77" s="1">
        <v>95224</v>
      </c>
      <c r="AJ77" s="1" t="s">
        <v>119</v>
      </c>
      <c r="AK77" s="1" t="str">
        <f t="shared" si="24"/>
        <v/>
      </c>
      <c r="AL77" t="b">
        <f t="shared" si="25"/>
        <v>1</v>
      </c>
      <c r="AM77" s="49" t="str">
        <f t="shared" si="26"/>
        <v>Q</v>
      </c>
      <c r="AP77" s="10" t="s">
        <v>97</v>
      </c>
      <c r="AS77" t="s">
        <v>119</v>
      </c>
      <c r="AT77" s="6" t="s">
        <v>97</v>
      </c>
      <c r="AU77" s="6" t="str">
        <f t="shared" si="27"/>
        <v/>
      </c>
      <c r="AV77" s="6" t="s">
        <v>96</v>
      </c>
      <c r="AW77" s="6" t="str">
        <f t="shared" si="28"/>
        <v/>
      </c>
    </row>
    <row r="78" spans="1:49" ht="75">
      <c r="A78" s="1">
        <v>95224</v>
      </c>
      <c r="B78" t="str">
        <f t="shared" si="16"/>
        <v>4R23GR90422-62</v>
      </c>
      <c r="C78" s="6" t="str">
        <f t="shared" si="17"/>
        <v>STATE INNOVATION MODEL INITIATIVE IMPACTS ON DIABETES PREVENTION AND MANAGEMENT</v>
      </c>
      <c r="D78" s="6" t="str">
        <f t="shared" si="18"/>
        <v>WILLIAM F RYAN COMMUNITY HEALTH CENTER, INC</v>
      </c>
      <c r="E78">
        <f t="shared" si="19"/>
        <v>1224561</v>
      </c>
      <c r="F78" t="str">
        <f t="shared" si="20"/>
        <v>ACF</v>
      </c>
      <c r="G78" t="str">
        <f t="shared" si="21"/>
        <v>78-8262478</v>
      </c>
      <c r="H78">
        <f t="shared" ca="1" si="22"/>
        <v>975260</v>
      </c>
      <c r="I78" t="str">
        <f t="shared" si="23"/>
        <v>Annual</v>
      </c>
      <c r="N78" s="1">
        <v>188543</v>
      </c>
      <c r="Q78" s="1" t="s">
        <v>876</v>
      </c>
      <c r="T78" s="52" t="s">
        <v>1907</v>
      </c>
      <c r="U78">
        <v>15959752</v>
      </c>
      <c r="V78" s="10" t="s">
        <v>875</v>
      </c>
      <c r="W78" s="10" t="s">
        <v>875</v>
      </c>
      <c r="X78" t="s">
        <v>86</v>
      </c>
      <c r="Y78" s="1" t="s">
        <v>874</v>
      </c>
      <c r="AA78" s="88">
        <f t="shared" ca="1" si="29"/>
        <v>2840285</v>
      </c>
      <c r="AB78" t="s">
        <v>81</v>
      </c>
      <c r="AI78" s="1">
        <v>95224</v>
      </c>
      <c r="AJ78" s="1" t="s">
        <v>119</v>
      </c>
      <c r="AK78" s="1" t="str">
        <f t="shared" si="24"/>
        <v/>
      </c>
      <c r="AL78" t="b">
        <f t="shared" si="25"/>
        <v>1</v>
      </c>
      <c r="AM78" s="49" t="str">
        <f t="shared" si="26"/>
        <v>Q</v>
      </c>
      <c r="AP78" s="10" t="s">
        <v>327</v>
      </c>
      <c r="AS78" t="s">
        <v>119</v>
      </c>
      <c r="AT78" s="6" t="s">
        <v>327</v>
      </c>
      <c r="AU78" s="6" t="str">
        <f t="shared" si="27"/>
        <v/>
      </c>
      <c r="AV78" s="6" t="s">
        <v>104</v>
      </c>
      <c r="AW78" s="6" t="str">
        <f t="shared" si="28"/>
        <v/>
      </c>
    </row>
    <row r="79" spans="1:49" ht="75">
      <c r="A79" s="1">
        <v>95224</v>
      </c>
      <c r="B79" t="str">
        <f t="shared" si="16"/>
        <v>4R23GR90422-62</v>
      </c>
      <c r="C79" s="6" t="str">
        <f t="shared" si="17"/>
        <v>STATE INNOVATION MODEL INITIATIVE IMPACTS ON DIABETES PREVENTION AND MANAGEMENT</v>
      </c>
      <c r="D79" s="6" t="str">
        <f t="shared" si="18"/>
        <v>WILLIAM F RYAN COMMUNITY HEALTH CENTER, INC</v>
      </c>
      <c r="E79">
        <f t="shared" si="19"/>
        <v>1224561</v>
      </c>
      <c r="F79" t="str">
        <f t="shared" si="20"/>
        <v>ACF</v>
      </c>
      <c r="G79" t="str">
        <f t="shared" si="21"/>
        <v>78-8262478</v>
      </c>
      <c r="H79">
        <f t="shared" ca="1" si="22"/>
        <v>975260</v>
      </c>
      <c r="I79" t="str">
        <f t="shared" si="23"/>
        <v>Annual</v>
      </c>
      <c r="N79" s="1">
        <v>194098</v>
      </c>
      <c r="Q79" s="1" t="s">
        <v>881</v>
      </c>
      <c r="T79" s="64" t="s">
        <v>1908</v>
      </c>
      <c r="U79">
        <v>15959752</v>
      </c>
      <c r="V79" s="10" t="s">
        <v>880</v>
      </c>
      <c r="W79" s="10" t="s">
        <v>880</v>
      </c>
      <c r="X79" t="s">
        <v>117</v>
      </c>
      <c r="Y79" s="1" t="s">
        <v>879</v>
      </c>
      <c r="AA79" s="88">
        <f t="shared" ca="1" si="29"/>
        <v>2017934</v>
      </c>
      <c r="AB79" t="s">
        <v>81</v>
      </c>
      <c r="AI79" s="1">
        <v>95224</v>
      </c>
      <c r="AJ79" s="1" t="s">
        <v>119</v>
      </c>
      <c r="AK79" s="1" t="str">
        <f t="shared" si="24"/>
        <v/>
      </c>
      <c r="AL79" t="b">
        <f t="shared" si="25"/>
        <v>1</v>
      </c>
      <c r="AM79" s="49" t="str">
        <f t="shared" si="26"/>
        <v>Q</v>
      </c>
      <c r="AP79" s="10"/>
      <c r="AS79" t="s">
        <v>119</v>
      </c>
      <c r="AT79" s="6" t="s">
        <v>812</v>
      </c>
      <c r="AU79" s="6" t="str">
        <f t="shared" si="27"/>
        <v/>
      </c>
      <c r="AV79" s="6" t="s">
        <v>811</v>
      </c>
      <c r="AW79" s="6" t="str">
        <f t="shared" si="28"/>
        <v/>
      </c>
    </row>
    <row r="80" spans="1:49" ht="60">
      <c r="A80" s="1">
        <v>95224</v>
      </c>
      <c r="B80" t="str">
        <f t="shared" si="16"/>
        <v>4R23GR90422-62</v>
      </c>
      <c r="C80" s="6" t="str">
        <f t="shared" si="17"/>
        <v>STATE INNOVATION MODEL INITIATIVE IMPACTS ON DIABETES PREVENTION AND MANAGEMENT</v>
      </c>
      <c r="D80" s="6" t="str">
        <f t="shared" si="18"/>
        <v>WILLIAM F RYAN COMMUNITY HEALTH CENTER, INC</v>
      </c>
      <c r="E80">
        <f t="shared" si="19"/>
        <v>1224561</v>
      </c>
      <c r="F80" t="str">
        <f t="shared" si="20"/>
        <v>ACF</v>
      </c>
      <c r="G80" t="str">
        <f t="shared" si="21"/>
        <v>78-8262478</v>
      </c>
      <c r="H80">
        <f t="shared" ca="1" si="22"/>
        <v>975260</v>
      </c>
      <c r="I80" t="str">
        <f t="shared" si="23"/>
        <v>Annual</v>
      </c>
      <c r="N80" s="1">
        <v>194589</v>
      </c>
      <c r="Q80" s="1" t="s">
        <v>889</v>
      </c>
      <c r="T80" s="54" t="s">
        <v>1909</v>
      </c>
      <c r="U80">
        <v>15959752</v>
      </c>
      <c r="V80" s="10" t="s">
        <v>888</v>
      </c>
      <c r="W80" s="10" t="s">
        <v>888</v>
      </c>
      <c r="X80" t="s">
        <v>132</v>
      </c>
      <c r="Y80" s="1" t="s">
        <v>887</v>
      </c>
      <c r="AA80" s="88">
        <f t="shared" ca="1" si="29"/>
        <v>2607614</v>
      </c>
      <c r="AB80" t="s">
        <v>81</v>
      </c>
      <c r="AI80" s="1">
        <v>95224</v>
      </c>
      <c r="AJ80" s="1" t="s">
        <v>119</v>
      </c>
      <c r="AK80" s="1" t="str">
        <f t="shared" si="24"/>
        <v/>
      </c>
      <c r="AL80" t="b">
        <f t="shared" si="25"/>
        <v>1</v>
      </c>
      <c r="AM80" s="49" t="str">
        <f t="shared" si="26"/>
        <v>Q</v>
      </c>
      <c r="AP80" s="10" t="s">
        <v>113</v>
      </c>
      <c r="AS80" t="s">
        <v>119</v>
      </c>
      <c r="AT80" s="6" t="s">
        <v>113</v>
      </c>
      <c r="AU80" s="6" t="str">
        <f t="shared" si="27"/>
        <v/>
      </c>
      <c r="AV80" s="6" t="s">
        <v>112</v>
      </c>
      <c r="AW80" s="6" t="str">
        <f t="shared" si="28"/>
        <v/>
      </c>
    </row>
    <row r="81" spans="1:49" ht="75">
      <c r="A81" s="1">
        <v>95224</v>
      </c>
      <c r="B81" t="str">
        <f t="shared" si="16"/>
        <v>4R23GR90422-62</v>
      </c>
      <c r="C81" s="6" t="str">
        <f t="shared" si="17"/>
        <v>STATE INNOVATION MODEL INITIATIVE IMPACTS ON DIABETES PREVENTION AND MANAGEMENT</v>
      </c>
      <c r="D81" s="6" t="str">
        <f t="shared" si="18"/>
        <v>WILLIAM F RYAN COMMUNITY HEALTH CENTER, INC</v>
      </c>
      <c r="E81">
        <f t="shared" si="19"/>
        <v>1224561</v>
      </c>
      <c r="F81" t="str">
        <f t="shared" si="20"/>
        <v>ACF</v>
      </c>
      <c r="G81" t="str">
        <f t="shared" si="21"/>
        <v>78-8262478</v>
      </c>
      <c r="H81">
        <f t="shared" ca="1" si="22"/>
        <v>975260</v>
      </c>
      <c r="I81" t="str">
        <f t="shared" si="23"/>
        <v>Annual</v>
      </c>
      <c r="N81" s="1">
        <v>194597</v>
      </c>
      <c r="Q81" s="1" t="s">
        <v>895</v>
      </c>
      <c r="T81" s="56" t="s">
        <v>1910</v>
      </c>
      <c r="U81">
        <v>10004702</v>
      </c>
      <c r="V81" s="10" t="s">
        <v>894</v>
      </c>
      <c r="W81" s="10" t="s">
        <v>894</v>
      </c>
      <c r="X81" t="s">
        <v>150</v>
      </c>
      <c r="Y81" s="1" t="s">
        <v>893</v>
      </c>
      <c r="AA81" s="88">
        <f t="shared" ca="1" si="29"/>
        <v>2306950</v>
      </c>
      <c r="AB81" t="s">
        <v>81</v>
      </c>
      <c r="AI81" s="1">
        <v>95224</v>
      </c>
      <c r="AJ81" s="1" t="s">
        <v>119</v>
      </c>
      <c r="AK81" s="1" t="str">
        <f t="shared" si="24"/>
        <v/>
      </c>
      <c r="AL81" t="b">
        <f t="shared" si="25"/>
        <v>1</v>
      </c>
      <c r="AM81" s="49" t="str">
        <f t="shared" si="26"/>
        <v>Q</v>
      </c>
      <c r="AP81" s="10"/>
      <c r="AS81" t="s">
        <v>119</v>
      </c>
      <c r="AT81" s="6" t="s">
        <v>812</v>
      </c>
      <c r="AU81" s="6" t="str">
        <f t="shared" si="27"/>
        <v/>
      </c>
      <c r="AV81" s="6" t="s">
        <v>811</v>
      </c>
      <c r="AW81" s="6" t="str">
        <f t="shared" si="28"/>
        <v/>
      </c>
    </row>
    <row r="82" spans="1:49" ht="90">
      <c r="A82" s="1">
        <v>95984</v>
      </c>
      <c r="B82" t="str">
        <f t="shared" si="16"/>
        <v>4S75BS90421-55</v>
      </c>
      <c r="C82" s="6" t="str">
        <f t="shared" si="17"/>
        <v>PREVENTION AND SELF-MANAGEMENT OF HEART DISEASE, STROKE AND DIABETES</v>
      </c>
      <c r="D82" s="6" t="str">
        <f t="shared" si="18"/>
        <v>WOMEN'S  PRISON ASSOCIATION  AND HOME, INC.</v>
      </c>
      <c r="E82">
        <f t="shared" si="19"/>
        <v>1224561</v>
      </c>
      <c r="F82" t="str">
        <f t="shared" si="20"/>
        <v>CDC</v>
      </c>
      <c r="G82" t="str">
        <f t="shared" si="21"/>
        <v>78-8262479</v>
      </c>
      <c r="H82">
        <f t="shared" ca="1" si="22"/>
        <v>879009</v>
      </c>
      <c r="I82" t="str">
        <f t="shared" si="23"/>
        <v>Biennial</v>
      </c>
      <c r="N82" s="1">
        <v>194599</v>
      </c>
      <c r="Q82" s="1" t="s">
        <v>900</v>
      </c>
      <c r="T82" s="52" t="s">
        <v>1865</v>
      </c>
      <c r="U82">
        <v>10004702</v>
      </c>
      <c r="V82" s="10" t="s">
        <v>899</v>
      </c>
      <c r="W82" s="10" t="s">
        <v>899</v>
      </c>
      <c r="X82" t="s">
        <v>86</v>
      </c>
      <c r="Y82" s="1" t="s">
        <v>898</v>
      </c>
      <c r="AA82" s="88">
        <f t="shared" ca="1" si="29"/>
        <v>2661330</v>
      </c>
      <c r="AB82" t="s">
        <v>81</v>
      </c>
      <c r="AI82" s="1">
        <v>95984</v>
      </c>
      <c r="AJ82" s="1" t="s">
        <v>119</v>
      </c>
      <c r="AK82" s="1" t="str">
        <f t="shared" si="24"/>
        <v/>
      </c>
      <c r="AL82" t="b">
        <f t="shared" si="25"/>
        <v>1</v>
      </c>
      <c r="AM82" s="49" t="str">
        <f t="shared" si="26"/>
        <v>Q</v>
      </c>
      <c r="AP82" s="10" t="s">
        <v>97</v>
      </c>
      <c r="AS82" t="s">
        <v>119</v>
      </c>
      <c r="AT82" s="6" t="s">
        <v>97</v>
      </c>
      <c r="AU82" s="6" t="str">
        <f t="shared" si="27"/>
        <v/>
      </c>
      <c r="AV82" s="6" t="s">
        <v>96</v>
      </c>
      <c r="AW82" s="6" t="str">
        <f t="shared" si="28"/>
        <v/>
      </c>
    </row>
    <row r="83" spans="1:49" ht="75">
      <c r="A83" s="1">
        <v>95984</v>
      </c>
      <c r="B83" t="str">
        <f t="shared" si="16"/>
        <v>4S75BS90421-55</v>
      </c>
      <c r="C83" s="6" t="str">
        <f t="shared" si="17"/>
        <v>PREVENTION AND SELF-MANAGEMENT OF HEART DISEASE, STROKE AND DIABETES</v>
      </c>
      <c r="D83" s="6" t="str">
        <f t="shared" si="18"/>
        <v>WOMEN'S  PRISON ASSOCIATION  AND HOME, INC.</v>
      </c>
      <c r="E83">
        <f t="shared" si="19"/>
        <v>1224561</v>
      </c>
      <c r="F83" t="str">
        <f t="shared" si="20"/>
        <v>CDC</v>
      </c>
      <c r="G83" t="str">
        <f t="shared" si="21"/>
        <v>78-8262479</v>
      </c>
      <c r="H83">
        <f t="shared" ca="1" si="22"/>
        <v>879009</v>
      </c>
      <c r="I83" t="str">
        <f t="shared" si="23"/>
        <v>Biennial</v>
      </c>
      <c r="N83" s="1">
        <v>194600</v>
      </c>
      <c r="Q83" s="1" t="s">
        <v>904</v>
      </c>
      <c r="T83" s="62" t="s">
        <v>1900</v>
      </c>
      <c r="U83">
        <v>10004702</v>
      </c>
      <c r="V83" s="10" t="s">
        <v>903</v>
      </c>
      <c r="W83" s="10" t="s">
        <v>903</v>
      </c>
      <c r="X83" t="s">
        <v>117</v>
      </c>
      <c r="Y83" s="1" t="s">
        <v>902</v>
      </c>
      <c r="AA83" s="88">
        <f t="shared" ca="1" si="29"/>
        <v>2139062</v>
      </c>
      <c r="AB83" t="s">
        <v>81</v>
      </c>
      <c r="AI83" s="1">
        <v>95984</v>
      </c>
      <c r="AJ83" s="1" t="s">
        <v>119</v>
      </c>
      <c r="AK83" s="1" t="str">
        <f t="shared" si="24"/>
        <v/>
      </c>
      <c r="AL83" t="b">
        <f t="shared" si="25"/>
        <v>1</v>
      </c>
      <c r="AM83" s="49" t="str">
        <f t="shared" si="26"/>
        <v>Q</v>
      </c>
      <c r="AP83" s="10" t="s">
        <v>327</v>
      </c>
      <c r="AS83" t="s">
        <v>119</v>
      </c>
      <c r="AT83" s="6" t="s">
        <v>327</v>
      </c>
      <c r="AU83" s="6" t="str">
        <f t="shared" si="27"/>
        <v/>
      </c>
      <c r="AV83" s="6" t="s">
        <v>104</v>
      </c>
      <c r="AW83" s="6" t="str">
        <f t="shared" si="28"/>
        <v/>
      </c>
    </row>
    <row r="84" spans="1:49" ht="105">
      <c r="A84" s="1">
        <v>95999</v>
      </c>
      <c r="B84" t="str">
        <f t="shared" si="16"/>
        <v>6S54ES90958-69</v>
      </c>
      <c r="C84" s="6" t="str">
        <f t="shared" si="17"/>
        <v>ADVANCING CALIFORNIA S OPPORTUNITIES TO RENEW NATIVE HEALTH SYSTEMS (ACORNS)</v>
      </c>
      <c r="D84" s="6" t="str">
        <f t="shared" si="18"/>
        <v>WYCKOFF HEIGHTS MEDICAL CENTER</v>
      </c>
      <c r="E84">
        <f t="shared" si="19"/>
        <v>12116498</v>
      </c>
      <c r="F84" t="str">
        <f t="shared" si="20"/>
        <v>NIH</v>
      </c>
      <c r="G84" t="str">
        <f t="shared" si="21"/>
        <v>78-8262480</v>
      </c>
      <c r="H84">
        <f t="shared" ca="1" si="22"/>
        <v>920249</v>
      </c>
      <c r="I84" t="str">
        <f t="shared" si="23"/>
        <v>Annual</v>
      </c>
      <c r="N84" s="1">
        <v>194609</v>
      </c>
      <c r="Q84" s="1" t="s">
        <v>909</v>
      </c>
      <c r="T84" s="56" t="s">
        <v>1910</v>
      </c>
      <c r="U84">
        <v>11008311</v>
      </c>
      <c r="V84" s="10" t="s">
        <v>908</v>
      </c>
      <c r="W84" s="10" t="s">
        <v>908</v>
      </c>
      <c r="X84" t="s">
        <v>132</v>
      </c>
      <c r="Y84" s="1" t="s">
        <v>907</v>
      </c>
      <c r="AA84" s="88">
        <f t="shared" ca="1" si="29"/>
        <v>2105697</v>
      </c>
      <c r="AB84" t="s">
        <v>81</v>
      </c>
      <c r="AI84" s="1">
        <v>95999</v>
      </c>
      <c r="AJ84" s="1" t="s">
        <v>119</v>
      </c>
      <c r="AK84" s="1" t="str">
        <f t="shared" si="24"/>
        <v/>
      </c>
      <c r="AL84" t="b">
        <f t="shared" si="25"/>
        <v>1</v>
      </c>
      <c r="AM84" s="49" t="str">
        <f t="shared" si="26"/>
        <v>Q</v>
      </c>
      <c r="AP84" s="10" t="s">
        <v>97</v>
      </c>
      <c r="AS84" t="s">
        <v>119</v>
      </c>
      <c r="AT84" s="6" t="s">
        <v>97</v>
      </c>
      <c r="AU84" s="6" t="str">
        <f t="shared" si="27"/>
        <v/>
      </c>
      <c r="AV84" s="6" t="s">
        <v>96</v>
      </c>
      <c r="AW84" s="6" t="str">
        <f t="shared" si="28"/>
        <v/>
      </c>
    </row>
    <row r="85" spans="1:49" ht="75">
      <c r="A85" s="1">
        <v>95999</v>
      </c>
      <c r="B85" t="str">
        <f t="shared" si="16"/>
        <v>6S54ES90958-69</v>
      </c>
      <c r="C85" s="6" t="str">
        <f t="shared" si="17"/>
        <v>ADVANCING CALIFORNIA S OPPORTUNITIES TO RENEW NATIVE HEALTH SYSTEMS (ACORNS)</v>
      </c>
      <c r="D85" s="6" t="str">
        <f t="shared" si="18"/>
        <v>WYCKOFF HEIGHTS MEDICAL CENTER</v>
      </c>
      <c r="E85">
        <f t="shared" si="19"/>
        <v>12116498</v>
      </c>
      <c r="F85" t="str">
        <f t="shared" si="20"/>
        <v>NIH</v>
      </c>
      <c r="G85" t="str">
        <f t="shared" si="21"/>
        <v>78-8262480</v>
      </c>
      <c r="H85">
        <f t="shared" ca="1" si="22"/>
        <v>920249</v>
      </c>
      <c r="I85" t="str">
        <f t="shared" si="23"/>
        <v>Annual</v>
      </c>
      <c r="N85" s="1">
        <v>194631</v>
      </c>
      <c r="Q85" s="1" t="s">
        <v>913</v>
      </c>
      <c r="T85" s="53" t="s">
        <v>1911</v>
      </c>
      <c r="U85">
        <v>11008311</v>
      </c>
      <c r="V85" s="10" t="s">
        <v>912</v>
      </c>
      <c r="W85" s="10" t="s">
        <v>912</v>
      </c>
      <c r="X85" t="s">
        <v>150</v>
      </c>
      <c r="Y85" s="1" t="s">
        <v>911</v>
      </c>
      <c r="AA85" s="88">
        <f t="shared" ca="1" si="29"/>
        <v>2984296</v>
      </c>
      <c r="AB85" t="s">
        <v>81</v>
      </c>
      <c r="AI85" s="1">
        <v>95999</v>
      </c>
      <c r="AJ85" s="1" t="s">
        <v>119</v>
      </c>
      <c r="AK85" s="1" t="str">
        <f t="shared" si="24"/>
        <v/>
      </c>
      <c r="AL85" t="b">
        <f t="shared" si="25"/>
        <v>1</v>
      </c>
      <c r="AM85" s="49" t="str">
        <f t="shared" si="26"/>
        <v>Q</v>
      </c>
      <c r="AP85" s="10" t="s">
        <v>327</v>
      </c>
      <c r="AS85" t="s">
        <v>119</v>
      </c>
      <c r="AT85" s="6" t="s">
        <v>327</v>
      </c>
      <c r="AU85" s="6" t="str">
        <f t="shared" si="27"/>
        <v/>
      </c>
      <c r="AV85" s="6" t="s">
        <v>104</v>
      </c>
      <c r="AW85" s="6" t="str">
        <f t="shared" si="28"/>
        <v/>
      </c>
    </row>
    <row r="86" spans="1:49" ht="90">
      <c r="A86" s="1">
        <v>96008</v>
      </c>
      <c r="B86" t="str">
        <f t="shared" si="16"/>
        <v>4H57FT87666-30</v>
      </c>
      <c r="C86" s="6" t="str">
        <f t="shared" si="17"/>
        <v>BUILDING CAPACITY TO REDUCE ENVIRONMENTAL EXPOSURES IN CONNECTICUT</v>
      </c>
      <c r="D86" s="6" t="str">
        <f t="shared" si="18"/>
        <v>COLUMBIA UNIVERSITY</v>
      </c>
      <c r="E86">
        <f t="shared" si="19"/>
        <v>12116498</v>
      </c>
      <c r="F86" t="str">
        <f t="shared" si="20"/>
        <v>FDA</v>
      </c>
      <c r="G86" t="str">
        <f t="shared" si="21"/>
        <v>78-8262481</v>
      </c>
      <c r="H86">
        <f t="shared" ca="1" si="22"/>
        <v>957920</v>
      </c>
      <c r="I86" t="str">
        <f t="shared" si="23"/>
        <v>Annual</v>
      </c>
      <c r="N86" s="1">
        <v>194632</v>
      </c>
      <c r="Q86" s="1" t="s">
        <v>923</v>
      </c>
      <c r="T86" s="64" t="s">
        <v>1912</v>
      </c>
      <c r="U86">
        <v>11008311</v>
      </c>
      <c r="V86" s="10" t="s">
        <v>922</v>
      </c>
      <c r="W86" s="10" t="s">
        <v>922</v>
      </c>
      <c r="X86" t="s">
        <v>86</v>
      </c>
      <c r="Y86" s="1" t="s">
        <v>921</v>
      </c>
      <c r="AA86" s="88">
        <f t="shared" ca="1" si="29"/>
        <v>2674220</v>
      </c>
      <c r="AB86" t="s">
        <v>81</v>
      </c>
      <c r="AI86" s="1">
        <v>96008</v>
      </c>
      <c r="AJ86" s="1" t="s">
        <v>119</v>
      </c>
      <c r="AK86" s="1" t="str">
        <f t="shared" si="24"/>
        <v/>
      </c>
      <c r="AL86" t="b">
        <f t="shared" si="25"/>
        <v>1</v>
      </c>
      <c r="AM86" s="49" t="str">
        <f t="shared" si="26"/>
        <v>Q</v>
      </c>
      <c r="AP86" s="10" t="s">
        <v>97</v>
      </c>
      <c r="AS86" t="s">
        <v>119</v>
      </c>
      <c r="AT86" s="6" t="s">
        <v>97</v>
      </c>
      <c r="AU86" s="6" t="str">
        <f t="shared" si="27"/>
        <v/>
      </c>
      <c r="AV86" s="6" t="s">
        <v>96</v>
      </c>
      <c r="AW86" s="6" t="str">
        <f t="shared" si="28"/>
        <v/>
      </c>
    </row>
    <row r="87" spans="1:49" ht="75">
      <c r="A87" s="1">
        <v>96008</v>
      </c>
      <c r="B87" t="str">
        <f t="shared" si="16"/>
        <v>4H57FT87666-30</v>
      </c>
      <c r="C87" s="6" t="str">
        <f t="shared" si="17"/>
        <v>BUILDING CAPACITY TO REDUCE ENVIRONMENTAL EXPOSURES IN CONNECTICUT</v>
      </c>
      <c r="D87" s="6" t="str">
        <f t="shared" si="18"/>
        <v>COLUMBIA UNIVERSITY</v>
      </c>
      <c r="E87">
        <f t="shared" si="19"/>
        <v>12116498</v>
      </c>
      <c r="F87" t="str">
        <f t="shared" si="20"/>
        <v>FDA</v>
      </c>
      <c r="G87" t="str">
        <f t="shared" si="21"/>
        <v>78-8262481</v>
      </c>
      <c r="H87">
        <f t="shared" ca="1" si="22"/>
        <v>957920</v>
      </c>
      <c r="I87" t="str">
        <f t="shared" si="23"/>
        <v>Annual</v>
      </c>
      <c r="N87" s="1">
        <v>194633</v>
      </c>
      <c r="Q87" s="1" t="s">
        <v>930</v>
      </c>
      <c r="T87" s="52" t="s">
        <v>1913</v>
      </c>
      <c r="U87">
        <v>11008311</v>
      </c>
      <c r="V87" s="10" t="s">
        <v>929</v>
      </c>
      <c r="W87" s="10" t="s">
        <v>929</v>
      </c>
      <c r="X87" t="s">
        <v>117</v>
      </c>
      <c r="Y87" s="1" t="s">
        <v>928</v>
      </c>
      <c r="AA87" s="88">
        <f t="shared" ca="1" si="29"/>
        <v>2362307</v>
      </c>
      <c r="AB87" t="s">
        <v>81</v>
      </c>
      <c r="AI87" s="1">
        <v>96008</v>
      </c>
      <c r="AJ87" s="1" t="s">
        <v>119</v>
      </c>
      <c r="AK87" s="1" t="str">
        <f t="shared" si="24"/>
        <v/>
      </c>
      <c r="AL87" t="b">
        <f t="shared" si="25"/>
        <v>1</v>
      </c>
      <c r="AM87" s="49" t="str">
        <f t="shared" si="26"/>
        <v>Q</v>
      </c>
      <c r="AP87" s="10" t="s">
        <v>327</v>
      </c>
      <c r="AS87" t="s">
        <v>119</v>
      </c>
      <c r="AT87" s="6" t="s">
        <v>327</v>
      </c>
      <c r="AU87" s="6" t="str">
        <f t="shared" si="27"/>
        <v/>
      </c>
      <c r="AV87" s="6" t="s">
        <v>104</v>
      </c>
      <c r="AW87" s="6" t="str">
        <f t="shared" si="28"/>
        <v/>
      </c>
    </row>
    <row r="88" spans="1:49" ht="90">
      <c r="A88" s="1">
        <v>97793</v>
      </c>
      <c r="B88" t="str">
        <f t="shared" si="16"/>
        <v>7H69ET82592-72</v>
      </c>
      <c r="C88" s="6" t="str">
        <f t="shared" si="17"/>
        <v>ALCOHOL SCREENING IN PLANNED PARENTHOOD TO INCREASE RESILIENCY (ASPPIRE)</v>
      </c>
      <c r="D88" s="6" t="str">
        <f t="shared" si="18"/>
        <v>NATIONAL DEVELOPMENT  AND RESEARCH INSTITUTES,  INC</v>
      </c>
      <c r="E88">
        <f t="shared" si="19"/>
        <v>27524497</v>
      </c>
      <c r="F88" t="str">
        <f t="shared" si="20"/>
        <v>ACF</v>
      </c>
      <c r="G88" t="str">
        <f t="shared" si="21"/>
        <v>78-8262482</v>
      </c>
      <c r="H88">
        <f t="shared" ca="1" si="22"/>
        <v>977870</v>
      </c>
      <c r="I88" t="str">
        <f t="shared" si="23"/>
        <v>Annual</v>
      </c>
      <c r="N88" s="1">
        <v>194736</v>
      </c>
      <c r="Q88" s="1" t="s">
        <v>936</v>
      </c>
      <c r="T88" s="52" t="s">
        <v>1865</v>
      </c>
      <c r="U88">
        <v>747342</v>
      </c>
      <c r="V88" s="10" t="s">
        <v>935</v>
      </c>
      <c r="W88" s="10" t="s">
        <v>935</v>
      </c>
      <c r="X88" t="s">
        <v>132</v>
      </c>
      <c r="Y88" s="1" t="s">
        <v>934</v>
      </c>
      <c r="AA88" s="88">
        <f t="shared" ca="1" si="29"/>
        <v>2057162</v>
      </c>
      <c r="AB88" t="s">
        <v>81</v>
      </c>
      <c r="AI88" s="1">
        <v>97793</v>
      </c>
      <c r="AJ88" s="1" t="s">
        <v>426</v>
      </c>
      <c r="AK88" s="1" t="str">
        <f t="shared" si="24"/>
        <v>Y</v>
      </c>
      <c r="AL88" t="b">
        <f t="shared" si="25"/>
        <v>0</v>
      </c>
      <c r="AM88" s="49" t="str">
        <f t="shared" si="26"/>
        <v>A</v>
      </c>
      <c r="AP88" s="10" t="s">
        <v>97</v>
      </c>
      <c r="AS88" t="s">
        <v>119</v>
      </c>
      <c r="AT88" s="6" t="s">
        <v>97</v>
      </c>
      <c r="AU88" s="6" t="str">
        <f t="shared" si="27"/>
        <v/>
      </c>
      <c r="AV88" s="6" t="s">
        <v>96</v>
      </c>
      <c r="AW88" s="6" t="str">
        <f t="shared" si="28"/>
        <v/>
      </c>
    </row>
    <row r="89" spans="1:49" ht="120">
      <c r="A89" s="1">
        <v>97793</v>
      </c>
      <c r="B89" t="str">
        <f t="shared" si="16"/>
        <v>7H69ET82592-72</v>
      </c>
      <c r="C89" s="6" t="str">
        <f t="shared" si="17"/>
        <v>ALCOHOL SCREENING IN PLANNED PARENTHOOD TO INCREASE RESILIENCY (ASPPIRE)</v>
      </c>
      <c r="D89" s="6" t="str">
        <f t="shared" si="18"/>
        <v>NATIONAL DEVELOPMENT  AND RESEARCH INSTITUTES,  INC</v>
      </c>
      <c r="E89">
        <f t="shared" si="19"/>
        <v>27524497</v>
      </c>
      <c r="F89" t="str">
        <f t="shared" si="20"/>
        <v>ACF</v>
      </c>
      <c r="G89" t="str">
        <f t="shared" si="21"/>
        <v>78-8262482</v>
      </c>
      <c r="H89">
        <f t="shared" ca="1" si="22"/>
        <v>977870</v>
      </c>
      <c r="I89" t="str">
        <f t="shared" si="23"/>
        <v>Annual</v>
      </c>
      <c r="N89" s="1">
        <v>195164</v>
      </c>
      <c r="Q89" s="1" t="s">
        <v>942</v>
      </c>
      <c r="T89" s="65" t="s">
        <v>1914</v>
      </c>
      <c r="U89">
        <v>747342</v>
      </c>
      <c r="V89" s="10" t="s">
        <v>941</v>
      </c>
      <c r="W89" s="10" t="s">
        <v>941</v>
      </c>
      <c r="X89" t="s">
        <v>150</v>
      </c>
      <c r="Y89" s="1" t="s">
        <v>940</v>
      </c>
      <c r="AA89" s="88">
        <f t="shared" ca="1" si="29"/>
        <v>2914963</v>
      </c>
      <c r="AB89" t="s">
        <v>81</v>
      </c>
      <c r="AI89" s="1">
        <v>97793</v>
      </c>
      <c r="AJ89" s="1" t="s">
        <v>426</v>
      </c>
      <c r="AK89" s="1" t="str">
        <f t="shared" si="24"/>
        <v>Y</v>
      </c>
      <c r="AL89" t="b">
        <f t="shared" si="25"/>
        <v>0</v>
      </c>
      <c r="AM89" s="49" t="str">
        <f t="shared" si="26"/>
        <v>A</v>
      </c>
      <c r="AP89" s="10" t="s">
        <v>327</v>
      </c>
      <c r="AS89" t="s">
        <v>119</v>
      </c>
      <c r="AT89" s="6" t="s">
        <v>327</v>
      </c>
      <c r="AU89" s="6" t="str">
        <f t="shared" si="27"/>
        <v/>
      </c>
      <c r="AV89" s="6" t="s">
        <v>104</v>
      </c>
      <c r="AW89" s="6" t="str">
        <f t="shared" si="28"/>
        <v/>
      </c>
    </row>
    <row r="90" spans="1:49" ht="90">
      <c r="A90" s="1">
        <v>98727</v>
      </c>
      <c r="B90" t="str">
        <f t="shared" si="16"/>
        <v>4R99GR90199-82</v>
      </c>
      <c r="C90" s="6" t="str">
        <f t="shared" si="17"/>
        <v>CONNECTICUT BEHAVIORAL RISK FACTOR SURVEILLANCE SYSTEM</v>
      </c>
      <c r="D90" s="6" t="str">
        <f t="shared" si="18"/>
        <v>PUTTING ROPS RESEARCH INTO PRACTICE: PAVING THE WAY FOR A NATIONAL PROGRAM</v>
      </c>
      <c r="E90">
        <f t="shared" si="19"/>
        <v>27524497</v>
      </c>
      <c r="F90" t="str">
        <f t="shared" si="20"/>
        <v>CDC</v>
      </c>
      <c r="G90" t="str">
        <f t="shared" si="21"/>
        <v>78-8262483</v>
      </c>
      <c r="H90">
        <f t="shared" ca="1" si="22"/>
        <v>925769</v>
      </c>
      <c r="I90" t="str">
        <f t="shared" si="23"/>
        <v>Annual</v>
      </c>
      <c r="N90" s="1">
        <v>195480</v>
      </c>
      <c r="Q90" s="1" t="s">
        <v>947</v>
      </c>
      <c r="T90" s="52" t="s">
        <v>1915</v>
      </c>
      <c r="U90">
        <v>747342</v>
      </c>
      <c r="V90" s="10" t="s">
        <v>946</v>
      </c>
      <c r="W90" s="10" t="s">
        <v>946</v>
      </c>
      <c r="X90" t="s">
        <v>86</v>
      </c>
      <c r="Y90" s="1" t="s">
        <v>945</v>
      </c>
      <c r="AA90" s="88">
        <f t="shared" ca="1" si="29"/>
        <v>2864540</v>
      </c>
      <c r="AB90" t="s">
        <v>81</v>
      </c>
      <c r="AI90" s="1">
        <v>98727</v>
      </c>
      <c r="AJ90" s="1" t="s">
        <v>119</v>
      </c>
      <c r="AK90" s="1" t="str">
        <f t="shared" si="24"/>
        <v/>
      </c>
      <c r="AL90" t="b">
        <f t="shared" si="25"/>
        <v>1</v>
      </c>
      <c r="AM90" s="49" t="str">
        <f t="shared" si="26"/>
        <v>Q</v>
      </c>
      <c r="AP90" s="10" t="s">
        <v>97</v>
      </c>
      <c r="AS90" t="s">
        <v>119</v>
      </c>
      <c r="AT90" s="6" t="s">
        <v>97</v>
      </c>
      <c r="AU90" s="6" t="str">
        <f t="shared" si="27"/>
        <v/>
      </c>
      <c r="AV90" s="6" t="s">
        <v>96</v>
      </c>
      <c r="AW90" s="6" t="str">
        <f t="shared" si="28"/>
        <v/>
      </c>
    </row>
    <row r="91" spans="1:49" ht="75">
      <c r="A91" s="1">
        <v>98727</v>
      </c>
      <c r="B91" t="str">
        <f t="shared" si="16"/>
        <v>4R99GR90199-82</v>
      </c>
      <c r="C91" s="6" t="str">
        <f t="shared" si="17"/>
        <v>CONNECTICUT BEHAVIORAL RISK FACTOR SURVEILLANCE SYSTEM</v>
      </c>
      <c r="D91" s="6" t="str">
        <f t="shared" si="18"/>
        <v>PUTTING ROPS RESEARCH INTO PRACTICE: PAVING THE WAY FOR A NATIONAL PROGRAM</v>
      </c>
      <c r="E91">
        <f t="shared" si="19"/>
        <v>27524497</v>
      </c>
      <c r="F91" t="str">
        <f t="shared" si="20"/>
        <v>CDC</v>
      </c>
      <c r="G91" t="str">
        <f t="shared" si="21"/>
        <v>78-8262483</v>
      </c>
      <c r="H91">
        <f t="shared" ca="1" si="22"/>
        <v>925769</v>
      </c>
      <c r="I91" t="str">
        <f t="shared" si="23"/>
        <v>Annual</v>
      </c>
      <c r="N91" s="1">
        <v>196310</v>
      </c>
      <c r="Q91" s="1" t="s">
        <v>953</v>
      </c>
      <c r="T91" s="53" t="s">
        <v>1911</v>
      </c>
      <c r="U91">
        <v>18126531</v>
      </c>
      <c r="V91" s="10" t="s">
        <v>952</v>
      </c>
      <c r="W91" s="10" t="s">
        <v>952</v>
      </c>
      <c r="X91" t="s">
        <v>117</v>
      </c>
      <c r="Y91" s="1" t="s">
        <v>951</v>
      </c>
      <c r="AA91" s="88">
        <f t="shared" ca="1" si="29"/>
        <v>2650275</v>
      </c>
      <c r="AB91" t="s">
        <v>81</v>
      </c>
      <c r="AI91" s="1">
        <v>98727</v>
      </c>
      <c r="AJ91" s="1" t="s">
        <v>119</v>
      </c>
      <c r="AK91" s="1" t="str">
        <f t="shared" si="24"/>
        <v/>
      </c>
      <c r="AL91" t="b">
        <f t="shared" si="25"/>
        <v>1</v>
      </c>
      <c r="AM91" s="49" t="str">
        <f t="shared" si="26"/>
        <v>Q</v>
      </c>
      <c r="AP91" s="10" t="s">
        <v>327</v>
      </c>
      <c r="AS91" t="s">
        <v>119</v>
      </c>
      <c r="AT91" s="6" t="s">
        <v>327</v>
      </c>
      <c r="AU91" s="6" t="str">
        <f t="shared" si="27"/>
        <v/>
      </c>
      <c r="AV91" s="6" t="s">
        <v>104</v>
      </c>
      <c r="AW91" s="6" t="str">
        <f t="shared" si="28"/>
        <v/>
      </c>
    </row>
    <row r="92" spans="1:49" ht="60">
      <c r="A92" s="1">
        <v>98727</v>
      </c>
      <c r="B92" t="str">
        <f t="shared" si="16"/>
        <v>4R99GR90199-82</v>
      </c>
      <c r="C92" s="6" t="str">
        <f t="shared" si="17"/>
        <v>CONNECTICUT BEHAVIORAL RISK FACTOR SURVEILLANCE SYSTEM</v>
      </c>
      <c r="D92" s="6" t="str">
        <f t="shared" si="18"/>
        <v>PUTTING ROPS RESEARCH INTO PRACTICE: PAVING THE WAY FOR A NATIONAL PROGRAM</v>
      </c>
      <c r="E92">
        <f t="shared" si="19"/>
        <v>27524497</v>
      </c>
      <c r="F92" t="str">
        <f t="shared" si="20"/>
        <v>CDC</v>
      </c>
      <c r="G92" t="str">
        <f t="shared" si="21"/>
        <v>78-8262483</v>
      </c>
      <c r="H92">
        <f t="shared" ca="1" si="22"/>
        <v>925769</v>
      </c>
      <c r="I92" t="str">
        <f t="shared" si="23"/>
        <v>Annual</v>
      </c>
      <c r="N92" s="1">
        <v>196474</v>
      </c>
      <c r="Q92" s="1" t="s">
        <v>967</v>
      </c>
      <c r="T92" s="52" t="s">
        <v>1916</v>
      </c>
      <c r="U92">
        <v>18126531</v>
      </c>
      <c r="V92" s="10" t="s">
        <v>966</v>
      </c>
      <c r="W92" s="10" t="s">
        <v>966</v>
      </c>
      <c r="X92" t="s">
        <v>132</v>
      </c>
      <c r="Y92" s="1" t="s">
        <v>965</v>
      </c>
      <c r="AA92" s="88">
        <f t="shared" ca="1" si="29"/>
        <v>2886773</v>
      </c>
      <c r="AB92" t="s">
        <v>81</v>
      </c>
      <c r="AI92" s="1">
        <v>98727</v>
      </c>
      <c r="AJ92" s="1" t="s">
        <v>119</v>
      </c>
      <c r="AK92" s="1" t="str">
        <f t="shared" si="24"/>
        <v/>
      </c>
      <c r="AL92" t="b">
        <f t="shared" si="25"/>
        <v>1</v>
      </c>
      <c r="AM92" s="49" t="str">
        <f t="shared" si="26"/>
        <v>Q</v>
      </c>
      <c r="AP92" s="10"/>
      <c r="AS92" t="s">
        <v>119</v>
      </c>
      <c r="AT92" s="6" t="s">
        <v>812</v>
      </c>
      <c r="AU92" s="6" t="str">
        <f t="shared" si="27"/>
        <v/>
      </c>
      <c r="AV92" s="6" t="s">
        <v>811</v>
      </c>
      <c r="AW92" s="6" t="str">
        <f t="shared" si="28"/>
        <v/>
      </c>
    </row>
    <row r="93" spans="1:49" ht="90">
      <c r="A93" s="1">
        <v>98877</v>
      </c>
      <c r="B93" t="str">
        <f t="shared" si="16"/>
        <v>1H78AT90194-36</v>
      </c>
      <c r="C93" s="6" t="str">
        <f t="shared" si="17"/>
        <v>CONNECTICUT COMPREHENSIVE CANCER PREVENTION AND CONTROL PROGRAM</v>
      </c>
      <c r="D93" s="6" t="str">
        <f t="shared" si="18"/>
        <v>THE NORTHEAST CENTER  FOR AGRICULTURAL HEALTH-RENEWAL</v>
      </c>
      <c r="E93">
        <f t="shared" si="19"/>
        <v>27524497</v>
      </c>
      <c r="F93" t="str">
        <f t="shared" si="20"/>
        <v>NIH</v>
      </c>
      <c r="G93" t="str">
        <f t="shared" si="21"/>
        <v>78-8262484</v>
      </c>
      <c r="H93">
        <f t="shared" ca="1" si="22"/>
        <v>804887</v>
      </c>
      <c r="I93" t="str">
        <f t="shared" si="23"/>
        <v>Annual</v>
      </c>
      <c r="N93" s="1">
        <v>196651</v>
      </c>
      <c r="Q93" s="1" t="s">
        <v>974</v>
      </c>
      <c r="T93" s="54" t="s">
        <v>1917</v>
      </c>
      <c r="U93">
        <v>18126531</v>
      </c>
      <c r="V93" s="10" t="s">
        <v>973</v>
      </c>
      <c r="W93" s="10" t="s">
        <v>973</v>
      </c>
      <c r="X93" t="s">
        <v>150</v>
      </c>
      <c r="Y93" s="1" t="s">
        <v>972</v>
      </c>
      <c r="AA93" s="88">
        <f t="shared" ca="1" si="29"/>
        <v>2471638</v>
      </c>
      <c r="AB93" t="s">
        <v>81</v>
      </c>
      <c r="AI93" s="1">
        <v>98877</v>
      </c>
      <c r="AJ93" s="1" t="s">
        <v>445</v>
      </c>
      <c r="AK93" s="1" t="str">
        <f t="shared" si="24"/>
        <v/>
      </c>
      <c r="AL93" t="b">
        <f t="shared" si="25"/>
        <v>0</v>
      </c>
      <c r="AM93" s="49" t="str">
        <f t="shared" si="26"/>
        <v>Q</v>
      </c>
      <c r="AP93" s="10" t="s">
        <v>97</v>
      </c>
      <c r="AS93" t="s">
        <v>119</v>
      </c>
      <c r="AT93" s="6" t="s">
        <v>97</v>
      </c>
      <c r="AU93" s="6" t="str">
        <f t="shared" si="27"/>
        <v/>
      </c>
      <c r="AV93" s="6" t="s">
        <v>96</v>
      </c>
      <c r="AW93" s="6" t="str">
        <f t="shared" si="28"/>
        <v/>
      </c>
    </row>
    <row r="94" spans="1:49" ht="75">
      <c r="A94" s="1">
        <v>98877</v>
      </c>
      <c r="B94" t="str">
        <f t="shared" si="16"/>
        <v>1H78AT90194-36</v>
      </c>
      <c r="C94" s="6" t="str">
        <f t="shared" si="17"/>
        <v>CONNECTICUT COMPREHENSIVE CANCER PREVENTION AND CONTROL PROGRAM</v>
      </c>
      <c r="D94" s="6" t="str">
        <f t="shared" si="18"/>
        <v>THE NORTHEAST CENTER  FOR AGRICULTURAL HEALTH-RENEWAL</v>
      </c>
      <c r="E94">
        <f t="shared" si="19"/>
        <v>27524497</v>
      </c>
      <c r="F94" t="str">
        <f t="shared" si="20"/>
        <v>NIH</v>
      </c>
      <c r="G94" t="str">
        <f t="shared" si="21"/>
        <v>78-8262484</v>
      </c>
      <c r="H94">
        <f t="shared" ca="1" si="22"/>
        <v>804887</v>
      </c>
      <c r="I94" t="str">
        <f t="shared" si="23"/>
        <v>Annual</v>
      </c>
      <c r="N94" s="1">
        <v>196758</v>
      </c>
      <c r="Q94" s="1" t="s">
        <v>983</v>
      </c>
      <c r="T94" s="62" t="s">
        <v>1900</v>
      </c>
      <c r="U94">
        <v>18126531</v>
      </c>
      <c r="V94" s="10" t="s">
        <v>982</v>
      </c>
      <c r="W94" s="10" t="s">
        <v>982</v>
      </c>
      <c r="X94" t="s">
        <v>86</v>
      </c>
      <c r="Y94" s="1" t="s">
        <v>981</v>
      </c>
      <c r="AA94" s="88">
        <f t="shared" ca="1" si="29"/>
        <v>2711887</v>
      </c>
      <c r="AB94" t="s">
        <v>81</v>
      </c>
      <c r="AI94" s="1">
        <v>98877</v>
      </c>
      <c r="AJ94" s="1" t="s">
        <v>445</v>
      </c>
      <c r="AK94" s="1" t="str">
        <f t="shared" si="24"/>
        <v/>
      </c>
      <c r="AL94" t="b">
        <f t="shared" si="25"/>
        <v>0</v>
      </c>
      <c r="AM94" s="49" t="str">
        <f t="shared" si="26"/>
        <v>Q</v>
      </c>
      <c r="AP94" s="10" t="s">
        <v>327</v>
      </c>
      <c r="AS94" t="s">
        <v>119</v>
      </c>
      <c r="AT94" s="6" t="s">
        <v>327</v>
      </c>
      <c r="AU94" s="6" t="str">
        <f t="shared" si="27"/>
        <v/>
      </c>
      <c r="AV94" s="6" t="s">
        <v>104</v>
      </c>
      <c r="AW94" s="6" t="str">
        <f t="shared" si="28"/>
        <v/>
      </c>
    </row>
    <row r="95" spans="1:49" ht="60">
      <c r="A95" s="1">
        <v>98877</v>
      </c>
      <c r="B95" t="str">
        <f t="shared" si="16"/>
        <v>1H78AT90194-36</v>
      </c>
      <c r="C95" s="6" t="str">
        <f t="shared" si="17"/>
        <v>CONNECTICUT COMPREHENSIVE CANCER PREVENTION AND CONTROL PROGRAM</v>
      </c>
      <c r="D95" s="6" t="str">
        <f t="shared" si="18"/>
        <v>THE NORTHEAST CENTER  FOR AGRICULTURAL HEALTH-RENEWAL</v>
      </c>
      <c r="E95">
        <f t="shared" si="19"/>
        <v>27524497</v>
      </c>
      <c r="F95" t="str">
        <f t="shared" si="20"/>
        <v>NIH</v>
      </c>
      <c r="G95" t="str">
        <f t="shared" si="21"/>
        <v>78-8262484</v>
      </c>
      <c r="H95">
        <f t="shared" ca="1" si="22"/>
        <v>804887</v>
      </c>
      <c r="I95" t="str">
        <f t="shared" si="23"/>
        <v>Annual</v>
      </c>
      <c r="N95" s="1">
        <v>198258</v>
      </c>
      <c r="Q95" s="1" t="s">
        <v>987</v>
      </c>
      <c r="T95" s="52" t="s">
        <v>1918</v>
      </c>
      <c r="U95">
        <v>10829145</v>
      </c>
      <c r="V95" s="10" t="s">
        <v>986</v>
      </c>
      <c r="W95" s="10" t="s">
        <v>986</v>
      </c>
      <c r="X95" t="s">
        <v>117</v>
      </c>
      <c r="Y95" s="1" t="s">
        <v>985</v>
      </c>
      <c r="AA95" s="88">
        <f t="shared" ca="1" si="29"/>
        <v>2831703</v>
      </c>
      <c r="AB95" t="s">
        <v>81</v>
      </c>
      <c r="AI95" s="1">
        <v>98877</v>
      </c>
      <c r="AJ95" s="1" t="s">
        <v>445</v>
      </c>
      <c r="AK95" s="1" t="str">
        <f t="shared" si="24"/>
        <v/>
      </c>
      <c r="AL95" t="b">
        <f t="shared" si="25"/>
        <v>0</v>
      </c>
      <c r="AM95" s="49" t="str">
        <f t="shared" si="26"/>
        <v>Q</v>
      </c>
      <c r="AP95" s="10" t="s">
        <v>113</v>
      </c>
      <c r="AS95" t="s">
        <v>119</v>
      </c>
      <c r="AT95" s="6" t="s">
        <v>113</v>
      </c>
      <c r="AU95" s="6" t="str">
        <f t="shared" si="27"/>
        <v/>
      </c>
      <c r="AV95" s="6" t="s">
        <v>112</v>
      </c>
      <c r="AW95" s="6" t="str">
        <f t="shared" si="28"/>
        <v/>
      </c>
    </row>
    <row r="96" spans="1:49" ht="165">
      <c r="A96" s="1">
        <v>99302</v>
      </c>
      <c r="B96" t="str">
        <f t="shared" si="16"/>
        <v>4S62HS90893-93</v>
      </c>
      <c r="C96" s="6" t="str">
        <f t="shared" si="17"/>
        <v>CONNECTICUT WISEWOMAN PROGRAM</v>
      </c>
      <c r="D96" s="6" t="str">
        <f t="shared" si="18"/>
        <v>LIGHTING INTERVENTIONS  TO REDUCE CIRCADIAN DISRUPTION  IN ROTATING SHIFT WORKERS</v>
      </c>
      <c r="E96">
        <f t="shared" si="19"/>
        <v>2168146</v>
      </c>
      <c r="F96" t="str">
        <f t="shared" si="20"/>
        <v>FDA</v>
      </c>
      <c r="G96" t="str">
        <f t="shared" si="21"/>
        <v>78-8262485</v>
      </c>
      <c r="H96">
        <f t="shared" ca="1" si="22"/>
        <v>795172</v>
      </c>
      <c r="I96" t="str">
        <f t="shared" si="23"/>
        <v>Annual</v>
      </c>
      <c r="N96" s="1">
        <v>198991</v>
      </c>
      <c r="Q96" s="1" t="s">
        <v>996</v>
      </c>
      <c r="T96" s="56" t="s">
        <v>1919</v>
      </c>
      <c r="U96">
        <v>10829145</v>
      </c>
      <c r="V96" s="10" t="s">
        <v>995</v>
      </c>
      <c r="W96" s="10" t="s">
        <v>995</v>
      </c>
      <c r="X96" t="s">
        <v>132</v>
      </c>
      <c r="Y96" s="1" t="s">
        <v>994</v>
      </c>
      <c r="AA96" s="88">
        <f t="shared" ca="1" si="29"/>
        <v>2309749</v>
      </c>
      <c r="AB96" t="s">
        <v>81</v>
      </c>
      <c r="AI96" s="1">
        <v>99302</v>
      </c>
      <c r="AJ96" s="1" t="s">
        <v>445</v>
      </c>
      <c r="AK96" s="1" t="str">
        <f t="shared" si="24"/>
        <v/>
      </c>
      <c r="AL96" t="b">
        <f t="shared" si="25"/>
        <v>0</v>
      </c>
      <c r="AM96" s="49" t="str">
        <f t="shared" si="26"/>
        <v>Q</v>
      </c>
      <c r="AP96" s="10" t="s">
        <v>97</v>
      </c>
      <c r="AS96" t="s">
        <v>1920</v>
      </c>
      <c r="AT96" s="6" t="s">
        <v>97</v>
      </c>
      <c r="AU96" s="6" t="str">
        <f t="shared" si="27"/>
        <v>The errors in accounting will be corrected. The accounting policy suggested will be followed. The financials will be recalculated based on the revised accounting policies and submitted.</v>
      </c>
      <c r="AV96" s="6" t="s">
        <v>96</v>
      </c>
      <c r="AW96" s="6" t="str">
        <f t="shared" si="28"/>
        <v>Change in accounting practice</v>
      </c>
    </row>
    <row r="97" spans="1:49" ht="135">
      <c r="A97" s="1">
        <v>99302</v>
      </c>
      <c r="B97" t="str">
        <f t="shared" si="16"/>
        <v>4S62HS90893-93</v>
      </c>
      <c r="C97" s="6" t="str">
        <f t="shared" si="17"/>
        <v>CONNECTICUT WISEWOMAN PROGRAM</v>
      </c>
      <c r="D97" s="6" t="str">
        <f t="shared" si="18"/>
        <v>LIGHTING INTERVENTIONS  TO REDUCE CIRCADIAN DISRUPTION  IN ROTATING SHIFT WORKERS</v>
      </c>
      <c r="E97">
        <f t="shared" si="19"/>
        <v>2168146</v>
      </c>
      <c r="F97" t="str">
        <f t="shared" si="20"/>
        <v>FDA</v>
      </c>
      <c r="G97" t="str">
        <f t="shared" si="21"/>
        <v>78-8262485</v>
      </c>
      <c r="H97">
        <f t="shared" ca="1" si="22"/>
        <v>795172</v>
      </c>
      <c r="I97" t="str">
        <f t="shared" si="23"/>
        <v>Annual</v>
      </c>
      <c r="N97" s="1">
        <v>199212</v>
      </c>
      <c r="Q97" s="1" t="s">
        <v>1001</v>
      </c>
      <c r="T97" s="56" t="s">
        <v>1921</v>
      </c>
      <c r="U97">
        <v>18035821</v>
      </c>
      <c r="V97" s="10" t="s">
        <v>1000</v>
      </c>
      <c r="W97" s="10" t="s">
        <v>1000</v>
      </c>
      <c r="X97" t="s">
        <v>150</v>
      </c>
      <c r="Y97" s="1" t="s">
        <v>999</v>
      </c>
      <c r="AA97" s="88">
        <f t="shared" ca="1" si="29"/>
        <v>2176969</v>
      </c>
      <c r="AB97" t="s">
        <v>81</v>
      </c>
      <c r="AI97" s="1">
        <v>99302</v>
      </c>
      <c r="AJ97" s="1" t="s">
        <v>445</v>
      </c>
      <c r="AK97" s="1" t="str">
        <f t="shared" si="24"/>
        <v/>
      </c>
      <c r="AL97" t="b">
        <f t="shared" si="25"/>
        <v>0</v>
      </c>
      <c r="AM97" s="49" t="str">
        <f t="shared" si="26"/>
        <v>Q</v>
      </c>
      <c r="AP97" s="10" t="s">
        <v>327</v>
      </c>
      <c r="AS97" t="s">
        <v>1920</v>
      </c>
      <c r="AT97" s="6" t="s">
        <v>327</v>
      </c>
      <c r="AU97" s="6" t="str">
        <f t="shared" si="27"/>
        <v>Cost rate will be followed. The revised rate will be applied from the last audit period and the expenditure recalculated and submitted.</v>
      </c>
      <c r="AV97" s="6" t="s">
        <v>104</v>
      </c>
      <c r="AW97" s="6" t="str">
        <f t="shared" si="28"/>
        <v>Cost rate Corrections</v>
      </c>
    </row>
    <row r="98" spans="1:49" ht="90">
      <c r="A98" s="1">
        <v>99302</v>
      </c>
      <c r="B98" t="str">
        <f t="shared" si="16"/>
        <v>4S62HS90893-93</v>
      </c>
      <c r="C98" s="6" t="str">
        <f t="shared" si="17"/>
        <v>CONNECTICUT WISEWOMAN PROGRAM</v>
      </c>
      <c r="D98" s="6" t="str">
        <f t="shared" si="18"/>
        <v>LIGHTING INTERVENTIONS  TO REDUCE CIRCADIAN DISRUPTION  IN ROTATING SHIFT WORKERS</v>
      </c>
      <c r="E98">
        <f t="shared" si="19"/>
        <v>2168146</v>
      </c>
      <c r="F98" t="str">
        <f t="shared" si="20"/>
        <v>FDA</v>
      </c>
      <c r="G98" t="str">
        <f t="shared" si="21"/>
        <v>78-8262485</v>
      </c>
      <c r="H98">
        <f t="shared" ca="1" si="22"/>
        <v>795172</v>
      </c>
      <c r="I98" t="str">
        <f t="shared" si="23"/>
        <v>Annual</v>
      </c>
      <c r="N98" s="1">
        <v>199301</v>
      </c>
      <c r="Q98" s="1" t="s">
        <v>1007</v>
      </c>
      <c r="T98" s="56" t="s">
        <v>1922</v>
      </c>
      <c r="U98">
        <v>18035821</v>
      </c>
      <c r="V98" s="10" t="s">
        <v>1006</v>
      </c>
      <c r="W98" s="10" t="s">
        <v>1006</v>
      </c>
      <c r="X98" t="s">
        <v>86</v>
      </c>
      <c r="Y98" s="1" t="s">
        <v>1005</v>
      </c>
      <c r="AA98" s="88">
        <f t="shared" ca="1" si="29"/>
        <v>2881349</v>
      </c>
      <c r="AB98" t="s">
        <v>81</v>
      </c>
      <c r="AI98" s="1">
        <v>99302</v>
      </c>
      <c r="AJ98" s="1" t="s">
        <v>445</v>
      </c>
      <c r="AK98" s="1" t="str">
        <f t="shared" si="24"/>
        <v/>
      </c>
      <c r="AL98" t="b">
        <f t="shared" si="25"/>
        <v>0</v>
      </c>
      <c r="AM98" s="49" t="str">
        <f t="shared" si="26"/>
        <v>Q</v>
      </c>
      <c r="AP98" s="10" t="s">
        <v>113</v>
      </c>
      <c r="AS98" t="s">
        <v>1920</v>
      </c>
      <c r="AT98" s="6" t="s">
        <v>113</v>
      </c>
      <c r="AU98" s="6" t="str">
        <f t="shared" si="27"/>
        <v>Loan accounts will be reviewed and appropriate amendments will be made and submitted</v>
      </c>
      <c r="AV98" s="6" t="s">
        <v>112</v>
      </c>
      <c r="AW98" s="6" t="str">
        <f t="shared" si="28"/>
        <v>Loan accountsrecalculation</v>
      </c>
    </row>
    <row r="99" spans="1:49" ht="105">
      <c r="A99" s="1">
        <v>101896</v>
      </c>
      <c r="B99" t="str">
        <f t="shared" si="16"/>
        <v>2R75CR90891-89</v>
      </c>
      <c r="C99" s="6" t="str">
        <f t="shared" si="17"/>
        <v>CONNECTICUT: IMPROVING THE HEALTH OF AMERICANS THROUGH PREVENTION AND MANAGEMENT OF DIABETES AND HEART DISEASE
AND STROKE - CDC-RFA-DP18-1815</v>
      </c>
      <c r="D99" s="6" t="str">
        <f t="shared" si="18"/>
        <v>STRESSORS AND CARDIO-METABOLIC DISEASE  IN POLICE: A 12-YEAR LONGITUDINAL STUDY</v>
      </c>
      <c r="E99">
        <f t="shared" si="19"/>
        <v>2168146</v>
      </c>
      <c r="F99" t="str">
        <f t="shared" si="20"/>
        <v>ACF</v>
      </c>
      <c r="G99" t="str">
        <f t="shared" si="21"/>
        <v>78-8262486</v>
      </c>
      <c r="H99">
        <f t="shared" ca="1" si="22"/>
        <v>817677</v>
      </c>
      <c r="I99" t="str">
        <f t="shared" si="23"/>
        <v>Biennial</v>
      </c>
      <c r="N99" s="1">
        <v>200162</v>
      </c>
      <c r="Q99" s="1" t="s">
        <v>1013</v>
      </c>
      <c r="T99" s="56" t="s">
        <v>1923</v>
      </c>
      <c r="U99">
        <v>32856585</v>
      </c>
      <c r="V99" s="10" t="s">
        <v>1012</v>
      </c>
      <c r="W99" s="10" t="s">
        <v>1012</v>
      </c>
      <c r="X99" t="s">
        <v>117</v>
      </c>
      <c r="Y99" s="1" t="s">
        <v>1011</v>
      </c>
      <c r="AA99" s="88">
        <f t="shared" ca="1" si="29"/>
        <v>2244309</v>
      </c>
      <c r="AB99" t="s">
        <v>81</v>
      </c>
      <c r="AI99" s="1">
        <v>101896</v>
      </c>
      <c r="AJ99" s="1" t="s">
        <v>119</v>
      </c>
      <c r="AK99" s="1" t="str">
        <f t="shared" si="24"/>
        <v/>
      </c>
      <c r="AL99" t="b">
        <f t="shared" si="25"/>
        <v>1</v>
      </c>
      <c r="AM99" s="49" t="str">
        <f t="shared" si="26"/>
        <v>Q</v>
      </c>
      <c r="AP99" s="10" t="s">
        <v>97</v>
      </c>
      <c r="AS99" t="s">
        <v>119</v>
      </c>
      <c r="AT99" s="6" t="s">
        <v>97</v>
      </c>
      <c r="AU99" s="6" t="str">
        <f t="shared" si="27"/>
        <v/>
      </c>
      <c r="AV99" s="6" t="s">
        <v>96</v>
      </c>
      <c r="AW99" s="6" t="str">
        <f t="shared" si="28"/>
        <v/>
      </c>
    </row>
    <row r="100" spans="1:49" ht="105">
      <c r="A100" s="1">
        <v>101896</v>
      </c>
      <c r="B100" t="str">
        <f t="shared" si="16"/>
        <v>2R75CR90891-89</v>
      </c>
      <c r="C100" s="6" t="str">
        <f t="shared" si="17"/>
        <v>CONNECTICUT: IMPROVING THE HEALTH OF AMERICANS THROUGH PREVENTION AND MANAGEMENT OF DIABETES AND HEART DISEASE
AND STROKE - CDC-RFA-DP18-1815</v>
      </c>
      <c r="D100" s="6" t="str">
        <f t="shared" si="18"/>
        <v>STRESSORS AND CARDIO-METABOLIC DISEASE  IN POLICE: A 12-YEAR LONGITUDINAL STUDY</v>
      </c>
      <c r="E100">
        <f t="shared" si="19"/>
        <v>2168146</v>
      </c>
      <c r="F100" t="str">
        <f t="shared" si="20"/>
        <v>ACF</v>
      </c>
      <c r="G100" t="str">
        <f t="shared" si="21"/>
        <v>78-8262486</v>
      </c>
      <c r="H100">
        <f t="shared" ca="1" si="22"/>
        <v>817677</v>
      </c>
      <c r="I100" t="str">
        <f t="shared" si="23"/>
        <v>Biennial</v>
      </c>
      <c r="N100" s="1">
        <v>200586</v>
      </c>
      <c r="Q100" s="1" t="s">
        <v>1018</v>
      </c>
      <c r="T100" s="54" t="s">
        <v>1924</v>
      </c>
      <c r="U100">
        <v>32856585</v>
      </c>
      <c r="V100" s="10" t="s">
        <v>1017</v>
      </c>
      <c r="W100" s="10" t="s">
        <v>1017</v>
      </c>
      <c r="X100" t="s">
        <v>132</v>
      </c>
      <c r="Y100" s="1" t="s">
        <v>1016</v>
      </c>
      <c r="AA100" s="88">
        <f t="shared" ca="1" si="29"/>
        <v>2673902</v>
      </c>
      <c r="AB100" t="s">
        <v>81</v>
      </c>
      <c r="AI100" s="1">
        <v>101896</v>
      </c>
      <c r="AJ100" s="1" t="s">
        <v>119</v>
      </c>
      <c r="AK100" s="1" t="str">
        <f t="shared" si="24"/>
        <v/>
      </c>
      <c r="AL100" t="b">
        <f t="shared" si="25"/>
        <v>1</v>
      </c>
      <c r="AM100" s="49" t="str">
        <f t="shared" si="26"/>
        <v>Q</v>
      </c>
      <c r="AP100" s="10" t="s">
        <v>327</v>
      </c>
      <c r="AS100" t="s">
        <v>119</v>
      </c>
      <c r="AT100" s="6" t="s">
        <v>327</v>
      </c>
      <c r="AU100" s="6" t="str">
        <f t="shared" si="27"/>
        <v/>
      </c>
      <c r="AV100" s="6" t="s">
        <v>104</v>
      </c>
      <c r="AW100" s="6" t="str">
        <f t="shared" si="28"/>
        <v/>
      </c>
    </row>
    <row r="101" spans="1:49" ht="105">
      <c r="A101" s="1">
        <v>101896</v>
      </c>
      <c r="B101" t="str">
        <f t="shared" si="16"/>
        <v>2R75CR90891-89</v>
      </c>
      <c r="C101" s="6" t="str">
        <f t="shared" si="17"/>
        <v>CONNECTICUT: IMPROVING THE HEALTH OF AMERICANS THROUGH PREVENTION AND MANAGEMENT OF DIABETES AND HEART DISEASE
AND STROKE - CDC-RFA-DP18-1815</v>
      </c>
      <c r="D101" s="6" t="str">
        <f t="shared" si="18"/>
        <v>STRESSORS AND CARDIO-METABOLIC DISEASE  IN POLICE: A 12-YEAR LONGITUDINAL STUDY</v>
      </c>
      <c r="E101">
        <f t="shared" si="19"/>
        <v>2168146</v>
      </c>
      <c r="F101" t="str">
        <f t="shared" si="20"/>
        <v>ACF</v>
      </c>
      <c r="G101" t="str">
        <f t="shared" si="21"/>
        <v>78-8262486</v>
      </c>
      <c r="H101">
        <f t="shared" ca="1" si="22"/>
        <v>817677</v>
      </c>
      <c r="I101" t="str">
        <f t="shared" si="23"/>
        <v>Biennial</v>
      </c>
      <c r="N101" s="1">
        <v>200958</v>
      </c>
      <c r="Q101" s="1" t="s">
        <v>1024</v>
      </c>
      <c r="T101" s="54" t="s">
        <v>1925</v>
      </c>
      <c r="U101">
        <v>7820794</v>
      </c>
      <c r="V101" s="10" t="s">
        <v>1023</v>
      </c>
      <c r="W101" s="10" t="s">
        <v>1023</v>
      </c>
      <c r="X101" t="s">
        <v>150</v>
      </c>
      <c r="Y101" s="1" t="s">
        <v>1022</v>
      </c>
      <c r="AA101" s="88">
        <f t="shared" ca="1" si="29"/>
        <v>2881989</v>
      </c>
      <c r="AB101" t="s">
        <v>81</v>
      </c>
      <c r="AI101" s="1">
        <v>101896</v>
      </c>
      <c r="AJ101" s="1" t="s">
        <v>119</v>
      </c>
      <c r="AK101" s="1" t="str">
        <f t="shared" si="24"/>
        <v/>
      </c>
      <c r="AL101" t="b">
        <f t="shared" si="25"/>
        <v>1</v>
      </c>
      <c r="AM101" s="49" t="str">
        <f t="shared" si="26"/>
        <v>Q</v>
      </c>
      <c r="AP101" s="10"/>
      <c r="AS101" t="s">
        <v>119</v>
      </c>
      <c r="AT101" s="6" t="s">
        <v>812</v>
      </c>
      <c r="AU101" s="6" t="str">
        <f t="shared" si="27"/>
        <v/>
      </c>
      <c r="AV101" s="6" t="s">
        <v>811</v>
      </c>
      <c r="AW101" s="6" t="str">
        <f t="shared" si="28"/>
        <v/>
      </c>
    </row>
    <row r="102" spans="1:49" ht="105">
      <c r="A102" s="1">
        <v>101896</v>
      </c>
      <c r="B102" t="str">
        <f t="shared" si="16"/>
        <v>2R75CR90891-89</v>
      </c>
      <c r="C102" s="6" t="str">
        <f t="shared" si="17"/>
        <v>CONNECTICUT: IMPROVING THE HEALTH OF AMERICANS THROUGH PREVENTION AND MANAGEMENT OF DIABETES AND HEART DISEASE
AND STROKE - CDC-RFA-DP18-1815</v>
      </c>
      <c r="D102" s="6" t="str">
        <f t="shared" si="18"/>
        <v>STRESSORS AND CARDIO-METABOLIC DISEASE  IN POLICE: A 12-YEAR LONGITUDINAL STUDY</v>
      </c>
      <c r="E102">
        <f t="shared" si="19"/>
        <v>2168146</v>
      </c>
      <c r="F102" t="str">
        <f t="shared" si="20"/>
        <v>ACF</v>
      </c>
      <c r="G102" t="str">
        <f t="shared" si="21"/>
        <v>78-8262486</v>
      </c>
      <c r="H102">
        <f t="shared" ca="1" si="22"/>
        <v>817677</v>
      </c>
      <c r="I102" t="str">
        <f t="shared" si="23"/>
        <v>Biennial</v>
      </c>
      <c r="N102" s="1">
        <v>201435</v>
      </c>
      <c r="Q102" s="1" t="s">
        <v>1035</v>
      </c>
      <c r="T102" s="54" t="s">
        <v>1926</v>
      </c>
      <c r="U102">
        <v>22034561</v>
      </c>
      <c r="V102" s="10" t="s">
        <v>1034</v>
      </c>
      <c r="W102" s="10" t="s">
        <v>1034</v>
      </c>
      <c r="X102" t="s">
        <v>86</v>
      </c>
      <c r="Y102" s="1" t="s">
        <v>1033</v>
      </c>
      <c r="AA102" s="88">
        <f t="shared" ca="1" si="29"/>
        <v>2762593</v>
      </c>
      <c r="AB102" t="s">
        <v>81</v>
      </c>
      <c r="AI102" s="1">
        <v>101896</v>
      </c>
      <c r="AJ102" s="1" t="s">
        <v>119</v>
      </c>
      <c r="AK102" s="1" t="str">
        <f t="shared" si="24"/>
        <v/>
      </c>
      <c r="AL102" t="b">
        <f t="shared" si="25"/>
        <v>1</v>
      </c>
      <c r="AM102" s="49" t="str">
        <f t="shared" si="26"/>
        <v>Q</v>
      </c>
      <c r="AP102" s="10"/>
      <c r="AS102" t="s">
        <v>119</v>
      </c>
      <c r="AT102" s="6" t="s">
        <v>812</v>
      </c>
      <c r="AU102" s="6" t="str">
        <f t="shared" si="27"/>
        <v/>
      </c>
      <c r="AV102" s="6" t="s">
        <v>811</v>
      </c>
      <c r="AW102" s="6" t="str">
        <f t="shared" si="28"/>
        <v/>
      </c>
    </row>
    <row r="103" spans="1:49" ht="105">
      <c r="A103" s="1">
        <v>102138</v>
      </c>
      <c r="B103" t="str">
        <f t="shared" si="16"/>
        <v>4S35HS90894-69</v>
      </c>
      <c r="C103" s="6" t="str">
        <f t="shared" si="17"/>
        <v>CONNECTICUT: IMPROVING THE HEALTH OF AMERICANS THROUGH PREVENTION AND
MANAGEMENT OF DIABETES AND HEART DISEASE AND STROKE - CDC-RFA-DP18-1815</v>
      </c>
      <c r="D103" s="6" t="str">
        <f t="shared" si="18"/>
        <v>OCCUPATIONAL  HEALTH AND SAFETY SURVEILLANCE AND INTERVENTION IN NEW YORK STATE</v>
      </c>
      <c r="E103">
        <f t="shared" si="19"/>
        <v>27271214</v>
      </c>
      <c r="F103" t="str">
        <f t="shared" si="20"/>
        <v>CDC</v>
      </c>
      <c r="G103" t="str">
        <f t="shared" si="21"/>
        <v>78-8262487</v>
      </c>
      <c r="H103">
        <f t="shared" ca="1" si="22"/>
        <v>931706</v>
      </c>
      <c r="I103" t="str">
        <f t="shared" si="23"/>
        <v>Annual</v>
      </c>
      <c r="N103" s="1">
        <v>201499</v>
      </c>
      <c r="Q103" s="1" t="s">
        <v>1043</v>
      </c>
      <c r="T103" s="58" t="s">
        <v>1911</v>
      </c>
      <c r="U103">
        <v>23541017</v>
      </c>
      <c r="V103" s="10" t="s">
        <v>1042</v>
      </c>
      <c r="W103" s="10" t="s">
        <v>1042</v>
      </c>
      <c r="X103" t="s">
        <v>117</v>
      </c>
      <c r="Y103" s="1" t="s">
        <v>1041</v>
      </c>
      <c r="AA103" s="88">
        <f t="shared" ca="1" si="29"/>
        <v>2364340</v>
      </c>
      <c r="AB103" t="s">
        <v>81</v>
      </c>
      <c r="AI103" s="1">
        <v>102138</v>
      </c>
      <c r="AJ103" s="1" t="s">
        <v>119</v>
      </c>
      <c r="AK103" s="1" t="str">
        <f t="shared" si="24"/>
        <v/>
      </c>
      <c r="AL103" t="b">
        <f t="shared" si="25"/>
        <v>1</v>
      </c>
      <c r="AM103" s="49" t="str">
        <f t="shared" si="26"/>
        <v>Q</v>
      </c>
      <c r="AP103" s="10" t="s">
        <v>97</v>
      </c>
      <c r="AS103" t="s">
        <v>119</v>
      </c>
      <c r="AT103" s="6" t="s">
        <v>97</v>
      </c>
      <c r="AU103" s="6" t="str">
        <f t="shared" si="27"/>
        <v/>
      </c>
      <c r="AV103" s="6" t="s">
        <v>96</v>
      </c>
      <c r="AW103" s="6" t="str">
        <f t="shared" si="28"/>
        <v/>
      </c>
    </row>
    <row r="104" spans="1:49" ht="105">
      <c r="A104" s="1">
        <v>102138</v>
      </c>
      <c r="B104" t="str">
        <f t="shared" si="16"/>
        <v>4S35HS90894-69</v>
      </c>
      <c r="C104" s="6" t="str">
        <f t="shared" si="17"/>
        <v>CONNECTICUT: IMPROVING THE HEALTH OF AMERICANS THROUGH PREVENTION AND
MANAGEMENT OF DIABETES AND HEART DISEASE AND STROKE - CDC-RFA-DP18-1815</v>
      </c>
      <c r="D104" s="6" t="str">
        <f t="shared" si="18"/>
        <v>OCCUPATIONAL  HEALTH AND SAFETY SURVEILLANCE AND INTERVENTION IN NEW YORK STATE</v>
      </c>
      <c r="E104">
        <f t="shared" si="19"/>
        <v>27271214</v>
      </c>
      <c r="F104" t="str">
        <f t="shared" si="20"/>
        <v>CDC</v>
      </c>
      <c r="G104" t="str">
        <f t="shared" si="21"/>
        <v>78-8262487</v>
      </c>
      <c r="H104">
        <f t="shared" ca="1" si="22"/>
        <v>931706</v>
      </c>
      <c r="I104" t="str">
        <f t="shared" si="23"/>
        <v>Annual</v>
      </c>
      <c r="N104" s="1">
        <v>201667</v>
      </c>
      <c r="Q104" s="1" t="s">
        <v>1047</v>
      </c>
      <c r="T104" s="57" t="s">
        <v>1927</v>
      </c>
      <c r="U104">
        <v>23541017</v>
      </c>
      <c r="V104" s="10" t="s">
        <v>1046</v>
      </c>
      <c r="W104" s="10" t="s">
        <v>1046</v>
      </c>
      <c r="X104" t="s">
        <v>132</v>
      </c>
      <c r="Y104" s="1" t="s">
        <v>1045</v>
      </c>
      <c r="AA104" s="88">
        <f t="shared" ca="1" si="29"/>
        <v>2538125</v>
      </c>
      <c r="AB104" t="s">
        <v>81</v>
      </c>
      <c r="AI104" s="1">
        <v>102138</v>
      </c>
      <c r="AJ104" s="1" t="s">
        <v>119</v>
      </c>
      <c r="AK104" s="1" t="str">
        <f t="shared" si="24"/>
        <v/>
      </c>
      <c r="AL104" t="b">
        <f t="shared" si="25"/>
        <v>1</v>
      </c>
      <c r="AM104" s="49" t="str">
        <f t="shared" si="26"/>
        <v>Q</v>
      </c>
      <c r="AP104" s="10" t="s">
        <v>327</v>
      </c>
      <c r="AS104" t="s">
        <v>119</v>
      </c>
      <c r="AT104" s="6" t="s">
        <v>327</v>
      </c>
      <c r="AU104" s="6" t="str">
        <f t="shared" si="27"/>
        <v/>
      </c>
      <c r="AV104" s="6" t="s">
        <v>104</v>
      </c>
      <c r="AW104" s="6" t="str">
        <f t="shared" si="28"/>
        <v/>
      </c>
    </row>
    <row r="105" spans="1:49" ht="105">
      <c r="A105" s="1">
        <v>102138</v>
      </c>
      <c r="B105" t="str">
        <f t="shared" si="16"/>
        <v>4S35HS90894-69</v>
      </c>
      <c r="C105" s="6" t="str">
        <f t="shared" si="17"/>
        <v>CONNECTICUT: IMPROVING THE HEALTH OF AMERICANS THROUGH PREVENTION AND
MANAGEMENT OF DIABETES AND HEART DISEASE AND STROKE - CDC-RFA-DP18-1815</v>
      </c>
      <c r="D105" s="6" t="str">
        <f t="shared" si="18"/>
        <v>OCCUPATIONAL  HEALTH AND SAFETY SURVEILLANCE AND INTERVENTION IN NEW YORK STATE</v>
      </c>
      <c r="E105">
        <f t="shared" si="19"/>
        <v>27271214</v>
      </c>
      <c r="F105" t="str">
        <f t="shared" si="20"/>
        <v>CDC</v>
      </c>
      <c r="G105" t="str">
        <f t="shared" si="21"/>
        <v>78-8262487</v>
      </c>
      <c r="H105">
        <f t="shared" ca="1" si="22"/>
        <v>931706</v>
      </c>
      <c r="I105" t="str">
        <f t="shared" si="23"/>
        <v>Annual</v>
      </c>
      <c r="N105" s="1">
        <v>202866</v>
      </c>
      <c r="Q105" s="1" t="s">
        <v>1053</v>
      </c>
      <c r="T105" s="54" t="s">
        <v>1928</v>
      </c>
      <c r="U105">
        <v>23541017</v>
      </c>
      <c r="V105" s="10" t="s">
        <v>1052</v>
      </c>
      <c r="W105" s="10" t="s">
        <v>1052</v>
      </c>
      <c r="X105" t="s">
        <v>150</v>
      </c>
      <c r="Y105" s="1" t="s">
        <v>1051</v>
      </c>
      <c r="AA105" s="88">
        <f t="shared" ca="1" si="29"/>
        <v>2216227</v>
      </c>
      <c r="AB105" t="s">
        <v>81</v>
      </c>
      <c r="AI105" s="1">
        <v>102138</v>
      </c>
      <c r="AJ105" s="1" t="s">
        <v>119</v>
      </c>
      <c r="AK105" s="1" t="str">
        <f t="shared" si="24"/>
        <v/>
      </c>
      <c r="AL105" t="b">
        <f t="shared" si="25"/>
        <v>1</v>
      </c>
      <c r="AM105" s="49" t="str">
        <f t="shared" si="26"/>
        <v>Q</v>
      </c>
      <c r="AP105" s="10" t="s">
        <v>113</v>
      </c>
      <c r="AS105" t="s">
        <v>119</v>
      </c>
      <c r="AT105" s="6" t="s">
        <v>113</v>
      </c>
      <c r="AU105" s="6" t="str">
        <f t="shared" si="27"/>
        <v/>
      </c>
      <c r="AV105" s="6" t="s">
        <v>112</v>
      </c>
      <c r="AW105" s="6" t="str">
        <f t="shared" si="28"/>
        <v/>
      </c>
    </row>
    <row r="106" spans="1:49" ht="105">
      <c r="A106" s="1">
        <v>102138</v>
      </c>
      <c r="B106" t="str">
        <f t="shared" si="16"/>
        <v>4S35HS90894-69</v>
      </c>
      <c r="C106" s="6" t="str">
        <f t="shared" si="17"/>
        <v>CONNECTICUT: IMPROVING THE HEALTH OF AMERICANS THROUGH PREVENTION AND
MANAGEMENT OF DIABETES AND HEART DISEASE AND STROKE - CDC-RFA-DP18-1815</v>
      </c>
      <c r="D106" s="6" t="str">
        <f t="shared" si="18"/>
        <v>OCCUPATIONAL  HEALTH AND SAFETY SURVEILLANCE AND INTERVENTION IN NEW YORK STATE</v>
      </c>
      <c r="E106">
        <f t="shared" si="19"/>
        <v>27271214</v>
      </c>
      <c r="F106" t="str">
        <f t="shared" si="20"/>
        <v>CDC</v>
      </c>
      <c r="G106" t="str">
        <f t="shared" si="21"/>
        <v>78-8262487</v>
      </c>
      <c r="H106">
        <f t="shared" ca="1" si="22"/>
        <v>931706</v>
      </c>
      <c r="I106" t="str">
        <f t="shared" si="23"/>
        <v>Annual</v>
      </c>
      <c r="N106" s="1">
        <v>203396</v>
      </c>
      <c r="Q106" s="1" t="s">
        <v>1059</v>
      </c>
      <c r="T106" s="54" t="s">
        <v>1925</v>
      </c>
      <c r="U106">
        <v>23541017</v>
      </c>
      <c r="V106" s="10" t="s">
        <v>1058</v>
      </c>
      <c r="W106" s="10" t="s">
        <v>1058</v>
      </c>
      <c r="X106" t="s">
        <v>86</v>
      </c>
      <c r="Y106" s="1" t="s">
        <v>1057</v>
      </c>
      <c r="AA106" s="88">
        <f t="shared" ca="1" si="29"/>
        <v>2425989</v>
      </c>
      <c r="AB106" t="s">
        <v>81</v>
      </c>
      <c r="AI106" s="1">
        <v>102138</v>
      </c>
      <c r="AJ106" s="1" t="s">
        <v>119</v>
      </c>
      <c r="AK106" s="1" t="str">
        <f t="shared" si="24"/>
        <v/>
      </c>
      <c r="AL106" t="b">
        <f t="shared" si="25"/>
        <v>1</v>
      </c>
      <c r="AM106" s="49" t="str">
        <f t="shared" si="26"/>
        <v>Q</v>
      </c>
      <c r="AP106" s="10" t="s">
        <v>113</v>
      </c>
      <c r="AS106" t="s">
        <v>119</v>
      </c>
      <c r="AT106" s="6" t="s">
        <v>113</v>
      </c>
      <c r="AU106" s="6" t="str">
        <f t="shared" si="27"/>
        <v/>
      </c>
      <c r="AV106" s="6" t="s">
        <v>112</v>
      </c>
      <c r="AW106" s="6" t="str">
        <f t="shared" si="28"/>
        <v/>
      </c>
    </row>
    <row r="107" spans="1:49" ht="90">
      <c r="A107" s="1">
        <v>102309</v>
      </c>
      <c r="B107" t="str">
        <f t="shared" si="16"/>
        <v>1H45FT86452-43</v>
      </c>
      <c r="C107" s="6" t="str">
        <f t="shared" si="17"/>
        <v>CONNECTICUT STATE PHYSICAL ACTIVITY AND NUTRITION PROGRAM</v>
      </c>
      <c r="D107" s="6" t="str">
        <f t="shared" si="18"/>
        <v>TRANSGENERATIONAL WORK EXPOSURES, EDCS AND MALE FERTILITY</v>
      </c>
      <c r="E107">
        <f t="shared" si="19"/>
        <v>27271214</v>
      </c>
      <c r="F107" t="str">
        <f t="shared" si="20"/>
        <v>NIH</v>
      </c>
      <c r="G107" t="str">
        <f t="shared" si="21"/>
        <v>78-8262488</v>
      </c>
      <c r="H107">
        <f t="shared" ca="1" si="22"/>
        <v>911685</v>
      </c>
      <c r="I107" t="str">
        <f t="shared" si="23"/>
        <v>Annual</v>
      </c>
      <c r="N107" s="1">
        <v>204034</v>
      </c>
      <c r="Q107" s="1" t="s">
        <v>1068</v>
      </c>
      <c r="T107" s="53" t="s">
        <v>1846</v>
      </c>
      <c r="U107">
        <v>21769467</v>
      </c>
      <c r="V107" s="10" t="s">
        <v>1067</v>
      </c>
      <c r="W107" s="10" t="s">
        <v>1067</v>
      </c>
      <c r="X107" t="s">
        <v>117</v>
      </c>
      <c r="Y107" s="1" t="s">
        <v>1066</v>
      </c>
      <c r="AA107" s="88">
        <f t="shared" ca="1" si="29"/>
        <v>2107998</v>
      </c>
      <c r="AB107" t="s">
        <v>81</v>
      </c>
      <c r="AI107" s="1">
        <v>102309</v>
      </c>
      <c r="AJ107" s="1" t="s">
        <v>119</v>
      </c>
      <c r="AK107" s="1" t="str">
        <f t="shared" si="24"/>
        <v/>
      </c>
      <c r="AL107" t="b">
        <f t="shared" si="25"/>
        <v>1</v>
      </c>
      <c r="AM107" s="49" t="str">
        <f t="shared" si="26"/>
        <v>Q</v>
      </c>
      <c r="AP107" s="10" t="s">
        <v>97</v>
      </c>
      <c r="AS107" t="s">
        <v>119</v>
      </c>
      <c r="AT107" s="6" t="s">
        <v>97</v>
      </c>
      <c r="AU107" s="6" t="str">
        <f t="shared" si="27"/>
        <v/>
      </c>
      <c r="AV107" s="6" t="s">
        <v>96</v>
      </c>
      <c r="AW107" s="6" t="str">
        <f t="shared" si="28"/>
        <v/>
      </c>
    </row>
    <row r="108" spans="1:49" ht="75">
      <c r="A108" s="1">
        <v>102309</v>
      </c>
      <c r="B108" t="str">
        <f t="shared" si="16"/>
        <v>1H45FT86452-43</v>
      </c>
      <c r="C108" s="6" t="str">
        <f t="shared" si="17"/>
        <v>CONNECTICUT STATE PHYSICAL ACTIVITY AND NUTRITION PROGRAM</v>
      </c>
      <c r="D108" s="6" t="str">
        <f t="shared" si="18"/>
        <v>TRANSGENERATIONAL WORK EXPOSURES, EDCS AND MALE FERTILITY</v>
      </c>
      <c r="E108">
        <f t="shared" si="19"/>
        <v>27271214</v>
      </c>
      <c r="F108" t="str">
        <f t="shared" si="20"/>
        <v>NIH</v>
      </c>
      <c r="G108" t="str">
        <f t="shared" si="21"/>
        <v>78-8262488</v>
      </c>
      <c r="H108">
        <f t="shared" ca="1" si="22"/>
        <v>911685</v>
      </c>
      <c r="I108" t="str">
        <f t="shared" si="23"/>
        <v>Annual</v>
      </c>
      <c r="N108" s="1">
        <v>204121</v>
      </c>
      <c r="Q108" s="1" t="s">
        <v>1073</v>
      </c>
      <c r="T108" s="66" t="s">
        <v>1929</v>
      </c>
      <c r="U108">
        <v>21769467</v>
      </c>
      <c r="V108" s="10" t="s">
        <v>1072</v>
      </c>
      <c r="W108" s="10" t="s">
        <v>1072</v>
      </c>
      <c r="X108" t="s">
        <v>132</v>
      </c>
      <c r="Y108" s="1" t="s">
        <v>1071</v>
      </c>
      <c r="AA108" s="88">
        <f t="shared" ca="1" si="29"/>
        <v>2841984</v>
      </c>
      <c r="AB108" t="s">
        <v>81</v>
      </c>
      <c r="AI108" s="1">
        <v>102309</v>
      </c>
      <c r="AJ108" s="1" t="s">
        <v>119</v>
      </c>
      <c r="AK108" s="1" t="str">
        <f t="shared" si="24"/>
        <v/>
      </c>
      <c r="AL108" t="b">
        <f t="shared" si="25"/>
        <v>1</v>
      </c>
      <c r="AM108" s="49" t="str">
        <f t="shared" si="26"/>
        <v>Q</v>
      </c>
      <c r="AP108" s="10" t="s">
        <v>327</v>
      </c>
      <c r="AS108" t="s">
        <v>119</v>
      </c>
      <c r="AT108" s="6" t="s">
        <v>327</v>
      </c>
      <c r="AU108" s="6" t="str">
        <f t="shared" si="27"/>
        <v/>
      </c>
      <c r="AV108" s="6" t="s">
        <v>104</v>
      </c>
      <c r="AW108" s="6" t="str">
        <f t="shared" si="28"/>
        <v/>
      </c>
    </row>
    <row r="109" spans="1:49" ht="60">
      <c r="A109" s="1">
        <v>102309</v>
      </c>
      <c r="B109" t="str">
        <f t="shared" si="16"/>
        <v>1H45FT86452-43</v>
      </c>
      <c r="C109" s="6" t="str">
        <f t="shared" si="17"/>
        <v>CONNECTICUT STATE PHYSICAL ACTIVITY AND NUTRITION PROGRAM</v>
      </c>
      <c r="D109" s="6" t="str">
        <f t="shared" si="18"/>
        <v>TRANSGENERATIONAL WORK EXPOSURES, EDCS AND MALE FERTILITY</v>
      </c>
      <c r="E109">
        <f t="shared" si="19"/>
        <v>27271214</v>
      </c>
      <c r="F109" t="str">
        <f t="shared" si="20"/>
        <v>NIH</v>
      </c>
      <c r="G109" t="str">
        <f t="shared" si="21"/>
        <v>78-8262488</v>
      </c>
      <c r="H109">
        <f t="shared" ca="1" si="22"/>
        <v>911685</v>
      </c>
      <c r="I109" t="str">
        <f t="shared" si="23"/>
        <v>Annual</v>
      </c>
      <c r="N109" s="1">
        <v>204132</v>
      </c>
      <c r="Q109" s="1" t="s">
        <v>1082</v>
      </c>
      <c r="T109" s="56" t="s">
        <v>1881</v>
      </c>
      <c r="U109">
        <v>34731265</v>
      </c>
      <c r="V109" s="10" t="s">
        <v>1081</v>
      </c>
      <c r="W109" s="10" t="s">
        <v>1081</v>
      </c>
      <c r="X109" t="s">
        <v>150</v>
      </c>
      <c r="Y109" s="1" t="s">
        <v>1080</v>
      </c>
      <c r="AA109" s="88">
        <f t="shared" ca="1" si="29"/>
        <v>2318121</v>
      </c>
      <c r="AB109" t="s">
        <v>81</v>
      </c>
      <c r="AI109" s="1">
        <v>102309</v>
      </c>
      <c r="AJ109" s="1" t="s">
        <v>119</v>
      </c>
      <c r="AK109" s="1" t="str">
        <f t="shared" si="24"/>
        <v/>
      </c>
      <c r="AL109" t="b">
        <f t="shared" si="25"/>
        <v>1</v>
      </c>
      <c r="AM109" s="49" t="str">
        <f t="shared" si="26"/>
        <v>Q</v>
      </c>
      <c r="AP109" s="10" t="s">
        <v>113</v>
      </c>
      <c r="AS109" t="s">
        <v>119</v>
      </c>
      <c r="AT109" s="6" t="s">
        <v>113</v>
      </c>
      <c r="AU109" s="6" t="str">
        <f t="shared" si="27"/>
        <v/>
      </c>
      <c r="AV109" s="6" t="s">
        <v>112</v>
      </c>
      <c r="AW109" s="6" t="str">
        <f t="shared" si="28"/>
        <v/>
      </c>
    </row>
    <row r="110" spans="1:49" ht="90">
      <c r="A110" s="1">
        <v>102635</v>
      </c>
      <c r="B110" t="str">
        <f t="shared" si="16"/>
        <v>2R60CR85032-53</v>
      </c>
      <c r="C110" s="6" t="str">
        <f t="shared" si="17"/>
        <v>CONNECTICUT STATE ACTIONS TO IMPROVE ORAL HEALTH OUTCOMES</v>
      </c>
      <c r="D110" s="6" t="str">
        <f t="shared" si="18"/>
        <v>UNIVERSITY AT BUFFALO, SUNY OCCUPATIONAL SAFETY AND HEALTH TRAINING PROJECT</v>
      </c>
      <c r="E110">
        <f t="shared" si="19"/>
        <v>21346824</v>
      </c>
      <c r="F110" t="str">
        <f t="shared" si="20"/>
        <v>FDA</v>
      </c>
      <c r="G110" t="str">
        <f t="shared" si="21"/>
        <v>78-8262489</v>
      </c>
      <c r="H110">
        <f t="shared" ca="1" si="22"/>
        <v>942147</v>
      </c>
      <c r="I110" t="str">
        <f t="shared" si="23"/>
        <v>Annual</v>
      </c>
      <c r="N110" s="1">
        <v>204145</v>
      </c>
      <c r="Q110" s="1" t="s">
        <v>1086</v>
      </c>
      <c r="T110" s="52" t="s">
        <v>1865</v>
      </c>
      <c r="U110">
        <v>34731265</v>
      </c>
      <c r="V110" s="10" t="s">
        <v>1085</v>
      </c>
      <c r="W110" s="10" t="s">
        <v>1085</v>
      </c>
      <c r="X110" t="s">
        <v>86</v>
      </c>
      <c r="Y110" s="1" t="s">
        <v>1084</v>
      </c>
      <c r="AA110" s="88">
        <f t="shared" ca="1" si="29"/>
        <v>2365259</v>
      </c>
      <c r="AB110" t="s">
        <v>81</v>
      </c>
      <c r="AI110" s="1">
        <v>102635</v>
      </c>
      <c r="AJ110" s="1" t="s">
        <v>119</v>
      </c>
      <c r="AK110" s="1" t="str">
        <f t="shared" si="24"/>
        <v/>
      </c>
      <c r="AL110" t="b">
        <f t="shared" si="25"/>
        <v>1</v>
      </c>
      <c r="AM110" s="49" t="str">
        <f t="shared" si="26"/>
        <v>Q</v>
      </c>
      <c r="AP110" s="10" t="s">
        <v>97</v>
      </c>
      <c r="AS110" t="s">
        <v>119</v>
      </c>
      <c r="AT110" s="6" t="s">
        <v>97</v>
      </c>
      <c r="AU110" s="6" t="str">
        <f t="shared" si="27"/>
        <v/>
      </c>
      <c r="AV110" s="6" t="s">
        <v>96</v>
      </c>
      <c r="AW110" s="6" t="str">
        <f t="shared" si="28"/>
        <v/>
      </c>
    </row>
    <row r="111" spans="1:49" ht="75">
      <c r="A111" s="1">
        <v>102635</v>
      </c>
      <c r="B111" t="str">
        <f t="shared" si="16"/>
        <v>2R60CR85032-53</v>
      </c>
      <c r="C111" s="6" t="str">
        <f t="shared" si="17"/>
        <v>CONNECTICUT STATE ACTIONS TO IMPROVE ORAL HEALTH OUTCOMES</v>
      </c>
      <c r="D111" s="6" t="str">
        <f t="shared" si="18"/>
        <v>UNIVERSITY AT BUFFALO, SUNY OCCUPATIONAL SAFETY AND HEALTH TRAINING PROJECT</v>
      </c>
      <c r="E111">
        <f t="shared" si="19"/>
        <v>21346824</v>
      </c>
      <c r="F111" t="str">
        <f t="shared" si="20"/>
        <v>FDA</v>
      </c>
      <c r="G111" t="str">
        <f t="shared" si="21"/>
        <v>78-8262489</v>
      </c>
      <c r="H111">
        <f t="shared" ca="1" si="22"/>
        <v>942147</v>
      </c>
      <c r="I111" t="str">
        <f t="shared" si="23"/>
        <v>Annual</v>
      </c>
      <c r="N111" s="1">
        <v>204274</v>
      </c>
      <c r="Q111" s="1" t="s">
        <v>1100</v>
      </c>
      <c r="T111" s="56" t="s">
        <v>1900</v>
      </c>
      <c r="U111">
        <v>34731265</v>
      </c>
      <c r="V111" s="10" t="s">
        <v>1099</v>
      </c>
      <c r="W111" s="10" t="s">
        <v>1099</v>
      </c>
      <c r="X111" t="s">
        <v>117</v>
      </c>
      <c r="Y111" s="1" t="s">
        <v>1098</v>
      </c>
      <c r="AA111" s="88">
        <f t="shared" ca="1" si="29"/>
        <v>2120670</v>
      </c>
      <c r="AB111" t="s">
        <v>81</v>
      </c>
      <c r="AI111" s="1">
        <v>102635</v>
      </c>
      <c r="AJ111" s="1" t="s">
        <v>119</v>
      </c>
      <c r="AK111" s="1" t="str">
        <f t="shared" si="24"/>
        <v/>
      </c>
      <c r="AL111" t="b">
        <f t="shared" si="25"/>
        <v>1</v>
      </c>
      <c r="AM111" s="49" t="str">
        <f t="shared" si="26"/>
        <v>Q</v>
      </c>
      <c r="AP111" s="10" t="s">
        <v>327</v>
      </c>
      <c r="AS111" t="s">
        <v>119</v>
      </c>
      <c r="AT111" s="6" t="s">
        <v>327</v>
      </c>
      <c r="AU111" s="6" t="str">
        <f t="shared" si="27"/>
        <v/>
      </c>
      <c r="AV111" s="6" t="s">
        <v>104</v>
      </c>
      <c r="AW111" s="6" t="str">
        <f t="shared" si="28"/>
        <v/>
      </c>
    </row>
    <row r="112" spans="1:49" ht="60">
      <c r="A112" s="1">
        <v>102635</v>
      </c>
      <c r="B112" t="str">
        <f t="shared" si="16"/>
        <v>2R60CR85032-53</v>
      </c>
      <c r="C112" s="6" t="str">
        <f t="shared" si="17"/>
        <v>CONNECTICUT STATE ACTIONS TO IMPROVE ORAL HEALTH OUTCOMES</v>
      </c>
      <c r="D112" s="6" t="str">
        <f t="shared" si="18"/>
        <v>UNIVERSITY AT BUFFALO, SUNY OCCUPATIONAL SAFETY AND HEALTH TRAINING PROJECT</v>
      </c>
      <c r="E112">
        <f t="shared" si="19"/>
        <v>21346824</v>
      </c>
      <c r="F112" t="str">
        <f t="shared" si="20"/>
        <v>FDA</v>
      </c>
      <c r="G112" t="str">
        <f t="shared" si="21"/>
        <v>78-8262489</v>
      </c>
      <c r="H112">
        <f t="shared" ca="1" si="22"/>
        <v>942147</v>
      </c>
      <c r="I112" t="str">
        <f t="shared" si="23"/>
        <v>Annual</v>
      </c>
      <c r="N112" s="1">
        <v>204276</v>
      </c>
      <c r="Q112" s="1" t="s">
        <v>1104</v>
      </c>
      <c r="T112" s="56" t="s">
        <v>1930</v>
      </c>
      <c r="U112">
        <v>34731265</v>
      </c>
      <c r="V112" s="10" t="s">
        <v>1103</v>
      </c>
      <c r="W112" s="10" t="s">
        <v>1103</v>
      </c>
      <c r="X112" t="s">
        <v>132</v>
      </c>
      <c r="Y112" s="1" t="s">
        <v>1102</v>
      </c>
      <c r="AA112" s="88">
        <f t="shared" ca="1" si="29"/>
        <v>2863009</v>
      </c>
      <c r="AB112" t="s">
        <v>81</v>
      </c>
      <c r="AI112" s="1">
        <v>102635</v>
      </c>
      <c r="AJ112" s="1" t="s">
        <v>119</v>
      </c>
      <c r="AK112" s="1" t="str">
        <f t="shared" si="24"/>
        <v/>
      </c>
      <c r="AL112" t="b">
        <f t="shared" si="25"/>
        <v>1</v>
      </c>
      <c r="AM112" s="49" t="str">
        <f t="shared" si="26"/>
        <v>Q</v>
      </c>
      <c r="AP112" s="10" t="s">
        <v>113</v>
      </c>
      <c r="AS112" t="s">
        <v>119</v>
      </c>
      <c r="AT112" s="6" t="s">
        <v>113</v>
      </c>
      <c r="AU112" s="6" t="str">
        <f t="shared" si="27"/>
        <v/>
      </c>
      <c r="AV112" s="6" t="s">
        <v>112</v>
      </c>
      <c r="AW112" s="6" t="str">
        <f t="shared" si="28"/>
        <v/>
      </c>
    </row>
    <row r="113" spans="1:49" ht="90">
      <c r="A113" s="1">
        <v>108149</v>
      </c>
      <c r="B113" t="str">
        <f t="shared" si="16"/>
        <v>2H31HT85033-95</v>
      </c>
      <c r="C113" s="6" t="str">
        <f t="shared" si="17"/>
        <v>PREVENTION RESEARCH IN THE DIGITAL AGE: PUBLIC AND PRIVATE PARTNERSHIPS FOR
SUSTAINABLE IMPACT AT SCALE</v>
      </c>
      <c r="D113" s="6" t="str">
        <f t="shared" si="18"/>
        <v>NYSDOH: THE NATIONAL SYNDROMIC SURVEILLANCE PROGRAM</v>
      </c>
      <c r="E113">
        <f t="shared" si="19"/>
        <v>21346824</v>
      </c>
      <c r="F113" t="str">
        <f t="shared" si="20"/>
        <v>ACF</v>
      </c>
      <c r="G113" t="str">
        <f t="shared" si="21"/>
        <v>78-8262490</v>
      </c>
      <c r="H113">
        <f t="shared" ca="1" si="22"/>
        <v>771041</v>
      </c>
      <c r="I113" t="str">
        <f t="shared" si="23"/>
        <v>Annual</v>
      </c>
      <c r="N113" s="1">
        <v>204529</v>
      </c>
      <c r="Q113" s="1" t="s">
        <v>1109</v>
      </c>
      <c r="T113" s="50" t="s">
        <v>1931</v>
      </c>
      <c r="U113">
        <v>39453249</v>
      </c>
      <c r="V113" s="10" t="s">
        <v>1108</v>
      </c>
      <c r="W113" s="10" t="s">
        <v>1108</v>
      </c>
      <c r="X113" t="s">
        <v>150</v>
      </c>
      <c r="Y113" s="1" t="s">
        <v>1107</v>
      </c>
      <c r="AA113" s="88">
        <f t="shared" ca="1" si="29"/>
        <v>2051751</v>
      </c>
      <c r="AB113" t="s">
        <v>81</v>
      </c>
      <c r="AI113" s="1">
        <v>108149</v>
      </c>
      <c r="AJ113" s="1" t="s">
        <v>119</v>
      </c>
      <c r="AK113" s="1" t="str">
        <f t="shared" si="24"/>
        <v/>
      </c>
      <c r="AL113" t="b">
        <f t="shared" si="25"/>
        <v>1</v>
      </c>
      <c r="AM113" s="49" t="str">
        <f t="shared" si="26"/>
        <v>Q</v>
      </c>
      <c r="AP113" s="10" t="s">
        <v>97</v>
      </c>
      <c r="AS113" t="s">
        <v>119</v>
      </c>
      <c r="AT113" s="6" t="s">
        <v>97</v>
      </c>
      <c r="AU113" s="6" t="str">
        <f t="shared" si="27"/>
        <v/>
      </c>
      <c r="AV113" s="6" t="s">
        <v>96</v>
      </c>
      <c r="AW113" s="6" t="str">
        <f t="shared" si="28"/>
        <v/>
      </c>
    </row>
    <row r="114" spans="1:49" ht="90">
      <c r="A114" s="1">
        <v>108149</v>
      </c>
      <c r="B114" t="str">
        <f t="shared" si="16"/>
        <v>2H31HT85033-95</v>
      </c>
      <c r="C114" s="6" t="str">
        <f t="shared" si="17"/>
        <v>PREVENTION RESEARCH IN THE DIGITAL AGE: PUBLIC AND PRIVATE PARTNERSHIPS FOR
SUSTAINABLE IMPACT AT SCALE</v>
      </c>
      <c r="D114" s="6" t="str">
        <f t="shared" si="18"/>
        <v>NYSDOH: THE NATIONAL SYNDROMIC SURVEILLANCE PROGRAM</v>
      </c>
      <c r="E114">
        <f t="shared" si="19"/>
        <v>21346824</v>
      </c>
      <c r="F114" t="str">
        <f t="shared" si="20"/>
        <v>ACF</v>
      </c>
      <c r="G114" t="str">
        <f t="shared" si="21"/>
        <v>78-8262490</v>
      </c>
      <c r="H114">
        <f t="shared" ca="1" si="22"/>
        <v>771041</v>
      </c>
      <c r="I114" t="str">
        <f t="shared" si="23"/>
        <v>Annual</v>
      </c>
      <c r="N114" s="1">
        <v>204932</v>
      </c>
      <c r="Q114" s="1" t="s">
        <v>1119</v>
      </c>
      <c r="T114" s="57" t="s">
        <v>1849</v>
      </c>
      <c r="U114">
        <v>39453249</v>
      </c>
      <c r="V114" s="10" t="s">
        <v>1118</v>
      </c>
      <c r="W114" s="10" t="s">
        <v>1118</v>
      </c>
      <c r="X114" t="s">
        <v>86</v>
      </c>
      <c r="Y114" s="1" t="s">
        <v>1117</v>
      </c>
      <c r="AA114" s="88">
        <f t="shared" ca="1" si="29"/>
        <v>2197038</v>
      </c>
      <c r="AB114" t="s">
        <v>81</v>
      </c>
      <c r="AI114" s="1">
        <v>108149</v>
      </c>
      <c r="AJ114" s="1" t="s">
        <v>119</v>
      </c>
      <c r="AK114" s="1" t="str">
        <f t="shared" si="24"/>
        <v/>
      </c>
      <c r="AL114" t="b">
        <f t="shared" si="25"/>
        <v>1</v>
      </c>
      <c r="AM114" s="49" t="str">
        <f t="shared" si="26"/>
        <v>Q</v>
      </c>
      <c r="AP114" s="10" t="s">
        <v>327</v>
      </c>
      <c r="AS114" t="s">
        <v>119</v>
      </c>
      <c r="AT114" s="6" t="s">
        <v>327</v>
      </c>
      <c r="AU114" s="6" t="str">
        <f t="shared" si="27"/>
        <v/>
      </c>
      <c r="AV114" s="6" t="s">
        <v>104</v>
      </c>
      <c r="AW114" s="6" t="str">
        <f t="shared" si="28"/>
        <v/>
      </c>
    </row>
    <row r="115" spans="1:49" ht="90">
      <c r="A115" s="1">
        <v>108149</v>
      </c>
      <c r="B115" t="str">
        <f t="shared" si="16"/>
        <v>2H31HT85033-95</v>
      </c>
      <c r="C115" s="6" t="str">
        <f t="shared" si="17"/>
        <v>PREVENTION RESEARCH IN THE DIGITAL AGE: PUBLIC AND PRIVATE PARTNERSHIPS FOR
SUSTAINABLE IMPACT AT SCALE</v>
      </c>
      <c r="D115" s="6" t="str">
        <f t="shared" si="18"/>
        <v>NYSDOH: THE NATIONAL SYNDROMIC SURVEILLANCE PROGRAM</v>
      </c>
      <c r="E115">
        <f t="shared" si="19"/>
        <v>21346824</v>
      </c>
      <c r="F115" t="str">
        <f t="shared" si="20"/>
        <v>ACF</v>
      </c>
      <c r="G115" t="str">
        <f t="shared" si="21"/>
        <v>78-8262490</v>
      </c>
      <c r="H115">
        <f t="shared" ca="1" si="22"/>
        <v>771041</v>
      </c>
      <c r="I115" t="str">
        <f t="shared" si="23"/>
        <v>Annual</v>
      </c>
      <c r="N115" s="1">
        <v>205167</v>
      </c>
      <c r="Q115" s="1" t="s">
        <v>1123</v>
      </c>
      <c r="T115" s="56" t="s">
        <v>1932</v>
      </c>
      <c r="U115">
        <v>32432279</v>
      </c>
      <c r="V115" s="10" t="s">
        <v>1122</v>
      </c>
      <c r="W115" s="10" t="s">
        <v>1122</v>
      </c>
      <c r="X115" t="s">
        <v>117</v>
      </c>
      <c r="Y115" s="1" t="s">
        <v>1121</v>
      </c>
      <c r="AA115" s="88">
        <f t="shared" ca="1" si="29"/>
        <v>2860542</v>
      </c>
      <c r="AB115" t="s">
        <v>81</v>
      </c>
      <c r="AI115" s="1">
        <v>108149</v>
      </c>
      <c r="AJ115" s="1" t="s">
        <v>119</v>
      </c>
      <c r="AK115" s="1" t="str">
        <f t="shared" si="24"/>
        <v/>
      </c>
      <c r="AL115" t="b">
        <f t="shared" si="25"/>
        <v>1</v>
      </c>
      <c r="AM115" s="49" t="str">
        <f t="shared" si="26"/>
        <v>Q</v>
      </c>
      <c r="AP115" s="10" t="s">
        <v>113</v>
      </c>
      <c r="AS115" t="s">
        <v>119</v>
      </c>
      <c r="AT115" s="6" t="s">
        <v>113</v>
      </c>
      <c r="AU115" s="6" t="str">
        <f t="shared" si="27"/>
        <v/>
      </c>
      <c r="AV115" s="6" t="s">
        <v>112</v>
      </c>
      <c r="AW115" s="6" t="str">
        <f t="shared" si="28"/>
        <v/>
      </c>
    </row>
    <row r="116" spans="1:49" ht="90">
      <c r="A116" s="1">
        <v>111191</v>
      </c>
      <c r="B116" t="str">
        <f t="shared" si="16"/>
        <v>7R92IR85718-39</v>
      </c>
      <c r="C116" s="6" t="str">
        <f t="shared" si="17"/>
        <v>HARTFORD HEALTHY FAMILY INITIATIVE</v>
      </c>
      <c r="D116" s="6" t="str">
        <f t="shared" si="18"/>
        <v>HOSPITAL PREPAREDNESS PROGRAM  (HPP)  AND PUBLIC HEALTH EMERGENCY PREPAREDNESS (PHEP) ALIGNED COOPERATIVE AGREEMENTS</v>
      </c>
      <c r="E116">
        <f t="shared" si="19"/>
        <v>21346824</v>
      </c>
      <c r="F116" t="str">
        <f t="shared" si="20"/>
        <v>CDC</v>
      </c>
      <c r="G116" t="str">
        <f t="shared" si="21"/>
        <v>78-8262491</v>
      </c>
      <c r="H116">
        <f t="shared" ca="1" si="22"/>
        <v>795907</v>
      </c>
      <c r="I116" t="str">
        <f t="shared" si="23"/>
        <v>Annual</v>
      </c>
      <c r="N116" s="1">
        <v>205482</v>
      </c>
      <c r="Q116" s="1" t="s">
        <v>1134</v>
      </c>
      <c r="T116" s="56" t="s">
        <v>1850</v>
      </c>
      <c r="U116">
        <v>32432279</v>
      </c>
      <c r="V116" s="10" t="s">
        <v>1133</v>
      </c>
      <c r="W116" s="10" t="s">
        <v>1133</v>
      </c>
      <c r="X116" t="s">
        <v>132</v>
      </c>
      <c r="Y116" s="1" t="s">
        <v>1132</v>
      </c>
      <c r="AA116" s="88">
        <f t="shared" ca="1" si="29"/>
        <v>2834348</v>
      </c>
      <c r="AB116" t="s">
        <v>81</v>
      </c>
      <c r="AI116" s="1">
        <v>111191</v>
      </c>
      <c r="AJ116" s="1" t="s">
        <v>119</v>
      </c>
      <c r="AK116" s="1" t="str">
        <f t="shared" si="24"/>
        <v/>
      </c>
      <c r="AL116" t="b">
        <f t="shared" si="25"/>
        <v>1</v>
      </c>
      <c r="AM116" s="49" t="str">
        <f t="shared" si="26"/>
        <v>Q</v>
      </c>
      <c r="AP116" s="10" t="s">
        <v>97</v>
      </c>
      <c r="AS116" t="s">
        <v>119</v>
      </c>
      <c r="AT116" s="6" t="s">
        <v>97</v>
      </c>
      <c r="AU116" s="6" t="str">
        <f t="shared" si="27"/>
        <v/>
      </c>
      <c r="AV116" s="6" t="s">
        <v>96</v>
      </c>
      <c r="AW116" s="6" t="str">
        <f t="shared" si="28"/>
        <v/>
      </c>
    </row>
    <row r="117" spans="1:49" ht="90">
      <c r="A117" s="1">
        <v>111191</v>
      </c>
      <c r="B117" t="str">
        <f t="shared" si="16"/>
        <v>7R92IR85718-39</v>
      </c>
      <c r="C117" s="6" t="str">
        <f t="shared" si="17"/>
        <v>HARTFORD HEALTHY FAMILY INITIATIVE</v>
      </c>
      <c r="D117" s="6" t="str">
        <f t="shared" si="18"/>
        <v>HOSPITAL PREPAREDNESS PROGRAM  (HPP)  AND PUBLIC HEALTH EMERGENCY PREPAREDNESS (PHEP) ALIGNED COOPERATIVE AGREEMENTS</v>
      </c>
      <c r="E117">
        <f t="shared" si="19"/>
        <v>21346824</v>
      </c>
      <c r="F117" t="str">
        <f t="shared" si="20"/>
        <v>CDC</v>
      </c>
      <c r="G117" t="str">
        <f t="shared" si="21"/>
        <v>78-8262491</v>
      </c>
      <c r="H117">
        <f t="shared" ca="1" si="22"/>
        <v>795907</v>
      </c>
      <c r="I117" t="str">
        <f t="shared" si="23"/>
        <v>Annual</v>
      </c>
      <c r="N117" s="1">
        <v>205633</v>
      </c>
      <c r="Q117" s="1" t="s">
        <v>1140</v>
      </c>
      <c r="T117" s="54" t="s">
        <v>1933</v>
      </c>
      <c r="U117">
        <v>13622606</v>
      </c>
      <c r="V117" s="10" t="s">
        <v>1139</v>
      </c>
      <c r="W117" s="10" t="s">
        <v>1139</v>
      </c>
      <c r="X117" t="s">
        <v>150</v>
      </c>
      <c r="Y117" s="1" t="s">
        <v>1138</v>
      </c>
      <c r="AA117" s="88">
        <f t="shared" ca="1" si="29"/>
        <v>2265515</v>
      </c>
      <c r="AB117" t="s">
        <v>81</v>
      </c>
      <c r="AI117" s="1">
        <v>111191</v>
      </c>
      <c r="AJ117" s="1" t="s">
        <v>119</v>
      </c>
      <c r="AK117" s="1" t="str">
        <f t="shared" si="24"/>
        <v/>
      </c>
      <c r="AL117" t="b">
        <f t="shared" si="25"/>
        <v>1</v>
      </c>
      <c r="AM117" s="49" t="str">
        <f t="shared" si="26"/>
        <v>Q</v>
      </c>
      <c r="AP117" s="10" t="s">
        <v>327</v>
      </c>
      <c r="AS117" t="s">
        <v>119</v>
      </c>
      <c r="AT117" s="6" t="s">
        <v>327</v>
      </c>
      <c r="AU117" s="6" t="str">
        <f t="shared" si="27"/>
        <v/>
      </c>
      <c r="AV117" s="6" t="s">
        <v>104</v>
      </c>
      <c r="AW117" s="6" t="str">
        <f t="shared" si="28"/>
        <v/>
      </c>
    </row>
    <row r="118" spans="1:49" ht="90">
      <c r="A118" s="1">
        <v>111191</v>
      </c>
      <c r="B118" t="str">
        <f t="shared" si="16"/>
        <v>7R92IR85718-39</v>
      </c>
      <c r="C118" s="6" t="str">
        <f t="shared" si="17"/>
        <v>HARTFORD HEALTHY FAMILY INITIATIVE</v>
      </c>
      <c r="D118" s="6" t="str">
        <f t="shared" si="18"/>
        <v>HOSPITAL PREPAREDNESS PROGRAM  (HPP)  AND PUBLIC HEALTH EMERGENCY PREPAREDNESS (PHEP) ALIGNED COOPERATIVE AGREEMENTS</v>
      </c>
      <c r="E118">
        <f t="shared" si="19"/>
        <v>21346824</v>
      </c>
      <c r="F118" t="str">
        <f t="shared" si="20"/>
        <v>CDC</v>
      </c>
      <c r="G118" t="str">
        <f t="shared" si="21"/>
        <v>78-8262491</v>
      </c>
      <c r="H118">
        <f t="shared" ca="1" si="22"/>
        <v>795907</v>
      </c>
      <c r="I118" t="str">
        <f t="shared" si="23"/>
        <v>Annual</v>
      </c>
      <c r="N118" s="1">
        <v>208713</v>
      </c>
      <c r="Q118" s="1" t="s">
        <v>1146</v>
      </c>
      <c r="T118" s="57" t="s">
        <v>1849</v>
      </c>
      <c r="U118">
        <v>13622606</v>
      </c>
      <c r="V118" s="10" t="s">
        <v>1145</v>
      </c>
      <c r="W118" s="10" t="s">
        <v>1145</v>
      </c>
      <c r="X118" t="s">
        <v>86</v>
      </c>
      <c r="Y118" s="1" t="s">
        <v>1144</v>
      </c>
      <c r="AA118" s="88">
        <f t="shared" ca="1" si="29"/>
        <v>2378005</v>
      </c>
      <c r="AB118" t="s">
        <v>81</v>
      </c>
      <c r="AI118" s="1">
        <v>111191</v>
      </c>
      <c r="AJ118" s="1" t="s">
        <v>119</v>
      </c>
      <c r="AK118" s="1" t="str">
        <f t="shared" si="24"/>
        <v/>
      </c>
      <c r="AL118" t="b">
        <f t="shared" si="25"/>
        <v>1</v>
      </c>
      <c r="AM118" s="49" t="str">
        <f t="shared" si="26"/>
        <v>Q</v>
      </c>
      <c r="AP118" s="10" t="s">
        <v>113</v>
      </c>
      <c r="AS118" t="s">
        <v>119</v>
      </c>
      <c r="AT118" s="6" t="s">
        <v>113</v>
      </c>
      <c r="AU118" s="6" t="str">
        <f t="shared" si="27"/>
        <v/>
      </c>
      <c r="AV118" s="6" t="s">
        <v>112</v>
      </c>
      <c r="AW118" s="6" t="str">
        <f t="shared" si="28"/>
        <v/>
      </c>
    </row>
    <row r="119" spans="1:49" ht="90">
      <c r="A119" s="1">
        <v>112930</v>
      </c>
      <c r="B119" t="str">
        <f t="shared" si="16"/>
        <v>1H40ET85717-96</v>
      </c>
      <c r="C119" s="6" t="str">
        <f t="shared" si="17"/>
        <v>REACH NEW HAVEN: ACCELERATING LOCAL ACTION TO TRANSFORM COMMUNITIES FOR HEALTH EQUITY</v>
      </c>
      <c r="D119" s="6" t="str">
        <f t="shared" si="18"/>
        <v>NYC DOHMH BUDGET PERIOD  1 (07/01/2017 -
06/30/2018) HPP-PHEP APPLICATION</v>
      </c>
      <c r="E119">
        <f t="shared" si="19"/>
        <v>32122094</v>
      </c>
      <c r="F119" t="str">
        <f t="shared" si="20"/>
        <v>NIH</v>
      </c>
      <c r="G119" t="str">
        <f t="shared" si="21"/>
        <v>78-8262492</v>
      </c>
      <c r="H119">
        <f t="shared" ca="1" si="22"/>
        <v>797535</v>
      </c>
      <c r="I119" t="str">
        <f t="shared" si="23"/>
        <v>Annual</v>
      </c>
      <c r="N119" s="1">
        <v>208717</v>
      </c>
      <c r="Q119" s="1" t="s">
        <v>1151</v>
      </c>
      <c r="T119" s="56" t="s">
        <v>1850</v>
      </c>
      <c r="U119">
        <v>13622606</v>
      </c>
      <c r="V119" s="10" t="s">
        <v>1150</v>
      </c>
      <c r="W119" s="10" t="s">
        <v>1150</v>
      </c>
      <c r="X119" t="s">
        <v>117</v>
      </c>
      <c r="Y119" s="1" t="s">
        <v>1149</v>
      </c>
      <c r="AA119" s="88">
        <f t="shared" ca="1" si="29"/>
        <v>2509108</v>
      </c>
      <c r="AB119" t="s">
        <v>81</v>
      </c>
      <c r="AI119" s="1">
        <v>112930</v>
      </c>
      <c r="AJ119" s="1" t="s">
        <v>119</v>
      </c>
      <c r="AK119" s="1" t="str">
        <f t="shared" si="24"/>
        <v/>
      </c>
      <c r="AL119" t="b">
        <f t="shared" si="25"/>
        <v>1</v>
      </c>
      <c r="AM119" s="49" t="str">
        <f t="shared" si="26"/>
        <v>Q</v>
      </c>
      <c r="AP119" s="10" t="s">
        <v>97</v>
      </c>
      <c r="AS119" t="s">
        <v>119</v>
      </c>
      <c r="AT119" s="6" t="s">
        <v>97</v>
      </c>
      <c r="AU119" s="6" t="str">
        <f t="shared" si="27"/>
        <v/>
      </c>
      <c r="AV119" s="6" t="s">
        <v>96</v>
      </c>
      <c r="AW119" s="6" t="str">
        <f t="shared" si="28"/>
        <v/>
      </c>
    </row>
    <row r="120" spans="1:49" ht="75">
      <c r="A120" s="1">
        <v>112930</v>
      </c>
      <c r="B120" t="str">
        <f t="shared" si="16"/>
        <v>1H40ET85717-96</v>
      </c>
      <c r="C120" s="6" t="str">
        <f t="shared" si="17"/>
        <v>REACH NEW HAVEN: ACCELERATING LOCAL ACTION TO TRANSFORM COMMUNITIES FOR HEALTH EQUITY</v>
      </c>
      <c r="D120" s="6" t="str">
        <f t="shared" si="18"/>
        <v>NYC DOHMH BUDGET PERIOD  1 (07/01/2017 -
06/30/2018) HPP-PHEP APPLICATION</v>
      </c>
      <c r="E120">
        <f t="shared" si="19"/>
        <v>32122094</v>
      </c>
      <c r="F120" t="str">
        <f t="shared" si="20"/>
        <v>NIH</v>
      </c>
      <c r="G120" t="str">
        <f t="shared" si="21"/>
        <v>78-8262492</v>
      </c>
      <c r="H120">
        <f t="shared" ca="1" si="22"/>
        <v>797535</v>
      </c>
      <c r="I120" t="str">
        <f t="shared" si="23"/>
        <v>Annual</v>
      </c>
      <c r="N120" s="1">
        <v>208738</v>
      </c>
      <c r="Q120" s="1" t="s">
        <v>1155</v>
      </c>
      <c r="T120" s="54" t="s">
        <v>1934</v>
      </c>
      <c r="U120">
        <v>13622606</v>
      </c>
      <c r="V120" s="10" t="s">
        <v>1154</v>
      </c>
      <c r="W120" s="10" t="s">
        <v>1154</v>
      </c>
      <c r="X120" t="s">
        <v>132</v>
      </c>
      <c r="Y120" s="1" t="s">
        <v>1153</v>
      </c>
      <c r="AA120" s="88">
        <f t="shared" ca="1" si="29"/>
        <v>2061565</v>
      </c>
      <c r="AB120" t="s">
        <v>81</v>
      </c>
      <c r="AI120" s="1">
        <v>112930</v>
      </c>
      <c r="AJ120" s="1" t="s">
        <v>119</v>
      </c>
      <c r="AK120" s="1" t="str">
        <f t="shared" si="24"/>
        <v/>
      </c>
      <c r="AL120" t="b">
        <f t="shared" si="25"/>
        <v>1</v>
      </c>
      <c r="AM120" s="49" t="str">
        <f t="shared" si="26"/>
        <v>Q</v>
      </c>
      <c r="AP120" s="10" t="s">
        <v>327</v>
      </c>
      <c r="AS120" t="s">
        <v>119</v>
      </c>
      <c r="AT120" s="6" t="s">
        <v>327</v>
      </c>
      <c r="AU120" s="6" t="str">
        <f t="shared" si="27"/>
        <v/>
      </c>
      <c r="AV120" s="6" t="s">
        <v>104</v>
      </c>
      <c r="AW120" s="6" t="str">
        <f t="shared" si="28"/>
        <v/>
      </c>
    </row>
    <row r="121" spans="1:49" ht="90">
      <c r="A121" s="1">
        <v>120400</v>
      </c>
      <c r="B121" t="str">
        <f t="shared" si="16"/>
        <v>3S89ES90239-70</v>
      </c>
      <c r="C121" s="6" t="str">
        <f t="shared" si="17"/>
        <v>COMPONENT A (CORE SURVEILLANCE): CONNECTICUT PREGNANCY RISK ASSESSMENT
MONITORING SYSTEM (PRAMS)</v>
      </c>
      <c r="D121" s="6" t="str">
        <f t="shared" si="18"/>
        <v>CDC UNDERGRADUATE  PUBLIC HEALTH SCHOLARS PROGRAM</v>
      </c>
      <c r="E121">
        <f t="shared" si="19"/>
        <v>32122094</v>
      </c>
      <c r="F121" t="str">
        <f t="shared" si="20"/>
        <v>FDA</v>
      </c>
      <c r="G121" t="str">
        <f t="shared" si="21"/>
        <v>78-8262493</v>
      </c>
      <c r="H121">
        <f t="shared" ca="1" si="22"/>
        <v>849857</v>
      </c>
      <c r="I121" t="str">
        <f t="shared" si="23"/>
        <v>Annual</v>
      </c>
      <c r="N121" s="1">
        <v>210120</v>
      </c>
      <c r="Q121" s="1" t="s">
        <v>1164</v>
      </c>
      <c r="T121" s="56" t="s">
        <v>1850</v>
      </c>
      <c r="U121">
        <v>13622606</v>
      </c>
      <c r="V121" s="10" t="s">
        <v>1163</v>
      </c>
      <c r="W121" s="10" t="s">
        <v>1163</v>
      </c>
      <c r="X121" t="s">
        <v>150</v>
      </c>
      <c r="Y121" s="1" t="s">
        <v>1162</v>
      </c>
      <c r="AA121" s="88">
        <f t="shared" ca="1" si="29"/>
        <v>2853979</v>
      </c>
      <c r="AB121" t="s">
        <v>81</v>
      </c>
      <c r="AI121" s="1">
        <v>120400</v>
      </c>
      <c r="AJ121" s="1" t="s">
        <v>119</v>
      </c>
      <c r="AK121" s="1" t="str">
        <f t="shared" si="24"/>
        <v/>
      </c>
      <c r="AL121" t="b">
        <f t="shared" si="25"/>
        <v>1</v>
      </c>
      <c r="AM121" s="49" t="str">
        <f t="shared" si="26"/>
        <v>Q</v>
      </c>
      <c r="AP121" s="10" t="s">
        <v>97</v>
      </c>
      <c r="AS121" t="s">
        <v>119</v>
      </c>
      <c r="AT121" s="6" t="s">
        <v>97</v>
      </c>
      <c r="AU121" s="6" t="str">
        <f t="shared" si="27"/>
        <v/>
      </c>
      <c r="AV121" s="6" t="s">
        <v>96</v>
      </c>
      <c r="AW121" s="6" t="str">
        <f t="shared" si="28"/>
        <v/>
      </c>
    </row>
    <row r="122" spans="1:49" ht="90">
      <c r="A122" s="1">
        <v>120400</v>
      </c>
      <c r="B122" t="str">
        <f t="shared" si="16"/>
        <v>3S89ES90239-70</v>
      </c>
      <c r="C122" s="6" t="str">
        <f t="shared" si="17"/>
        <v>COMPONENT A (CORE SURVEILLANCE): CONNECTICUT PREGNANCY RISK ASSESSMENT
MONITORING SYSTEM (PRAMS)</v>
      </c>
      <c r="D122" s="6" t="str">
        <f t="shared" si="18"/>
        <v>CDC UNDERGRADUATE  PUBLIC HEALTH SCHOLARS PROGRAM</v>
      </c>
      <c r="E122">
        <f t="shared" si="19"/>
        <v>32122094</v>
      </c>
      <c r="F122" t="str">
        <f t="shared" si="20"/>
        <v>FDA</v>
      </c>
      <c r="G122" t="str">
        <f t="shared" si="21"/>
        <v>78-8262493</v>
      </c>
      <c r="H122">
        <f t="shared" ca="1" si="22"/>
        <v>849857</v>
      </c>
      <c r="I122" t="str">
        <f t="shared" si="23"/>
        <v>Annual</v>
      </c>
      <c r="N122" s="1">
        <v>210998</v>
      </c>
      <c r="Q122" s="1" t="s">
        <v>1168</v>
      </c>
      <c r="T122" s="58" t="s">
        <v>1884</v>
      </c>
      <c r="U122">
        <v>19982294</v>
      </c>
      <c r="V122" s="10" t="s">
        <v>1167</v>
      </c>
      <c r="W122" s="10" t="s">
        <v>1167</v>
      </c>
      <c r="X122" t="s">
        <v>86</v>
      </c>
      <c r="Y122" s="1" t="s">
        <v>1166</v>
      </c>
      <c r="AA122" s="88">
        <f t="shared" ca="1" si="29"/>
        <v>2921957</v>
      </c>
      <c r="AB122" t="s">
        <v>81</v>
      </c>
      <c r="AI122" s="1">
        <v>120400</v>
      </c>
      <c r="AJ122" s="1" t="s">
        <v>119</v>
      </c>
      <c r="AK122" s="1" t="str">
        <f t="shared" si="24"/>
        <v/>
      </c>
      <c r="AL122" t="b">
        <f t="shared" si="25"/>
        <v>1</v>
      </c>
      <c r="AM122" s="49" t="str">
        <f t="shared" si="26"/>
        <v>Q</v>
      </c>
      <c r="AP122" s="10" t="s">
        <v>327</v>
      </c>
      <c r="AS122" t="s">
        <v>119</v>
      </c>
      <c r="AT122" s="6" t="s">
        <v>327</v>
      </c>
      <c r="AU122" s="6" t="str">
        <f t="shared" si="27"/>
        <v/>
      </c>
      <c r="AV122" s="6" t="s">
        <v>104</v>
      </c>
      <c r="AW122" s="6" t="str">
        <f t="shared" si="28"/>
        <v/>
      </c>
    </row>
    <row r="123" spans="1:49" ht="90">
      <c r="A123" s="1">
        <v>120400</v>
      </c>
      <c r="B123" t="str">
        <f t="shared" si="16"/>
        <v>3S89ES90239-70</v>
      </c>
      <c r="C123" s="6" t="str">
        <f t="shared" si="17"/>
        <v>COMPONENT A (CORE SURVEILLANCE): CONNECTICUT PREGNANCY RISK ASSESSMENT
MONITORING SYSTEM (PRAMS)</v>
      </c>
      <c r="D123" s="6" t="str">
        <f t="shared" si="18"/>
        <v>CDC UNDERGRADUATE  PUBLIC HEALTH SCHOLARS PROGRAM</v>
      </c>
      <c r="E123">
        <f t="shared" si="19"/>
        <v>32122094</v>
      </c>
      <c r="F123" t="str">
        <f t="shared" si="20"/>
        <v>FDA</v>
      </c>
      <c r="G123" t="str">
        <f t="shared" si="21"/>
        <v>78-8262493</v>
      </c>
      <c r="H123">
        <f t="shared" ca="1" si="22"/>
        <v>849857</v>
      </c>
      <c r="I123" t="str">
        <f t="shared" si="23"/>
        <v>Annual</v>
      </c>
      <c r="N123" s="1">
        <v>211960</v>
      </c>
      <c r="Q123" s="1" t="s">
        <v>1173</v>
      </c>
      <c r="T123" s="53" t="s">
        <v>1857</v>
      </c>
      <c r="U123">
        <v>19982294</v>
      </c>
      <c r="V123" s="10" t="s">
        <v>1172</v>
      </c>
      <c r="W123" s="10" t="s">
        <v>1172</v>
      </c>
      <c r="X123" t="s">
        <v>117</v>
      </c>
      <c r="Y123" s="1" t="s">
        <v>1171</v>
      </c>
      <c r="AA123" s="88">
        <f t="shared" ca="1" si="29"/>
        <v>2636878</v>
      </c>
      <c r="AB123" t="s">
        <v>81</v>
      </c>
      <c r="AI123" s="1">
        <v>120400</v>
      </c>
      <c r="AJ123" s="1" t="s">
        <v>119</v>
      </c>
      <c r="AK123" s="1" t="str">
        <f t="shared" si="24"/>
        <v/>
      </c>
      <c r="AL123" t="b">
        <f t="shared" si="25"/>
        <v>1</v>
      </c>
      <c r="AM123" s="49" t="str">
        <f t="shared" si="26"/>
        <v>Q</v>
      </c>
      <c r="AP123" s="10" t="s">
        <v>113</v>
      </c>
      <c r="AS123" t="s">
        <v>119</v>
      </c>
      <c r="AT123" s="6" t="s">
        <v>113</v>
      </c>
      <c r="AU123" s="6" t="str">
        <f t="shared" si="27"/>
        <v/>
      </c>
      <c r="AV123" s="6" t="s">
        <v>112</v>
      </c>
      <c r="AW123" s="6" t="str">
        <f t="shared" si="28"/>
        <v/>
      </c>
    </row>
    <row r="124" spans="1:49" ht="90">
      <c r="A124" s="1">
        <v>120400</v>
      </c>
      <c r="B124" t="str">
        <f t="shared" si="16"/>
        <v>3S89ES90239-70</v>
      </c>
      <c r="C124" s="6" t="str">
        <f t="shared" si="17"/>
        <v>COMPONENT A (CORE SURVEILLANCE): CONNECTICUT PREGNANCY RISK ASSESSMENT
MONITORING SYSTEM (PRAMS)</v>
      </c>
      <c r="D124" s="6" t="str">
        <f t="shared" si="18"/>
        <v>CDC UNDERGRADUATE  PUBLIC HEALTH SCHOLARS PROGRAM</v>
      </c>
      <c r="E124">
        <f t="shared" si="19"/>
        <v>32122094</v>
      </c>
      <c r="F124" t="str">
        <f t="shared" si="20"/>
        <v>FDA</v>
      </c>
      <c r="G124" t="str">
        <f t="shared" si="21"/>
        <v>78-8262493</v>
      </c>
      <c r="H124">
        <f t="shared" ca="1" si="22"/>
        <v>849857</v>
      </c>
      <c r="I124" t="str">
        <f t="shared" si="23"/>
        <v>Annual</v>
      </c>
      <c r="N124" s="1">
        <v>212050</v>
      </c>
      <c r="Q124" s="1" t="s">
        <v>1179</v>
      </c>
      <c r="T124" s="57" t="s">
        <v>1849</v>
      </c>
      <c r="U124">
        <v>29252479</v>
      </c>
      <c r="V124" s="10" t="s">
        <v>1178</v>
      </c>
      <c r="W124" s="10" t="s">
        <v>1178</v>
      </c>
      <c r="X124" t="s">
        <v>132</v>
      </c>
      <c r="Y124" s="1" t="s">
        <v>1177</v>
      </c>
      <c r="AA124" s="88">
        <f t="shared" ca="1" si="29"/>
        <v>2984860</v>
      </c>
      <c r="AB124" t="s">
        <v>81</v>
      </c>
      <c r="AI124" s="1">
        <v>120400</v>
      </c>
      <c r="AJ124" s="1" t="s">
        <v>119</v>
      </c>
      <c r="AK124" s="1" t="str">
        <f t="shared" si="24"/>
        <v/>
      </c>
      <c r="AL124" t="b">
        <f t="shared" si="25"/>
        <v>1</v>
      </c>
      <c r="AM124" s="49" t="str">
        <f t="shared" si="26"/>
        <v>Q</v>
      </c>
      <c r="AP124" s="10"/>
      <c r="AS124" t="s">
        <v>119</v>
      </c>
      <c r="AT124" s="6" t="s">
        <v>812</v>
      </c>
      <c r="AU124" s="6" t="str">
        <f t="shared" si="27"/>
        <v/>
      </c>
      <c r="AV124" s="6" t="s">
        <v>811</v>
      </c>
      <c r="AW124" s="6" t="str">
        <f t="shared" si="28"/>
        <v/>
      </c>
    </row>
    <row r="125" spans="1:49" ht="90">
      <c r="A125" s="1">
        <v>120400</v>
      </c>
      <c r="B125" t="str">
        <f t="shared" si="16"/>
        <v>3S89ES90239-70</v>
      </c>
      <c r="C125" s="6" t="str">
        <f t="shared" si="17"/>
        <v>COMPONENT A (CORE SURVEILLANCE): CONNECTICUT PREGNANCY RISK ASSESSMENT
MONITORING SYSTEM (PRAMS)</v>
      </c>
      <c r="D125" s="6" t="str">
        <f t="shared" si="18"/>
        <v>CDC UNDERGRADUATE  PUBLIC HEALTH SCHOLARS PROGRAM</v>
      </c>
      <c r="E125">
        <f t="shared" si="19"/>
        <v>32122094</v>
      </c>
      <c r="F125" t="str">
        <f t="shared" si="20"/>
        <v>FDA</v>
      </c>
      <c r="G125" t="str">
        <f t="shared" si="21"/>
        <v>78-8262493</v>
      </c>
      <c r="H125">
        <f t="shared" ca="1" si="22"/>
        <v>849857</v>
      </c>
      <c r="I125" t="str">
        <f t="shared" si="23"/>
        <v>Annual</v>
      </c>
      <c r="N125" s="1">
        <v>212051</v>
      </c>
      <c r="Q125" s="1" t="s">
        <v>1185</v>
      </c>
      <c r="T125" s="56" t="s">
        <v>1850</v>
      </c>
      <c r="U125">
        <v>29252479</v>
      </c>
      <c r="V125" s="10" t="s">
        <v>1184</v>
      </c>
      <c r="W125" s="10" t="s">
        <v>1184</v>
      </c>
      <c r="X125" t="s">
        <v>150</v>
      </c>
      <c r="Y125" s="1" t="s">
        <v>1183</v>
      </c>
      <c r="AA125" s="88">
        <f t="shared" ca="1" si="29"/>
        <v>2073794</v>
      </c>
      <c r="AB125" t="s">
        <v>81</v>
      </c>
      <c r="AI125" s="1">
        <v>120400</v>
      </c>
      <c r="AJ125" s="1" t="s">
        <v>119</v>
      </c>
      <c r="AK125" s="1" t="str">
        <f t="shared" si="24"/>
        <v/>
      </c>
      <c r="AL125" t="b">
        <f t="shared" si="25"/>
        <v>1</v>
      </c>
      <c r="AM125" s="49" t="str">
        <f t="shared" si="26"/>
        <v>Q</v>
      </c>
      <c r="AP125" s="10"/>
      <c r="AS125" t="s">
        <v>119</v>
      </c>
      <c r="AT125" s="6" t="s">
        <v>812</v>
      </c>
      <c r="AU125" s="6" t="str">
        <f t="shared" si="27"/>
        <v/>
      </c>
      <c r="AV125" s="6" t="s">
        <v>811</v>
      </c>
      <c r="AW125" s="6" t="str">
        <f t="shared" si="28"/>
        <v/>
      </c>
    </row>
    <row r="126" spans="1:49" ht="90">
      <c r="A126" s="1">
        <v>121044</v>
      </c>
      <c r="B126" t="str">
        <f t="shared" si="16"/>
        <v>9R87AR86979-86</v>
      </c>
      <c r="C126" s="6" t="str">
        <f t="shared" si="17"/>
        <v>CONNECTICUT MATERNAL MORTALITY REVIEW PROGRAM TO REDUCE CONNECTICUT MATERNAL
DEATHS</v>
      </c>
      <c r="D126" s="6" t="str">
        <f t="shared" si="18"/>
        <v>NEW YORK CITY DEPARTMENT  OF HEALTH AND MENTAL HYGIENE</v>
      </c>
      <c r="E126">
        <f t="shared" si="19"/>
        <v>32122094</v>
      </c>
      <c r="F126" t="str">
        <f t="shared" si="20"/>
        <v>ACF</v>
      </c>
      <c r="G126" t="str">
        <f t="shared" si="21"/>
        <v>78-8262494</v>
      </c>
      <c r="H126">
        <f t="shared" ca="1" si="22"/>
        <v>847995</v>
      </c>
      <c r="I126" t="str">
        <f t="shared" si="23"/>
        <v>Annual</v>
      </c>
      <c r="N126" s="1">
        <v>212053</v>
      </c>
      <c r="Q126" s="1" t="s">
        <v>1191</v>
      </c>
      <c r="T126" s="56" t="s">
        <v>1935</v>
      </c>
      <c r="U126">
        <v>29068479</v>
      </c>
      <c r="V126" s="10" t="s">
        <v>1190</v>
      </c>
      <c r="W126" s="10" t="s">
        <v>1190</v>
      </c>
      <c r="X126" t="s">
        <v>86</v>
      </c>
      <c r="Y126" s="1" t="s">
        <v>1189</v>
      </c>
      <c r="AA126" s="88">
        <f t="shared" ca="1" si="29"/>
        <v>2830120</v>
      </c>
      <c r="AB126" t="s">
        <v>81</v>
      </c>
      <c r="AI126" s="1">
        <v>121044</v>
      </c>
      <c r="AJ126" s="1" t="s">
        <v>119</v>
      </c>
      <c r="AK126" s="1" t="str">
        <f t="shared" si="24"/>
        <v/>
      </c>
      <c r="AL126" t="b">
        <f t="shared" si="25"/>
        <v>1</v>
      </c>
      <c r="AM126" s="49" t="str">
        <f t="shared" si="26"/>
        <v>Q</v>
      </c>
      <c r="AP126" s="10" t="s">
        <v>97</v>
      </c>
      <c r="AS126" t="s">
        <v>119</v>
      </c>
      <c r="AT126" s="6" t="s">
        <v>97</v>
      </c>
      <c r="AU126" s="6" t="str">
        <f t="shared" si="27"/>
        <v/>
      </c>
      <c r="AV126" s="6" t="s">
        <v>96</v>
      </c>
      <c r="AW126" s="6" t="str">
        <f t="shared" si="28"/>
        <v/>
      </c>
    </row>
    <row r="127" spans="1:49" ht="75">
      <c r="A127" s="1">
        <v>121044</v>
      </c>
      <c r="B127" t="str">
        <f t="shared" si="16"/>
        <v>9R87AR86979-86</v>
      </c>
      <c r="C127" s="6" t="str">
        <f t="shared" si="17"/>
        <v>CONNECTICUT MATERNAL MORTALITY REVIEW PROGRAM TO REDUCE CONNECTICUT MATERNAL
DEATHS</v>
      </c>
      <c r="D127" s="6" t="str">
        <f t="shared" si="18"/>
        <v>NEW YORK CITY DEPARTMENT  OF HEALTH AND MENTAL HYGIENE</v>
      </c>
      <c r="E127">
        <f t="shared" si="19"/>
        <v>32122094</v>
      </c>
      <c r="F127" t="str">
        <f t="shared" si="20"/>
        <v>ACF</v>
      </c>
      <c r="G127" t="str">
        <f t="shared" si="21"/>
        <v>78-8262494</v>
      </c>
      <c r="H127">
        <f t="shared" ca="1" si="22"/>
        <v>847995</v>
      </c>
      <c r="I127" t="str">
        <f t="shared" si="23"/>
        <v>Annual</v>
      </c>
      <c r="N127" s="1">
        <v>212054</v>
      </c>
      <c r="Q127" s="1" t="s">
        <v>1198</v>
      </c>
      <c r="T127" s="56" t="s">
        <v>1936</v>
      </c>
      <c r="U127">
        <v>29068479</v>
      </c>
      <c r="V127" s="10" t="s">
        <v>1197</v>
      </c>
      <c r="W127" s="10" t="s">
        <v>1197</v>
      </c>
      <c r="X127" t="s">
        <v>117</v>
      </c>
      <c r="Y127" s="1" t="s">
        <v>1196</v>
      </c>
      <c r="AA127" s="88">
        <f t="shared" ca="1" si="29"/>
        <v>2874993</v>
      </c>
      <c r="AB127" t="s">
        <v>81</v>
      </c>
      <c r="AI127" s="1">
        <v>121044</v>
      </c>
      <c r="AJ127" s="1" t="s">
        <v>119</v>
      </c>
      <c r="AK127" s="1" t="str">
        <f t="shared" si="24"/>
        <v/>
      </c>
      <c r="AL127" t="b">
        <f t="shared" si="25"/>
        <v>1</v>
      </c>
      <c r="AM127" s="49" t="str">
        <f t="shared" si="26"/>
        <v>Q</v>
      </c>
      <c r="AP127" s="10" t="s">
        <v>327</v>
      </c>
      <c r="AS127" t="s">
        <v>119</v>
      </c>
      <c r="AT127" s="6" t="s">
        <v>327</v>
      </c>
      <c r="AU127" s="6" t="str">
        <f t="shared" si="27"/>
        <v/>
      </c>
      <c r="AV127" s="6" t="s">
        <v>104</v>
      </c>
      <c r="AW127" s="6" t="str">
        <f t="shared" si="28"/>
        <v/>
      </c>
    </row>
    <row r="128" spans="1:49" ht="75">
      <c r="A128" s="1">
        <v>121044</v>
      </c>
      <c r="B128" t="str">
        <f t="shared" si="16"/>
        <v>9R87AR86979-86</v>
      </c>
      <c r="C128" s="6" t="str">
        <f t="shared" si="17"/>
        <v>CONNECTICUT MATERNAL MORTALITY REVIEW PROGRAM TO REDUCE CONNECTICUT MATERNAL
DEATHS</v>
      </c>
      <c r="D128" s="6" t="str">
        <f t="shared" si="18"/>
        <v>NEW YORK CITY DEPARTMENT  OF HEALTH AND MENTAL HYGIENE</v>
      </c>
      <c r="E128">
        <f t="shared" si="19"/>
        <v>32122094</v>
      </c>
      <c r="F128" t="str">
        <f t="shared" si="20"/>
        <v>ACF</v>
      </c>
      <c r="G128" t="str">
        <f t="shared" si="21"/>
        <v>78-8262494</v>
      </c>
      <c r="H128">
        <f t="shared" ca="1" si="22"/>
        <v>847995</v>
      </c>
      <c r="I128" t="str">
        <f t="shared" si="23"/>
        <v>Annual</v>
      </c>
      <c r="N128" s="1">
        <v>213158</v>
      </c>
      <c r="Q128" s="1" t="s">
        <v>1205</v>
      </c>
      <c r="T128" s="57" t="s">
        <v>1849</v>
      </c>
      <c r="U128">
        <v>27563204</v>
      </c>
      <c r="V128" s="10" t="s">
        <v>1204</v>
      </c>
      <c r="W128" s="10" t="s">
        <v>1204</v>
      </c>
      <c r="X128" t="s">
        <v>132</v>
      </c>
      <c r="Y128" s="1" t="s">
        <v>1203</v>
      </c>
      <c r="AA128" s="88">
        <f t="shared" ca="1" si="29"/>
        <v>2342557</v>
      </c>
      <c r="AB128" t="s">
        <v>81</v>
      </c>
      <c r="AI128" s="1">
        <v>121044</v>
      </c>
      <c r="AJ128" s="1" t="s">
        <v>119</v>
      </c>
      <c r="AK128" s="1" t="str">
        <f t="shared" si="24"/>
        <v/>
      </c>
      <c r="AL128" t="b">
        <f t="shared" si="25"/>
        <v>1</v>
      </c>
      <c r="AM128" s="49" t="str">
        <f t="shared" si="26"/>
        <v>Q</v>
      </c>
      <c r="AP128" s="10"/>
      <c r="AS128" t="s">
        <v>119</v>
      </c>
      <c r="AT128" s="6" t="s">
        <v>812</v>
      </c>
      <c r="AU128" s="6" t="str">
        <f t="shared" si="27"/>
        <v/>
      </c>
      <c r="AV128" s="6" t="s">
        <v>811</v>
      </c>
      <c r="AW128" s="6" t="str">
        <f t="shared" si="28"/>
        <v/>
      </c>
    </row>
    <row r="129" spans="1:49" ht="75">
      <c r="A129" s="1">
        <v>121044</v>
      </c>
      <c r="B129" t="str">
        <f t="shared" si="16"/>
        <v>9R87AR86979-86</v>
      </c>
      <c r="C129" s="6" t="str">
        <f t="shared" si="17"/>
        <v>CONNECTICUT MATERNAL MORTALITY REVIEW PROGRAM TO REDUCE CONNECTICUT MATERNAL
DEATHS</v>
      </c>
      <c r="D129" s="6" t="str">
        <f t="shared" si="18"/>
        <v>NEW YORK CITY DEPARTMENT  OF HEALTH AND MENTAL HYGIENE</v>
      </c>
      <c r="E129">
        <f t="shared" si="19"/>
        <v>32122094</v>
      </c>
      <c r="F129" t="str">
        <f t="shared" si="20"/>
        <v>ACF</v>
      </c>
      <c r="G129" t="str">
        <f t="shared" si="21"/>
        <v>78-8262494</v>
      </c>
      <c r="H129">
        <f t="shared" ca="1" si="22"/>
        <v>847995</v>
      </c>
      <c r="I129" t="str">
        <f t="shared" si="23"/>
        <v>Annual</v>
      </c>
      <c r="N129" s="1">
        <v>213214</v>
      </c>
      <c r="Q129" s="1" t="s">
        <v>1210</v>
      </c>
      <c r="T129" s="52" t="s">
        <v>1937</v>
      </c>
      <c r="U129">
        <v>27563204</v>
      </c>
      <c r="V129" s="10" t="s">
        <v>1209</v>
      </c>
      <c r="W129" s="10" t="s">
        <v>1209</v>
      </c>
      <c r="X129" t="s">
        <v>150</v>
      </c>
      <c r="Y129" s="1" t="s">
        <v>1208</v>
      </c>
      <c r="AA129" s="88">
        <f t="shared" ca="1" si="29"/>
        <v>2073712</v>
      </c>
      <c r="AB129" t="s">
        <v>81</v>
      </c>
      <c r="AI129" s="1">
        <v>121044</v>
      </c>
      <c r="AJ129" s="1" t="s">
        <v>119</v>
      </c>
      <c r="AK129" s="1" t="str">
        <f t="shared" si="24"/>
        <v/>
      </c>
      <c r="AL129" t="b">
        <f t="shared" si="25"/>
        <v>1</v>
      </c>
      <c r="AM129" s="49" t="str">
        <f t="shared" si="26"/>
        <v>Q</v>
      </c>
      <c r="AP129" s="10" t="s">
        <v>113</v>
      </c>
      <c r="AS129" t="s">
        <v>119</v>
      </c>
      <c r="AT129" s="6" t="s">
        <v>113</v>
      </c>
      <c r="AU129" s="6" t="str">
        <f t="shared" si="27"/>
        <v/>
      </c>
      <c r="AV129" s="6" t="s">
        <v>112</v>
      </c>
      <c r="AW129" s="6" t="str">
        <f t="shared" si="28"/>
        <v/>
      </c>
    </row>
    <row r="130" spans="1:49" ht="75">
      <c r="A130" s="1">
        <v>121044</v>
      </c>
      <c r="B130" t="str">
        <f t="shared" si="16"/>
        <v>9R87AR86979-86</v>
      </c>
      <c r="C130" s="6" t="str">
        <f t="shared" si="17"/>
        <v>CONNECTICUT MATERNAL MORTALITY REVIEW PROGRAM TO REDUCE CONNECTICUT MATERNAL
DEATHS</v>
      </c>
      <c r="D130" s="6" t="str">
        <f t="shared" si="18"/>
        <v>NEW YORK CITY DEPARTMENT  OF HEALTH AND MENTAL HYGIENE</v>
      </c>
      <c r="E130">
        <f t="shared" si="19"/>
        <v>32122094</v>
      </c>
      <c r="F130" t="str">
        <f t="shared" si="20"/>
        <v>ACF</v>
      </c>
      <c r="G130" t="str">
        <f t="shared" si="21"/>
        <v>78-8262494</v>
      </c>
      <c r="H130">
        <f t="shared" ca="1" si="22"/>
        <v>847995</v>
      </c>
      <c r="I130" t="str">
        <f t="shared" si="23"/>
        <v>Annual</v>
      </c>
      <c r="N130" s="1">
        <v>213715</v>
      </c>
      <c r="Q130" s="1" t="s">
        <v>1215</v>
      </c>
      <c r="T130" s="56" t="s">
        <v>1850</v>
      </c>
      <c r="U130">
        <v>2134389</v>
      </c>
      <c r="V130" s="10" t="s">
        <v>1214</v>
      </c>
      <c r="W130" s="10" t="s">
        <v>1214</v>
      </c>
      <c r="X130" t="s">
        <v>86</v>
      </c>
      <c r="Y130" s="1" t="s">
        <v>1213</v>
      </c>
      <c r="AA130" s="88">
        <f t="shared" ca="1" si="29"/>
        <v>2660721</v>
      </c>
      <c r="AB130" t="s">
        <v>81</v>
      </c>
      <c r="AI130" s="1">
        <v>121044</v>
      </c>
      <c r="AJ130" s="1" t="s">
        <v>119</v>
      </c>
      <c r="AK130" s="1" t="str">
        <f t="shared" si="24"/>
        <v/>
      </c>
      <c r="AL130" t="b">
        <f t="shared" si="25"/>
        <v>1</v>
      </c>
      <c r="AM130" s="49" t="str">
        <f t="shared" si="26"/>
        <v>Q</v>
      </c>
      <c r="AP130" s="10"/>
      <c r="AS130" t="s">
        <v>119</v>
      </c>
      <c r="AT130" s="6" t="s">
        <v>812</v>
      </c>
      <c r="AU130" s="6" t="str">
        <f t="shared" si="27"/>
        <v/>
      </c>
      <c r="AV130" s="6" t="s">
        <v>811</v>
      </c>
      <c r="AW130" s="6" t="str">
        <f t="shared" si="28"/>
        <v/>
      </c>
    </row>
    <row r="131" spans="1:49" ht="90">
      <c r="A131" s="1">
        <v>125403</v>
      </c>
      <c r="B131" t="str">
        <f t="shared" ref="B131:B194" si="30">VLOOKUP(A131,$N$2:$Q$206,4,FALSE)</f>
        <v>9H33HT86977-61</v>
      </c>
      <c r="C131" s="6" t="str">
        <f t="shared" ref="C131:C194" si="31">VLOOKUP(A131,$N$2:$T$206,7,FALSE)</f>
        <v>CONNECTICUT QUITLINE INFRASTRUCTURE EXPANSION</v>
      </c>
      <c r="D131" s="6" t="str">
        <f t="shared" ref="D131:D194" si="32">VLOOKUP(A131,$N$2:$W$206,10,FALSE)</f>
        <v>BARNARD COLLEGE</v>
      </c>
      <c r="E131">
        <f t="shared" ref="E131:E194" si="33">VLOOKUP(A131,$N$2:$U$206,8,FALSE)</f>
        <v>15251087</v>
      </c>
      <c r="F131" t="str">
        <f t="shared" ref="F131:F194" si="34">VLOOKUP(A131,$N$2:$X$206,11,FALSE)</f>
        <v>CDC</v>
      </c>
      <c r="G131" t="str">
        <f t="shared" ref="G131:G194" si="35">VLOOKUP(A131,$N$2:$Y$206,12,FALSE)</f>
        <v>23-7573565</v>
      </c>
      <c r="H131">
        <f t="shared" ref="H131:H194" ca="1" si="36">VLOOKUP(A131,$N$2:$AA$206,14,FALSE)</f>
        <v>991617</v>
      </c>
      <c r="I131" t="str">
        <f t="shared" ref="I131:I194" si="37">VLOOKUP(A131,$N$2:$AB$206,15,FALSE)</f>
        <v>Annual</v>
      </c>
      <c r="N131" s="1">
        <v>213892</v>
      </c>
      <c r="Q131" s="1" t="s">
        <v>1221</v>
      </c>
      <c r="T131" s="55" t="s">
        <v>1938</v>
      </c>
      <c r="U131">
        <v>2134389</v>
      </c>
      <c r="V131" s="10" t="s">
        <v>1220</v>
      </c>
      <c r="W131" s="10" t="s">
        <v>1220</v>
      </c>
      <c r="X131" t="s">
        <v>117</v>
      </c>
      <c r="Y131" s="1" t="s">
        <v>1219</v>
      </c>
      <c r="AA131" s="88">
        <f t="shared" ca="1" si="29"/>
        <v>2538159</v>
      </c>
      <c r="AB131" t="s">
        <v>81</v>
      </c>
      <c r="AI131" s="1">
        <v>125403</v>
      </c>
      <c r="AJ131" s="1" t="s">
        <v>119</v>
      </c>
      <c r="AK131" s="1" t="str">
        <f t="shared" ref="AK131:AK194" si="38">IF(ISNUMBER(SEARCH("C",AJ131)),"Y","")</f>
        <v/>
      </c>
      <c r="AL131" t="b">
        <f t="shared" ref="AL131:AL194" si="39">OR(LEN(AJ131)=0, ISBLANK(AJ131))</f>
        <v>1</v>
      </c>
      <c r="AM131" s="49" t="str">
        <f t="shared" ref="AM131:AM194" si="40">IF(ISNUMBER(SEARCH("C",AJ131)),"A",IF(ISNUMBER(SEARCH("B",AJ131)),"Q",IF(ISNUMBER(SEARCH("FALSE",AL131)),"Q","Q")))</f>
        <v>Q</v>
      </c>
      <c r="AP131" s="10" t="s">
        <v>97</v>
      </c>
      <c r="AS131" t="s">
        <v>119</v>
      </c>
      <c r="AT131" s="6" t="s">
        <v>97</v>
      </c>
      <c r="AU131" s="6" t="str">
        <f t="shared" ref="AU131:AU194" si="41">IF(LEN(AS131)&gt;0, AT131,"")</f>
        <v/>
      </c>
      <c r="AV131" s="6" t="s">
        <v>96</v>
      </c>
      <c r="AW131" s="6" t="str">
        <f t="shared" ref="AW131:AW194" si="42">IF(LEN(AS131)&gt;0, AV131,"")</f>
        <v/>
      </c>
    </row>
    <row r="132" spans="1:49" ht="75">
      <c r="A132" s="1">
        <v>125403</v>
      </c>
      <c r="B132" t="str">
        <f t="shared" si="30"/>
        <v>9H33HT86977-61</v>
      </c>
      <c r="C132" s="6" t="str">
        <f t="shared" si="31"/>
        <v>CONNECTICUT QUITLINE INFRASTRUCTURE EXPANSION</v>
      </c>
      <c r="D132" s="6" t="str">
        <f t="shared" si="32"/>
        <v>BARNARD COLLEGE</v>
      </c>
      <c r="E132">
        <f t="shared" si="33"/>
        <v>15251087</v>
      </c>
      <c r="F132" t="str">
        <f t="shared" si="34"/>
        <v>CDC</v>
      </c>
      <c r="G132" t="str">
        <f t="shared" si="35"/>
        <v>23-7573565</v>
      </c>
      <c r="H132">
        <f t="shared" ca="1" si="36"/>
        <v>991617</v>
      </c>
      <c r="I132" t="str">
        <f t="shared" si="37"/>
        <v>Annual</v>
      </c>
      <c r="N132" s="1">
        <v>213919</v>
      </c>
      <c r="Q132" s="1" t="s">
        <v>1226</v>
      </c>
      <c r="T132" s="56" t="s">
        <v>1936</v>
      </c>
      <c r="U132">
        <v>2134389</v>
      </c>
      <c r="V132" s="10" t="s">
        <v>1225</v>
      </c>
      <c r="W132" s="10" t="s">
        <v>1225</v>
      </c>
      <c r="X132" t="s">
        <v>132</v>
      </c>
      <c r="Y132" s="1" t="s">
        <v>1224</v>
      </c>
      <c r="AA132" s="88">
        <f t="shared" ca="1" si="29"/>
        <v>2471679</v>
      </c>
      <c r="AB132" t="s">
        <v>81</v>
      </c>
      <c r="AI132" s="1">
        <v>125403</v>
      </c>
      <c r="AJ132" s="1" t="s">
        <v>119</v>
      </c>
      <c r="AK132" s="1" t="str">
        <f t="shared" si="38"/>
        <v/>
      </c>
      <c r="AL132" t="b">
        <f t="shared" si="39"/>
        <v>1</v>
      </c>
      <c r="AM132" s="49" t="str">
        <f t="shared" si="40"/>
        <v>Q</v>
      </c>
      <c r="AP132" s="10" t="s">
        <v>327</v>
      </c>
      <c r="AS132" t="s">
        <v>119</v>
      </c>
      <c r="AT132" s="6" t="s">
        <v>327</v>
      </c>
      <c r="AU132" s="6" t="str">
        <f t="shared" si="41"/>
        <v/>
      </c>
      <c r="AV132" s="6" t="s">
        <v>104</v>
      </c>
      <c r="AW132" s="6" t="str">
        <f t="shared" si="42"/>
        <v/>
      </c>
    </row>
    <row r="133" spans="1:49" ht="60">
      <c r="A133" s="1">
        <v>125403</v>
      </c>
      <c r="B133" t="str">
        <f t="shared" si="30"/>
        <v>9H33HT86977-61</v>
      </c>
      <c r="C133" s="6" t="str">
        <f t="shared" si="31"/>
        <v>CONNECTICUT QUITLINE INFRASTRUCTURE EXPANSION</v>
      </c>
      <c r="D133" s="6" t="str">
        <f t="shared" si="32"/>
        <v>BARNARD COLLEGE</v>
      </c>
      <c r="E133">
        <f t="shared" si="33"/>
        <v>15251087</v>
      </c>
      <c r="F133" t="str">
        <f t="shared" si="34"/>
        <v>CDC</v>
      </c>
      <c r="G133" t="str">
        <f t="shared" si="35"/>
        <v>23-7573565</v>
      </c>
      <c r="H133">
        <f t="shared" ca="1" si="36"/>
        <v>991617</v>
      </c>
      <c r="I133" t="str">
        <f t="shared" si="37"/>
        <v>Annual</v>
      </c>
      <c r="N133" s="1">
        <v>214317</v>
      </c>
      <c r="Q133" s="1" t="s">
        <v>1230</v>
      </c>
      <c r="T133" s="57" t="s">
        <v>1849</v>
      </c>
      <c r="U133">
        <v>37698842</v>
      </c>
      <c r="V133" s="10" t="s">
        <v>1229</v>
      </c>
      <c r="W133" s="10" t="s">
        <v>1229</v>
      </c>
      <c r="X133" t="s">
        <v>150</v>
      </c>
      <c r="Y133" s="1" t="s">
        <v>1228</v>
      </c>
      <c r="AA133" s="88">
        <f t="shared" ca="1" si="29"/>
        <v>2777516</v>
      </c>
      <c r="AB133" t="s">
        <v>81</v>
      </c>
      <c r="AI133" s="1">
        <v>125403</v>
      </c>
      <c r="AJ133" s="1" t="s">
        <v>119</v>
      </c>
      <c r="AK133" s="1" t="str">
        <f t="shared" si="38"/>
        <v/>
      </c>
      <c r="AL133" t="b">
        <f t="shared" si="39"/>
        <v>1</v>
      </c>
      <c r="AM133" s="49" t="str">
        <f t="shared" si="40"/>
        <v>Q</v>
      </c>
      <c r="AP133" s="10" t="s">
        <v>113</v>
      </c>
      <c r="AS133" t="s">
        <v>119</v>
      </c>
      <c r="AT133" s="6" t="s">
        <v>113</v>
      </c>
      <c r="AU133" s="6" t="str">
        <f t="shared" si="41"/>
        <v/>
      </c>
      <c r="AV133" s="6" t="s">
        <v>112</v>
      </c>
      <c r="AW133" s="6" t="str">
        <f t="shared" si="42"/>
        <v/>
      </c>
    </row>
    <row r="134" spans="1:49" ht="90">
      <c r="A134" s="1">
        <v>125970</v>
      </c>
      <c r="B134" t="str">
        <f t="shared" si="30"/>
        <v>5S15DS86867-75</v>
      </c>
      <c r="C134" s="6" t="str">
        <f t="shared" si="31"/>
        <v>TOBACCO CONTROL PROGRAM</v>
      </c>
      <c r="D134" s="6" t="str">
        <f t="shared" si="32"/>
        <v>BARRON ASSOCIATES, INC.</v>
      </c>
      <c r="E134">
        <f t="shared" si="33"/>
        <v>15251087</v>
      </c>
      <c r="F134" t="str">
        <f t="shared" si="34"/>
        <v>NIH</v>
      </c>
      <c r="G134" t="str">
        <f t="shared" si="35"/>
        <v>23-7573566</v>
      </c>
      <c r="H134">
        <f t="shared" ca="1" si="36"/>
        <v>823112</v>
      </c>
      <c r="I134" t="str">
        <f t="shared" si="37"/>
        <v>Annual</v>
      </c>
      <c r="N134" s="1">
        <v>214715</v>
      </c>
      <c r="Q134" s="1" t="s">
        <v>1235</v>
      </c>
      <c r="T134" s="56" t="s">
        <v>1939</v>
      </c>
      <c r="U134">
        <v>37698842</v>
      </c>
      <c r="V134" s="10" t="s">
        <v>1234</v>
      </c>
      <c r="W134" s="10" t="s">
        <v>1234</v>
      </c>
      <c r="X134" t="s">
        <v>86</v>
      </c>
      <c r="Y134" s="1" t="s">
        <v>1233</v>
      </c>
      <c r="AA134" s="88">
        <f t="shared" ca="1" si="29"/>
        <v>2626990</v>
      </c>
      <c r="AB134" t="s">
        <v>81</v>
      </c>
      <c r="AI134" s="1">
        <v>125970</v>
      </c>
      <c r="AJ134" s="1" t="s">
        <v>119</v>
      </c>
      <c r="AK134" s="1" t="str">
        <f t="shared" si="38"/>
        <v/>
      </c>
      <c r="AL134" t="b">
        <f t="shared" si="39"/>
        <v>1</v>
      </c>
      <c r="AM134" s="49" t="str">
        <f t="shared" si="40"/>
        <v>Q</v>
      </c>
      <c r="AP134" s="10" t="s">
        <v>97</v>
      </c>
      <c r="AS134" t="s">
        <v>119</v>
      </c>
      <c r="AT134" s="6" t="s">
        <v>97</v>
      </c>
      <c r="AU134" s="6" t="str">
        <f t="shared" si="41"/>
        <v/>
      </c>
      <c r="AV134" s="6" t="s">
        <v>96</v>
      </c>
      <c r="AW134" s="6" t="str">
        <f t="shared" si="42"/>
        <v/>
      </c>
    </row>
    <row r="135" spans="1:49" ht="75">
      <c r="A135" s="1">
        <v>125970</v>
      </c>
      <c r="B135" t="str">
        <f t="shared" si="30"/>
        <v>5S15DS86867-75</v>
      </c>
      <c r="C135" s="6" t="str">
        <f t="shared" si="31"/>
        <v>TOBACCO CONTROL PROGRAM</v>
      </c>
      <c r="D135" s="6" t="str">
        <f t="shared" si="32"/>
        <v>BARRON ASSOCIATES, INC.</v>
      </c>
      <c r="E135">
        <f t="shared" si="33"/>
        <v>15251087</v>
      </c>
      <c r="F135" t="str">
        <f t="shared" si="34"/>
        <v>NIH</v>
      </c>
      <c r="G135" t="str">
        <f t="shared" si="35"/>
        <v>23-7573566</v>
      </c>
      <c r="H135">
        <f t="shared" ca="1" si="36"/>
        <v>823112</v>
      </c>
      <c r="I135" t="str">
        <f t="shared" si="37"/>
        <v>Annual</v>
      </c>
      <c r="N135" s="1">
        <v>215111</v>
      </c>
      <c r="Q135" s="1" t="s">
        <v>1240</v>
      </c>
      <c r="T135" s="52" t="s">
        <v>1937</v>
      </c>
      <c r="U135">
        <v>37698842</v>
      </c>
      <c r="V135" s="10" t="s">
        <v>1239</v>
      </c>
      <c r="W135" s="10" t="s">
        <v>1239</v>
      </c>
      <c r="X135" t="s">
        <v>117</v>
      </c>
      <c r="Y135" s="1" t="s">
        <v>1238</v>
      </c>
      <c r="AA135" s="88">
        <f t="shared" ca="1" si="29"/>
        <v>2039209</v>
      </c>
      <c r="AB135" t="s">
        <v>81</v>
      </c>
      <c r="AI135" s="1">
        <v>125970</v>
      </c>
      <c r="AJ135" s="1" t="s">
        <v>119</v>
      </c>
      <c r="AK135" s="1" t="str">
        <f t="shared" si="38"/>
        <v/>
      </c>
      <c r="AL135" t="b">
        <f t="shared" si="39"/>
        <v>1</v>
      </c>
      <c r="AM135" s="49" t="str">
        <f t="shared" si="40"/>
        <v>Q</v>
      </c>
      <c r="AP135" s="10" t="s">
        <v>327</v>
      </c>
      <c r="AS135" t="s">
        <v>119</v>
      </c>
      <c r="AT135" s="6" t="s">
        <v>327</v>
      </c>
      <c r="AU135" s="6" t="str">
        <f t="shared" si="41"/>
        <v/>
      </c>
      <c r="AV135" s="6" t="s">
        <v>104</v>
      </c>
      <c r="AW135" s="6" t="str">
        <f t="shared" si="42"/>
        <v/>
      </c>
    </row>
    <row r="136" spans="1:49" ht="60">
      <c r="A136" s="1">
        <v>125970</v>
      </c>
      <c r="B136" t="str">
        <f t="shared" si="30"/>
        <v>5S15DS86867-75</v>
      </c>
      <c r="C136" s="6" t="str">
        <f t="shared" si="31"/>
        <v>TOBACCO CONTROL PROGRAM</v>
      </c>
      <c r="D136" s="6" t="str">
        <f t="shared" si="32"/>
        <v>BARRON ASSOCIATES, INC.</v>
      </c>
      <c r="E136">
        <f t="shared" si="33"/>
        <v>15251087</v>
      </c>
      <c r="F136" t="str">
        <f t="shared" si="34"/>
        <v>NIH</v>
      </c>
      <c r="G136" t="str">
        <f t="shared" si="35"/>
        <v>23-7573566</v>
      </c>
      <c r="H136">
        <f t="shared" ca="1" si="36"/>
        <v>823112</v>
      </c>
      <c r="I136" t="str">
        <f t="shared" si="37"/>
        <v>Annual</v>
      </c>
      <c r="N136" s="1">
        <v>216140</v>
      </c>
      <c r="Q136" s="1" t="s">
        <v>1245</v>
      </c>
      <c r="T136" s="56" t="s">
        <v>1850</v>
      </c>
      <c r="U136">
        <v>6384017</v>
      </c>
      <c r="V136" s="10" t="s">
        <v>1244</v>
      </c>
      <c r="W136" s="10" t="s">
        <v>1244</v>
      </c>
      <c r="X136" t="s">
        <v>132</v>
      </c>
      <c r="Y136" s="1" t="s">
        <v>1243</v>
      </c>
      <c r="AA136" s="88">
        <f t="shared" ref="AA136:AA190" ca="1" si="43">RANDBETWEEN(2000000,3000000)</f>
        <v>2377827</v>
      </c>
      <c r="AB136" t="s">
        <v>81</v>
      </c>
      <c r="AI136" s="1">
        <v>125970</v>
      </c>
      <c r="AJ136" s="1" t="s">
        <v>119</v>
      </c>
      <c r="AK136" s="1" t="str">
        <f t="shared" si="38"/>
        <v/>
      </c>
      <c r="AL136" t="b">
        <f t="shared" si="39"/>
        <v>1</v>
      </c>
      <c r="AM136" s="49" t="str">
        <f t="shared" si="40"/>
        <v>Q</v>
      </c>
      <c r="AP136" s="10" t="s">
        <v>113</v>
      </c>
      <c r="AS136" t="s">
        <v>119</v>
      </c>
      <c r="AT136" s="6" t="s">
        <v>113</v>
      </c>
      <c r="AU136" s="6" t="str">
        <f t="shared" si="41"/>
        <v/>
      </c>
      <c r="AV136" s="6" t="s">
        <v>112</v>
      </c>
      <c r="AW136" s="6" t="str">
        <f t="shared" si="42"/>
        <v/>
      </c>
    </row>
    <row r="137" spans="1:49" ht="165">
      <c r="A137" s="1">
        <v>126069</v>
      </c>
      <c r="B137" t="str">
        <f t="shared" si="30"/>
        <v>7R47IR86869-67</v>
      </c>
      <c r="C137" s="6" t="str">
        <f t="shared" si="31"/>
        <v>STATE OF CONNECTICUT DEPARTMENT OF PUBLIC HEALTH EPIDEMIOLOGY AND LABORATORY CAPACITY FOR PREVENTION AND
CONTROL OF EMERGING INFECTIOUS DISEASES</v>
      </c>
      <c r="D137" s="6" t="str">
        <f t="shared" si="32"/>
        <v>BARUCH S. BLUMBERG INSTITUTE</v>
      </c>
      <c r="E137">
        <f t="shared" si="33"/>
        <v>15251087</v>
      </c>
      <c r="F137" t="str">
        <f t="shared" si="34"/>
        <v>FDA</v>
      </c>
      <c r="G137" t="str">
        <f t="shared" si="35"/>
        <v>23-7573567</v>
      </c>
      <c r="H137">
        <f t="shared" ca="1" si="36"/>
        <v>796092</v>
      </c>
      <c r="I137" t="str">
        <f t="shared" si="37"/>
        <v>Annual</v>
      </c>
      <c r="N137" s="1">
        <v>216274</v>
      </c>
      <c r="Q137" s="1" t="s">
        <v>1254</v>
      </c>
      <c r="T137" s="57" t="s">
        <v>1849</v>
      </c>
      <c r="U137">
        <v>6384017</v>
      </c>
      <c r="V137" s="10" t="s">
        <v>1253</v>
      </c>
      <c r="W137" s="10" t="s">
        <v>1253</v>
      </c>
      <c r="X137" t="s">
        <v>150</v>
      </c>
      <c r="Y137" s="1" t="s">
        <v>1252</v>
      </c>
      <c r="AA137" s="88">
        <f t="shared" ca="1" si="43"/>
        <v>2279887</v>
      </c>
      <c r="AB137" t="s">
        <v>81</v>
      </c>
      <c r="AI137" s="1">
        <v>126069</v>
      </c>
      <c r="AJ137" s="1" t="s">
        <v>584</v>
      </c>
      <c r="AK137" s="1" t="str">
        <f t="shared" si="38"/>
        <v/>
      </c>
      <c r="AL137" t="b">
        <f t="shared" si="39"/>
        <v>0</v>
      </c>
      <c r="AM137" s="49" t="str">
        <f t="shared" si="40"/>
        <v>Q</v>
      </c>
      <c r="AP137" s="10" t="s">
        <v>97</v>
      </c>
      <c r="AS137" t="s">
        <v>45</v>
      </c>
      <c r="AT137" s="6" t="s">
        <v>97</v>
      </c>
      <c r="AU137" s="6" t="str">
        <f t="shared" si="41"/>
        <v>The errors in accounting will be corrected. The accounting policy suggested will be followed. The financials will be recalculated based on the revised accounting policies and submitted.</v>
      </c>
      <c r="AV137" s="6" t="s">
        <v>96</v>
      </c>
      <c r="AW137" s="6" t="str">
        <f t="shared" si="42"/>
        <v>Change in accounting practice</v>
      </c>
    </row>
    <row r="138" spans="1:49" ht="135">
      <c r="A138" s="1">
        <v>126069</v>
      </c>
      <c r="B138" t="str">
        <f t="shared" si="30"/>
        <v>7R47IR86869-67</v>
      </c>
      <c r="C138" s="6" t="str">
        <f t="shared" si="31"/>
        <v>STATE OF CONNECTICUT DEPARTMENT OF PUBLIC HEALTH EPIDEMIOLOGY AND LABORATORY CAPACITY FOR PREVENTION AND
CONTROL OF EMERGING INFECTIOUS DISEASES</v>
      </c>
      <c r="D138" s="6" t="str">
        <f t="shared" si="32"/>
        <v>BARUCH S. BLUMBERG INSTITUTE</v>
      </c>
      <c r="E138">
        <f t="shared" si="33"/>
        <v>15251087</v>
      </c>
      <c r="F138" t="str">
        <f t="shared" si="34"/>
        <v>FDA</v>
      </c>
      <c r="G138" t="str">
        <f t="shared" si="35"/>
        <v>23-7573567</v>
      </c>
      <c r="H138">
        <f t="shared" ca="1" si="36"/>
        <v>796092</v>
      </c>
      <c r="I138" t="str">
        <f t="shared" si="37"/>
        <v>Annual</v>
      </c>
      <c r="N138" s="1">
        <v>217746</v>
      </c>
      <c r="Q138" s="1" t="s">
        <v>1258</v>
      </c>
      <c r="T138" s="52" t="s">
        <v>1937</v>
      </c>
      <c r="U138">
        <v>6384017</v>
      </c>
      <c r="V138" s="10" t="s">
        <v>1257</v>
      </c>
      <c r="W138" s="10" t="s">
        <v>1257</v>
      </c>
      <c r="X138" t="s">
        <v>86</v>
      </c>
      <c r="Y138" s="1" t="s">
        <v>1256</v>
      </c>
      <c r="AA138" s="88">
        <f t="shared" ca="1" si="43"/>
        <v>2614514</v>
      </c>
      <c r="AB138" t="s">
        <v>81</v>
      </c>
      <c r="AI138" s="1">
        <v>126069</v>
      </c>
      <c r="AJ138" s="1" t="s">
        <v>584</v>
      </c>
      <c r="AK138" s="1" t="str">
        <f t="shared" si="38"/>
        <v/>
      </c>
      <c r="AL138" t="b">
        <f t="shared" si="39"/>
        <v>0</v>
      </c>
      <c r="AM138" s="49" t="str">
        <f t="shared" si="40"/>
        <v>Q</v>
      </c>
      <c r="AP138" s="10" t="s">
        <v>327</v>
      </c>
      <c r="AS138" t="s">
        <v>45</v>
      </c>
      <c r="AT138" s="6" t="s">
        <v>327</v>
      </c>
      <c r="AU138" s="6" t="str">
        <f t="shared" si="41"/>
        <v>Cost rate will be followed. The revised rate will be applied from the last audit period and the expenditure recalculated and submitted.</v>
      </c>
      <c r="AV138" s="6" t="s">
        <v>104</v>
      </c>
      <c r="AW138" s="6" t="str">
        <f t="shared" si="42"/>
        <v>Cost rate Corrections</v>
      </c>
    </row>
    <row r="139" spans="1:49" ht="105">
      <c r="A139" s="1">
        <v>126069</v>
      </c>
      <c r="B139" t="str">
        <f t="shared" si="30"/>
        <v>7R47IR86869-67</v>
      </c>
      <c r="C139" s="6" t="str">
        <f t="shared" si="31"/>
        <v>STATE OF CONNECTICUT DEPARTMENT OF PUBLIC HEALTH EPIDEMIOLOGY AND LABORATORY CAPACITY FOR PREVENTION AND
CONTROL OF EMERGING INFECTIOUS DISEASES</v>
      </c>
      <c r="D139" s="6" t="str">
        <f t="shared" si="32"/>
        <v>BARUCH S. BLUMBERG INSTITUTE</v>
      </c>
      <c r="E139">
        <f t="shared" si="33"/>
        <v>15251087</v>
      </c>
      <c r="F139" t="str">
        <f t="shared" si="34"/>
        <v>FDA</v>
      </c>
      <c r="G139" t="str">
        <f t="shared" si="35"/>
        <v>23-7573567</v>
      </c>
      <c r="H139">
        <f t="shared" ca="1" si="36"/>
        <v>796092</v>
      </c>
      <c r="I139" t="str">
        <f t="shared" si="37"/>
        <v>Annual</v>
      </c>
      <c r="N139" s="1">
        <v>217750</v>
      </c>
      <c r="Q139" s="1" t="s">
        <v>1262</v>
      </c>
      <c r="T139" s="56" t="s">
        <v>1850</v>
      </c>
      <c r="U139">
        <v>17986849</v>
      </c>
      <c r="V139" s="10" t="s">
        <v>1261</v>
      </c>
      <c r="W139" s="10" t="s">
        <v>1261</v>
      </c>
      <c r="X139" t="s">
        <v>117</v>
      </c>
      <c r="Y139" s="1" t="s">
        <v>1260</v>
      </c>
      <c r="AA139" s="88">
        <f t="shared" ca="1" si="43"/>
        <v>2338432</v>
      </c>
      <c r="AB139" t="s">
        <v>81</v>
      </c>
      <c r="AI139" s="1">
        <v>126069</v>
      </c>
      <c r="AJ139" s="1" t="s">
        <v>584</v>
      </c>
      <c r="AK139" s="1" t="str">
        <f t="shared" si="38"/>
        <v/>
      </c>
      <c r="AL139" t="b">
        <f t="shared" si="39"/>
        <v>0</v>
      </c>
      <c r="AM139" s="49" t="str">
        <f t="shared" si="40"/>
        <v>Q</v>
      </c>
      <c r="AP139" s="10" t="s">
        <v>113</v>
      </c>
      <c r="AS139" t="s">
        <v>1841</v>
      </c>
      <c r="AT139" s="6" t="s">
        <v>113</v>
      </c>
      <c r="AU139" s="6" t="str">
        <f t="shared" si="41"/>
        <v>Loan accounts will be reviewed and appropriate amendments will be made and submitted</v>
      </c>
      <c r="AV139" s="6" t="s">
        <v>112</v>
      </c>
      <c r="AW139" s="6" t="str">
        <f t="shared" si="42"/>
        <v>Loan accountsrecalculation</v>
      </c>
    </row>
    <row r="140" spans="1:49" ht="105">
      <c r="A140" s="1">
        <v>126181</v>
      </c>
      <c r="B140" t="str">
        <f t="shared" si="30"/>
        <v>2H82IT86871-84</v>
      </c>
      <c r="C140" s="6" t="str">
        <f t="shared" si="31"/>
        <v>STATE OF CONNECTICUT DEPARTMENT OF PUBLIC HEALTH EPIDEMIOLOGY AND
LABORATORY CAPACITY FOR PREVENTION AND CONTROL OF EMERGING INFECTIOUS DISEASES</v>
      </c>
      <c r="D140" s="6" t="str">
        <f t="shared" si="32"/>
        <v>BASE PAIR BIOTECHNOLOGIES, INC.</v>
      </c>
      <c r="E140">
        <f t="shared" si="33"/>
        <v>7405939</v>
      </c>
      <c r="F140" t="str">
        <f t="shared" si="34"/>
        <v>ACF</v>
      </c>
      <c r="G140" t="str">
        <f t="shared" si="35"/>
        <v>23-7573568</v>
      </c>
      <c r="H140">
        <f t="shared" ca="1" si="36"/>
        <v>843738</v>
      </c>
      <c r="I140" t="str">
        <f t="shared" si="37"/>
        <v>Annual</v>
      </c>
      <c r="N140" s="1">
        <v>217783</v>
      </c>
      <c r="Q140" s="1" t="s">
        <v>1266</v>
      </c>
      <c r="T140" s="57" t="s">
        <v>1849</v>
      </c>
      <c r="U140">
        <v>17986849</v>
      </c>
      <c r="V140" s="10" t="s">
        <v>1265</v>
      </c>
      <c r="W140" s="10" t="s">
        <v>1265</v>
      </c>
      <c r="X140" t="s">
        <v>132</v>
      </c>
      <c r="Y140" s="1" t="s">
        <v>1264</v>
      </c>
      <c r="AA140" s="88">
        <f t="shared" ca="1" si="43"/>
        <v>2488167</v>
      </c>
      <c r="AB140" t="s">
        <v>81</v>
      </c>
      <c r="AI140" s="1">
        <v>126181</v>
      </c>
      <c r="AJ140" s="1" t="s">
        <v>119</v>
      </c>
      <c r="AK140" s="1" t="str">
        <f t="shared" si="38"/>
        <v/>
      </c>
      <c r="AL140" t="b">
        <f t="shared" si="39"/>
        <v>1</v>
      </c>
      <c r="AM140" s="49" t="str">
        <f t="shared" si="40"/>
        <v>Q</v>
      </c>
      <c r="AP140" s="10" t="s">
        <v>97</v>
      </c>
      <c r="AS140" t="s">
        <v>119</v>
      </c>
      <c r="AT140" s="6" t="s">
        <v>97</v>
      </c>
      <c r="AU140" s="6" t="str">
        <f t="shared" si="41"/>
        <v/>
      </c>
      <c r="AV140" s="6" t="s">
        <v>96</v>
      </c>
      <c r="AW140" s="6" t="str">
        <f t="shared" si="42"/>
        <v/>
      </c>
    </row>
    <row r="141" spans="1:49" ht="105">
      <c r="A141" s="1">
        <v>126181</v>
      </c>
      <c r="B141" t="str">
        <f t="shared" si="30"/>
        <v>2H82IT86871-84</v>
      </c>
      <c r="C141" s="6" t="str">
        <f t="shared" si="31"/>
        <v>STATE OF CONNECTICUT DEPARTMENT OF PUBLIC HEALTH EPIDEMIOLOGY AND
LABORATORY CAPACITY FOR PREVENTION AND CONTROL OF EMERGING INFECTIOUS DISEASES</v>
      </c>
      <c r="D141" s="6" t="str">
        <f t="shared" si="32"/>
        <v>BASE PAIR BIOTECHNOLOGIES, INC.</v>
      </c>
      <c r="E141">
        <f t="shared" si="33"/>
        <v>7405939</v>
      </c>
      <c r="F141" t="str">
        <f t="shared" si="34"/>
        <v>ACF</v>
      </c>
      <c r="G141" t="str">
        <f t="shared" si="35"/>
        <v>23-7573568</v>
      </c>
      <c r="H141">
        <f t="shared" ca="1" si="36"/>
        <v>843738</v>
      </c>
      <c r="I141" t="str">
        <f t="shared" si="37"/>
        <v>Annual</v>
      </c>
      <c r="N141" s="1">
        <v>217868</v>
      </c>
      <c r="Q141" s="1" t="s">
        <v>1270</v>
      </c>
      <c r="T141" s="61" t="s">
        <v>1937</v>
      </c>
      <c r="U141">
        <v>17986849</v>
      </c>
      <c r="V141" s="10" t="s">
        <v>1269</v>
      </c>
      <c r="W141" s="10" t="s">
        <v>1269</v>
      </c>
      <c r="X141" t="s">
        <v>150</v>
      </c>
      <c r="Y141" s="1" t="s">
        <v>1268</v>
      </c>
      <c r="AA141" s="88">
        <f t="shared" ca="1" si="43"/>
        <v>2018951</v>
      </c>
      <c r="AB141" t="s">
        <v>81</v>
      </c>
      <c r="AI141" s="1">
        <v>126181</v>
      </c>
      <c r="AJ141" s="1" t="s">
        <v>119</v>
      </c>
      <c r="AK141" s="1" t="str">
        <f t="shared" si="38"/>
        <v/>
      </c>
      <c r="AL141" t="b">
        <f t="shared" si="39"/>
        <v>1</v>
      </c>
      <c r="AM141" s="49" t="str">
        <f t="shared" si="40"/>
        <v>Q</v>
      </c>
      <c r="AP141" s="10" t="s">
        <v>327</v>
      </c>
      <c r="AS141" t="s">
        <v>119</v>
      </c>
      <c r="AT141" s="6" t="s">
        <v>327</v>
      </c>
      <c r="AU141" s="6" t="str">
        <f t="shared" si="41"/>
        <v/>
      </c>
      <c r="AV141" s="6" t="s">
        <v>104</v>
      </c>
      <c r="AW141" s="6" t="str">
        <f t="shared" si="42"/>
        <v/>
      </c>
    </row>
    <row r="142" spans="1:49" ht="105">
      <c r="A142" s="1">
        <v>126181</v>
      </c>
      <c r="B142" t="str">
        <f t="shared" si="30"/>
        <v>2H82IT86871-84</v>
      </c>
      <c r="C142" s="6" t="str">
        <f t="shared" si="31"/>
        <v>STATE OF CONNECTICUT DEPARTMENT OF PUBLIC HEALTH EPIDEMIOLOGY AND
LABORATORY CAPACITY FOR PREVENTION AND CONTROL OF EMERGING INFECTIOUS DISEASES</v>
      </c>
      <c r="D142" s="6" t="str">
        <f t="shared" si="32"/>
        <v>BASE PAIR BIOTECHNOLOGIES, INC.</v>
      </c>
      <c r="E142">
        <f t="shared" si="33"/>
        <v>7405939</v>
      </c>
      <c r="F142" t="str">
        <f t="shared" si="34"/>
        <v>ACF</v>
      </c>
      <c r="G142" t="str">
        <f t="shared" si="35"/>
        <v>23-7573568</v>
      </c>
      <c r="H142">
        <f t="shared" ca="1" si="36"/>
        <v>843738</v>
      </c>
      <c r="I142" t="str">
        <f t="shared" si="37"/>
        <v>Annual</v>
      </c>
      <c r="N142" s="1">
        <v>220211</v>
      </c>
      <c r="Q142" s="1" t="s">
        <v>1274</v>
      </c>
      <c r="T142" s="56" t="s">
        <v>1850</v>
      </c>
      <c r="U142">
        <v>17986849</v>
      </c>
      <c r="V142" s="10" t="s">
        <v>1273</v>
      </c>
      <c r="W142" s="10" t="s">
        <v>1273</v>
      </c>
      <c r="X142" t="s">
        <v>86</v>
      </c>
      <c r="Y142" s="1" t="s">
        <v>1272</v>
      </c>
      <c r="AA142" s="88">
        <f t="shared" ca="1" si="43"/>
        <v>2190664</v>
      </c>
      <c r="AB142" t="s">
        <v>81</v>
      </c>
      <c r="AI142" s="1">
        <v>126181</v>
      </c>
      <c r="AJ142" s="1" t="s">
        <v>119</v>
      </c>
      <c r="AK142" s="1" t="str">
        <f t="shared" si="38"/>
        <v/>
      </c>
      <c r="AL142" t="b">
        <f t="shared" si="39"/>
        <v>1</v>
      </c>
      <c r="AM142" s="49" t="str">
        <f t="shared" si="40"/>
        <v>Q</v>
      </c>
      <c r="AP142" s="10" t="s">
        <v>113</v>
      </c>
      <c r="AS142" t="s">
        <v>119</v>
      </c>
      <c r="AT142" s="6" t="s">
        <v>113</v>
      </c>
      <c r="AU142" s="6" t="str">
        <f t="shared" si="41"/>
        <v/>
      </c>
      <c r="AV142" s="6" t="s">
        <v>112</v>
      </c>
      <c r="AW142" s="6" t="str">
        <f t="shared" si="42"/>
        <v/>
      </c>
    </row>
    <row r="143" spans="1:49" ht="90">
      <c r="A143" s="1">
        <v>126273</v>
      </c>
      <c r="B143" t="str">
        <f t="shared" si="30"/>
        <v>6H56CT88524-58</v>
      </c>
      <c r="C143" s="6" t="str">
        <f t="shared" si="31"/>
        <v>PREVENTIVE HEALTH AND HEALTH SERVICES BLOCK GRANT</v>
      </c>
      <c r="D143" s="6" t="str">
        <f t="shared" si="32"/>
        <v>BASE2 GENOMICS, LLC</v>
      </c>
      <c r="E143">
        <f t="shared" si="33"/>
        <v>7405939</v>
      </c>
      <c r="F143" t="str">
        <f t="shared" si="34"/>
        <v>CDC</v>
      </c>
      <c r="G143" t="str">
        <f t="shared" si="35"/>
        <v>23-7573569</v>
      </c>
      <c r="H143">
        <f t="shared" ca="1" si="36"/>
        <v>796083</v>
      </c>
      <c r="I143" t="str">
        <f t="shared" si="37"/>
        <v>Annual</v>
      </c>
      <c r="N143" s="1">
        <v>220268</v>
      </c>
      <c r="Q143" s="1" t="s">
        <v>1278</v>
      </c>
      <c r="T143" s="52" t="s">
        <v>1937</v>
      </c>
      <c r="U143">
        <v>6890102</v>
      </c>
      <c r="V143" s="10" t="s">
        <v>1277</v>
      </c>
      <c r="W143" s="10" t="s">
        <v>1277</v>
      </c>
      <c r="X143" t="s">
        <v>117</v>
      </c>
      <c r="Y143" s="1" t="s">
        <v>1276</v>
      </c>
      <c r="AA143" s="88">
        <f t="shared" ca="1" si="43"/>
        <v>2427592</v>
      </c>
      <c r="AB143" t="s">
        <v>81</v>
      </c>
      <c r="AI143" s="1">
        <v>126273</v>
      </c>
      <c r="AJ143" s="1" t="s">
        <v>119</v>
      </c>
      <c r="AK143" s="1" t="str">
        <f t="shared" si="38"/>
        <v/>
      </c>
      <c r="AL143" t="b">
        <f t="shared" si="39"/>
        <v>1</v>
      </c>
      <c r="AM143" s="49" t="str">
        <f t="shared" si="40"/>
        <v>Q</v>
      </c>
      <c r="AP143" s="10" t="s">
        <v>97</v>
      </c>
      <c r="AS143" t="s">
        <v>119</v>
      </c>
      <c r="AT143" s="6" t="s">
        <v>97</v>
      </c>
      <c r="AU143" s="6" t="str">
        <f t="shared" si="41"/>
        <v/>
      </c>
      <c r="AV143" s="6" t="s">
        <v>96</v>
      </c>
      <c r="AW143" s="6" t="str">
        <f t="shared" si="42"/>
        <v/>
      </c>
    </row>
    <row r="144" spans="1:49" ht="75">
      <c r="A144" s="1">
        <v>126273</v>
      </c>
      <c r="B144" t="str">
        <f t="shared" si="30"/>
        <v>6H56CT88524-58</v>
      </c>
      <c r="C144" s="6" t="str">
        <f t="shared" si="31"/>
        <v>PREVENTIVE HEALTH AND HEALTH SERVICES BLOCK GRANT</v>
      </c>
      <c r="D144" s="6" t="str">
        <f t="shared" si="32"/>
        <v>BASE2 GENOMICS, LLC</v>
      </c>
      <c r="E144">
        <f t="shared" si="33"/>
        <v>7405939</v>
      </c>
      <c r="F144" t="str">
        <f t="shared" si="34"/>
        <v>CDC</v>
      </c>
      <c r="G144" t="str">
        <f t="shared" si="35"/>
        <v>23-7573569</v>
      </c>
      <c r="H144">
        <f t="shared" ca="1" si="36"/>
        <v>796083</v>
      </c>
      <c r="I144" t="str">
        <f t="shared" si="37"/>
        <v>Annual</v>
      </c>
      <c r="N144" s="1">
        <v>221086</v>
      </c>
      <c r="Q144" s="1" t="s">
        <v>1284</v>
      </c>
      <c r="T144" s="52" t="s">
        <v>1937</v>
      </c>
      <c r="U144">
        <v>6890102</v>
      </c>
      <c r="V144" s="10" t="s">
        <v>1283</v>
      </c>
      <c r="W144" s="10" t="s">
        <v>1283</v>
      </c>
      <c r="X144" t="s">
        <v>132</v>
      </c>
      <c r="Y144" s="1" t="s">
        <v>1282</v>
      </c>
      <c r="AA144" s="88">
        <f t="shared" ca="1" si="43"/>
        <v>2572839</v>
      </c>
      <c r="AB144" t="s">
        <v>81</v>
      </c>
      <c r="AI144" s="1">
        <v>126273</v>
      </c>
      <c r="AJ144" s="1" t="s">
        <v>119</v>
      </c>
      <c r="AK144" s="1" t="str">
        <f t="shared" si="38"/>
        <v/>
      </c>
      <c r="AL144" t="b">
        <f t="shared" si="39"/>
        <v>1</v>
      </c>
      <c r="AM144" s="49" t="str">
        <f t="shared" si="40"/>
        <v>Q</v>
      </c>
      <c r="AP144" s="10" t="s">
        <v>327</v>
      </c>
      <c r="AS144" t="s">
        <v>119</v>
      </c>
      <c r="AT144" s="6" t="s">
        <v>327</v>
      </c>
      <c r="AU144" s="6" t="str">
        <f t="shared" si="41"/>
        <v/>
      </c>
      <c r="AV144" s="6" t="s">
        <v>104</v>
      </c>
      <c r="AW144" s="6" t="str">
        <f t="shared" si="42"/>
        <v/>
      </c>
    </row>
    <row r="145" spans="1:49" ht="105">
      <c r="A145" s="1">
        <v>126273</v>
      </c>
      <c r="B145" t="str">
        <f t="shared" si="30"/>
        <v>6H56CT88524-58</v>
      </c>
      <c r="C145" s="6" t="str">
        <f t="shared" si="31"/>
        <v>PREVENTIVE HEALTH AND HEALTH SERVICES BLOCK GRANT</v>
      </c>
      <c r="D145" s="6" t="str">
        <f t="shared" si="32"/>
        <v>BASE2 GENOMICS, LLC</v>
      </c>
      <c r="E145">
        <f t="shared" si="33"/>
        <v>7405939</v>
      </c>
      <c r="F145" t="str">
        <f t="shared" si="34"/>
        <v>CDC</v>
      </c>
      <c r="G145" t="str">
        <f t="shared" si="35"/>
        <v>23-7573569</v>
      </c>
      <c r="H145">
        <f t="shared" ca="1" si="36"/>
        <v>796083</v>
      </c>
      <c r="I145" t="str">
        <f t="shared" si="37"/>
        <v>Annual</v>
      </c>
      <c r="N145" s="1">
        <v>222289</v>
      </c>
      <c r="Q145" s="1" t="s">
        <v>1288</v>
      </c>
      <c r="T145" s="56" t="s">
        <v>1850</v>
      </c>
      <c r="U145">
        <v>6890102</v>
      </c>
      <c r="V145" s="10" t="s">
        <v>1287</v>
      </c>
      <c r="W145" s="10" t="s">
        <v>1287</v>
      </c>
      <c r="X145" t="s">
        <v>150</v>
      </c>
      <c r="Y145" s="1" t="s">
        <v>1286</v>
      </c>
      <c r="AA145" s="88">
        <f t="shared" ca="1" si="43"/>
        <v>2654232</v>
      </c>
      <c r="AB145" t="s">
        <v>81</v>
      </c>
      <c r="AI145" s="1">
        <v>126273</v>
      </c>
      <c r="AJ145" s="1" t="s">
        <v>119</v>
      </c>
      <c r="AK145" s="1" t="str">
        <f t="shared" si="38"/>
        <v/>
      </c>
      <c r="AL145" t="b">
        <f t="shared" si="39"/>
        <v>1</v>
      </c>
      <c r="AM145" s="49" t="str">
        <f t="shared" si="40"/>
        <v>Q</v>
      </c>
      <c r="AP145" s="10" t="s">
        <v>113</v>
      </c>
      <c r="AS145" t="s">
        <v>119</v>
      </c>
      <c r="AT145" s="6" t="s">
        <v>113</v>
      </c>
      <c r="AU145" s="6" t="str">
        <f t="shared" si="41"/>
        <v/>
      </c>
      <c r="AV145" s="6" t="s">
        <v>112</v>
      </c>
      <c r="AW145" s="6" t="str">
        <f t="shared" si="42"/>
        <v/>
      </c>
    </row>
    <row r="146" spans="1:49" ht="105">
      <c r="A146" s="1">
        <v>126274</v>
      </c>
      <c r="B146" t="str">
        <f t="shared" si="30"/>
        <v>2H39FT89899-34</v>
      </c>
      <c r="C146" s="6" t="str">
        <f t="shared" si="31"/>
        <v>STATE OF CONNECTICUT DEPARTMENT OF PUBLIC HEALTH EPIDEMIOLOGY AND LABORATORY CAPACITY FOR PREVENTION AND
CONTROL OF EMERGING INFECTIOUS DISEASES</v>
      </c>
      <c r="D146" s="6" t="str">
        <f t="shared" si="32"/>
        <v>BASEPAIR, INC.</v>
      </c>
      <c r="E146">
        <f t="shared" si="33"/>
        <v>7405939</v>
      </c>
      <c r="F146" t="str">
        <f t="shared" si="34"/>
        <v>NIH</v>
      </c>
      <c r="G146" t="str">
        <f t="shared" si="35"/>
        <v>23-7573570</v>
      </c>
      <c r="H146">
        <f t="shared" ca="1" si="36"/>
        <v>813397</v>
      </c>
      <c r="I146" t="str">
        <f t="shared" si="37"/>
        <v>Annual</v>
      </c>
      <c r="N146" s="1">
        <v>222293</v>
      </c>
      <c r="Q146" s="1" t="s">
        <v>1296</v>
      </c>
      <c r="T146" s="57" t="s">
        <v>1849</v>
      </c>
      <c r="U146">
        <v>6890102</v>
      </c>
      <c r="V146" s="10" t="s">
        <v>1295</v>
      </c>
      <c r="W146" s="10" t="s">
        <v>1295</v>
      </c>
      <c r="X146" t="s">
        <v>86</v>
      </c>
      <c r="Y146" s="1" t="s">
        <v>1294</v>
      </c>
      <c r="AA146" s="88">
        <f t="shared" ca="1" si="43"/>
        <v>2345212</v>
      </c>
      <c r="AB146" t="s">
        <v>81</v>
      </c>
      <c r="AI146" s="1">
        <v>126274</v>
      </c>
      <c r="AJ146" s="1" t="s">
        <v>119</v>
      </c>
      <c r="AK146" s="1" t="str">
        <f t="shared" si="38"/>
        <v/>
      </c>
      <c r="AL146" t="b">
        <f t="shared" si="39"/>
        <v>1</v>
      </c>
      <c r="AM146" s="49" t="str">
        <f t="shared" si="40"/>
        <v>Q</v>
      </c>
      <c r="AP146" s="10" t="s">
        <v>97</v>
      </c>
      <c r="AS146" t="s">
        <v>119</v>
      </c>
      <c r="AT146" s="6" t="s">
        <v>97</v>
      </c>
      <c r="AU146" s="6" t="str">
        <f t="shared" si="41"/>
        <v/>
      </c>
      <c r="AV146" s="6" t="s">
        <v>96</v>
      </c>
      <c r="AW146" s="6" t="str">
        <f t="shared" si="42"/>
        <v/>
      </c>
    </row>
    <row r="147" spans="1:49" ht="105">
      <c r="A147" s="1">
        <v>126274</v>
      </c>
      <c r="B147" t="str">
        <f t="shared" si="30"/>
        <v>2H39FT89899-34</v>
      </c>
      <c r="C147" s="6" t="str">
        <f t="shared" si="31"/>
        <v>STATE OF CONNECTICUT DEPARTMENT OF PUBLIC HEALTH EPIDEMIOLOGY AND LABORATORY CAPACITY FOR PREVENTION AND
CONTROL OF EMERGING INFECTIOUS DISEASES</v>
      </c>
      <c r="D147" s="6" t="str">
        <f t="shared" si="32"/>
        <v>BASEPAIR, INC.</v>
      </c>
      <c r="E147">
        <f t="shared" si="33"/>
        <v>7405939</v>
      </c>
      <c r="F147" t="str">
        <f t="shared" si="34"/>
        <v>NIH</v>
      </c>
      <c r="G147" t="str">
        <f t="shared" si="35"/>
        <v>23-7573570</v>
      </c>
      <c r="H147">
        <f t="shared" ca="1" si="36"/>
        <v>813397</v>
      </c>
      <c r="I147" t="str">
        <f t="shared" si="37"/>
        <v>Annual</v>
      </c>
      <c r="N147" s="1">
        <v>222444</v>
      </c>
      <c r="Q147" s="1" t="s">
        <v>1300</v>
      </c>
      <c r="T147" s="52" t="s">
        <v>1937</v>
      </c>
      <c r="U147">
        <v>36751692</v>
      </c>
      <c r="V147" s="10" t="s">
        <v>1299</v>
      </c>
      <c r="W147" s="10" t="s">
        <v>1299</v>
      </c>
      <c r="X147" t="s">
        <v>117</v>
      </c>
      <c r="Y147" s="1" t="s">
        <v>1298</v>
      </c>
      <c r="AA147" s="88">
        <f t="shared" ca="1" si="43"/>
        <v>2805789</v>
      </c>
      <c r="AB147" t="s">
        <v>81</v>
      </c>
      <c r="AI147" s="1">
        <v>126274</v>
      </c>
      <c r="AJ147" s="1" t="s">
        <v>119</v>
      </c>
      <c r="AK147" s="1" t="str">
        <f t="shared" si="38"/>
        <v/>
      </c>
      <c r="AL147" t="b">
        <f t="shared" si="39"/>
        <v>1</v>
      </c>
      <c r="AM147" s="49" t="str">
        <f t="shared" si="40"/>
        <v>Q</v>
      </c>
      <c r="AP147" s="10" t="s">
        <v>327</v>
      </c>
      <c r="AS147" t="s">
        <v>119</v>
      </c>
      <c r="AT147" s="6" t="s">
        <v>327</v>
      </c>
      <c r="AU147" s="6" t="str">
        <f t="shared" si="41"/>
        <v/>
      </c>
      <c r="AV147" s="6" t="s">
        <v>104</v>
      </c>
      <c r="AW147" s="6" t="str">
        <f t="shared" si="42"/>
        <v/>
      </c>
    </row>
    <row r="148" spans="1:49" ht="105">
      <c r="A148" s="1">
        <v>126274</v>
      </c>
      <c r="B148" t="str">
        <f t="shared" si="30"/>
        <v>2H39FT89899-34</v>
      </c>
      <c r="C148" s="6" t="str">
        <f t="shared" si="31"/>
        <v>STATE OF CONNECTICUT DEPARTMENT OF PUBLIC HEALTH EPIDEMIOLOGY AND LABORATORY CAPACITY FOR PREVENTION AND
CONTROL OF EMERGING INFECTIOUS DISEASES</v>
      </c>
      <c r="D148" s="6" t="str">
        <f t="shared" si="32"/>
        <v>BASEPAIR, INC.</v>
      </c>
      <c r="E148">
        <f t="shared" si="33"/>
        <v>7405939</v>
      </c>
      <c r="F148" t="str">
        <f t="shared" si="34"/>
        <v>NIH</v>
      </c>
      <c r="G148" t="str">
        <f t="shared" si="35"/>
        <v>23-7573570</v>
      </c>
      <c r="H148">
        <f t="shared" ca="1" si="36"/>
        <v>813397</v>
      </c>
      <c r="I148" t="str">
        <f t="shared" si="37"/>
        <v>Annual</v>
      </c>
      <c r="N148" s="1">
        <v>222492</v>
      </c>
      <c r="Q148" s="1" t="s">
        <v>1305</v>
      </c>
      <c r="T148" s="56" t="s">
        <v>1850</v>
      </c>
      <c r="U148">
        <v>36751692</v>
      </c>
      <c r="V148" s="10" t="s">
        <v>1304</v>
      </c>
      <c r="W148" s="10" t="s">
        <v>1304</v>
      </c>
      <c r="X148" t="s">
        <v>132</v>
      </c>
      <c r="Y148" s="1" t="s">
        <v>1303</v>
      </c>
      <c r="AA148" s="88">
        <f t="shared" ca="1" si="43"/>
        <v>2369482</v>
      </c>
      <c r="AB148" t="s">
        <v>81</v>
      </c>
      <c r="AI148" s="1">
        <v>126274</v>
      </c>
      <c r="AJ148" s="1" t="s">
        <v>119</v>
      </c>
      <c r="AK148" s="1" t="str">
        <f t="shared" si="38"/>
        <v/>
      </c>
      <c r="AL148" t="b">
        <f t="shared" si="39"/>
        <v>1</v>
      </c>
      <c r="AM148" s="49" t="str">
        <f t="shared" si="40"/>
        <v>Q</v>
      </c>
      <c r="AP148" s="10" t="s">
        <v>113</v>
      </c>
      <c r="AS148" t="s">
        <v>119</v>
      </c>
      <c r="AT148" s="6" t="s">
        <v>113</v>
      </c>
      <c r="AU148" s="6" t="str">
        <f t="shared" si="41"/>
        <v/>
      </c>
      <c r="AV148" s="6" t="s">
        <v>112</v>
      </c>
      <c r="AW148" s="6" t="str">
        <f t="shared" si="42"/>
        <v/>
      </c>
    </row>
    <row r="149" spans="1:49" ht="90">
      <c r="A149" s="1">
        <v>126275</v>
      </c>
      <c r="B149" t="str">
        <f t="shared" si="30"/>
        <v>4H70DT84819-51</v>
      </c>
      <c r="C149" s="6" t="str">
        <f t="shared" si="31"/>
        <v>NEW YORK STATE'S PROGRAM TO REDUCE ENVIRONMENTAL EXPOSURES AT TARGETED
SITES</v>
      </c>
      <c r="D149" s="6" t="str">
        <f t="shared" si="32"/>
        <v>BATANDCAT, INC.</v>
      </c>
      <c r="E149">
        <f t="shared" si="33"/>
        <v>7405939</v>
      </c>
      <c r="F149" t="str">
        <f t="shared" si="34"/>
        <v>FDA</v>
      </c>
      <c r="G149" t="str">
        <f t="shared" si="35"/>
        <v>23-7573571</v>
      </c>
      <c r="H149">
        <f t="shared" ca="1" si="36"/>
        <v>771391</v>
      </c>
      <c r="I149" t="str">
        <f t="shared" si="37"/>
        <v>Annual</v>
      </c>
      <c r="N149" s="1">
        <v>222640</v>
      </c>
      <c r="Q149" s="1" t="s">
        <v>1309</v>
      </c>
      <c r="T149" s="66" t="s">
        <v>1940</v>
      </c>
      <c r="U149">
        <v>36751692</v>
      </c>
      <c r="V149" s="10" t="s">
        <v>1308</v>
      </c>
      <c r="W149" s="10" t="s">
        <v>1308</v>
      </c>
      <c r="X149" t="s">
        <v>150</v>
      </c>
      <c r="Y149" s="1" t="s">
        <v>1307</v>
      </c>
      <c r="AA149" s="88">
        <f t="shared" ca="1" si="43"/>
        <v>2443096</v>
      </c>
      <c r="AB149" t="s">
        <v>81</v>
      </c>
      <c r="AI149" s="1">
        <v>126275</v>
      </c>
      <c r="AJ149" s="1" t="s">
        <v>119</v>
      </c>
      <c r="AK149" s="1" t="str">
        <f t="shared" si="38"/>
        <v/>
      </c>
      <c r="AL149" t="b">
        <f t="shared" si="39"/>
        <v>1</v>
      </c>
      <c r="AM149" s="49" t="str">
        <f t="shared" si="40"/>
        <v>Q</v>
      </c>
      <c r="AP149" s="10" t="s">
        <v>97</v>
      </c>
      <c r="AS149" t="s">
        <v>119</v>
      </c>
      <c r="AT149" s="6" t="s">
        <v>97</v>
      </c>
      <c r="AU149" s="6" t="str">
        <f t="shared" si="41"/>
        <v/>
      </c>
      <c r="AV149" s="6" t="s">
        <v>96</v>
      </c>
      <c r="AW149" s="6" t="str">
        <f t="shared" si="42"/>
        <v/>
      </c>
    </row>
    <row r="150" spans="1:49" ht="75">
      <c r="A150" s="1">
        <v>126275</v>
      </c>
      <c r="B150" t="str">
        <f t="shared" si="30"/>
        <v>4H70DT84819-51</v>
      </c>
      <c r="C150" s="6" t="str">
        <f t="shared" si="31"/>
        <v>NEW YORK STATE'S PROGRAM TO REDUCE ENVIRONMENTAL EXPOSURES AT TARGETED
SITES</v>
      </c>
      <c r="D150" s="6" t="str">
        <f t="shared" si="32"/>
        <v>BATANDCAT, INC.</v>
      </c>
      <c r="E150">
        <f t="shared" si="33"/>
        <v>7405939</v>
      </c>
      <c r="F150" t="str">
        <f t="shared" si="34"/>
        <v>FDA</v>
      </c>
      <c r="G150" t="str">
        <f t="shared" si="35"/>
        <v>23-7573571</v>
      </c>
      <c r="H150">
        <f t="shared" ca="1" si="36"/>
        <v>771391</v>
      </c>
      <c r="I150" t="str">
        <f t="shared" si="37"/>
        <v>Annual</v>
      </c>
      <c r="N150" s="1">
        <v>222650</v>
      </c>
      <c r="Q150" s="1" t="s">
        <v>1315</v>
      </c>
      <c r="T150" s="53" t="s">
        <v>1844</v>
      </c>
      <c r="U150">
        <v>31785143</v>
      </c>
      <c r="V150" s="10" t="s">
        <v>1314</v>
      </c>
      <c r="W150" s="10" t="s">
        <v>1314</v>
      </c>
      <c r="X150" t="s">
        <v>86</v>
      </c>
      <c r="Y150" s="1" t="s">
        <v>1313</v>
      </c>
      <c r="AA150" s="88">
        <f t="shared" ca="1" si="43"/>
        <v>2013872</v>
      </c>
      <c r="AB150" t="s">
        <v>81</v>
      </c>
      <c r="AI150" s="1">
        <v>126275</v>
      </c>
      <c r="AJ150" s="1" t="s">
        <v>119</v>
      </c>
      <c r="AK150" s="1" t="str">
        <f t="shared" si="38"/>
        <v/>
      </c>
      <c r="AL150" t="b">
        <f t="shared" si="39"/>
        <v>1</v>
      </c>
      <c r="AM150" s="49" t="str">
        <f t="shared" si="40"/>
        <v>Q</v>
      </c>
      <c r="AP150" s="10" t="s">
        <v>327</v>
      </c>
      <c r="AS150" t="s">
        <v>119</v>
      </c>
      <c r="AT150" s="6" t="s">
        <v>327</v>
      </c>
      <c r="AU150" s="6" t="str">
        <f t="shared" si="41"/>
        <v/>
      </c>
      <c r="AV150" s="6" t="s">
        <v>104</v>
      </c>
      <c r="AW150" s="6" t="str">
        <f t="shared" si="42"/>
        <v/>
      </c>
    </row>
    <row r="151" spans="1:49" ht="90">
      <c r="A151" s="1">
        <v>126275</v>
      </c>
      <c r="B151" t="str">
        <f t="shared" si="30"/>
        <v>4H70DT84819-51</v>
      </c>
      <c r="C151" s="6" t="str">
        <f t="shared" si="31"/>
        <v>NEW YORK STATE'S PROGRAM TO REDUCE ENVIRONMENTAL EXPOSURES AT TARGETED
SITES</v>
      </c>
      <c r="D151" s="6" t="str">
        <f t="shared" si="32"/>
        <v>BATANDCAT, INC.</v>
      </c>
      <c r="E151">
        <f t="shared" si="33"/>
        <v>7405939</v>
      </c>
      <c r="F151" t="str">
        <f t="shared" si="34"/>
        <v>FDA</v>
      </c>
      <c r="G151" t="str">
        <f t="shared" si="35"/>
        <v>23-7573571</v>
      </c>
      <c r="H151">
        <f t="shared" ca="1" si="36"/>
        <v>771391</v>
      </c>
      <c r="I151" t="str">
        <f t="shared" si="37"/>
        <v>Annual</v>
      </c>
      <c r="N151" s="1">
        <v>224763</v>
      </c>
      <c r="Q151" s="1" t="s">
        <v>1319</v>
      </c>
      <c r="T151" s="54" t="s">
        <v>1941</v>
      </c>
      <c r="U151">
        <v>31785143</v>
      </c>
      <c r="V151" s="10" t="s">
        <v>1318</v>
      </c>
      <c r="W151" s="10" t="s">
        <v>1318</v>
      </c>
      <c r="X151" t="s">
        <v>117</v>
      </c>
      <c r="Y151" s="1" t="s">
        <v>1317</v>
      </c>
      <c r="AA151" s="88">
        <f t="shared" ca="1" si="43"/>
        <v>2995376</v>
      </c>
      <c r="AB151" t="s">
        <v>81</v>
      </c>
      <c r="AI151" s="1">
        <v>126275</v>
      </c>
      <c r="AJ151" s="1" t="s">
        <v>119</v>
      </c>
      <c r="AK151" s="1" t="str">
        <f t="shared" si="38"/>
        <v/>
      </c>
      <c r="AL151" t="b">
        <f t="shared" si="39"/>
        <v>1</v>
      </c>
      <c r="AM151" s="49" t="str">
        <f t="shared" si="40"/>
        <v>Q</v>
      </c>
      <c r="AP151" s="10" t="s">
        <v>113</v>
      </c>
      <c r="AS151" t="s">
        <v>119</v>
      </c>
      <c r="AT151" s="6" t="s">
        <v>113</v>
      </c>
      <c r="AU151" s="6" t="str">
        <f t="shared" si="41"/>
        <v/>
      </c>
      <c r="AV151" s="6" t="s">
        <v>112</v>
      </c>
      <c r="AW151" s="6" t="str">
        <f t="shared" si="42"/>
        <v/>
      </c>
    </row>
    <row r="152" spans="1:49" ht="90">
      <c r="A152" s="1">
        <v>126366</v>
      </c>
      <c r="B152" t="str">
        <f t="shared" si="30"/>
        <v>5R87IR84479-77</v>
      </c>
      <c r="C152" s="6" t="str">
        <f t="shared" si="31"/>
        <v>A HEALTH STUDY OF NEW YORK STATE COMMUNITIES EXPOSED TO PFAS CONTAMINATED DRINKING WATER</v>
      </c>
      <c r="D152" s="6" t="str">
        <f t="shared" si="32"/>
        <v>BATES COLLEGE</v>
      </c>
      <c r="E152">
        <f t="shared" si="33"/>
        <v>290718</v>
      </c>
      <c r="F152" t="str">
        <f t="shared" si="34"/>
        <v>ACF</v>
      </c>
      <c r="G152" t="str">
        <f t="shared" si="35"/>
        <v>13-8735535</v>
      </c>
      <c r="H152">
        <f t="shared" ca="1" si="36"/>
        <v>792248</v>
      </c>
      <c r="I152" t="str">
        <f t="shared" si="37"/>
        <v>Annual</v>
      </c>
      <c r="N152" s="1">
        <v>224786</v>
      </c>
      <c r="Q152" s="1" t="s">
        <v>1326</v>
      </c>
      <c r="T152" s="50" t="s">
        <v>1942</v>
      </c>
      <c r="U152">
        <v>31785143</v>
      </c>
      <c r="V152" s="10" t="s">
        <v>1325</v>
      </c>
      <c r="W152" s="10" t="s">
        <v>1325</v>
      </c>
      <c r="X152" t="s">
        <v>132</v>
      </c>
      <c r="Y152" s="1" t="s">
        <v>1324</v>
      </c>
      <c r="AA152" s="88">
        <f t="shared" ca="1" si="43"/>
        <v>2475731</v>
      </c>
      <c r="AB152" t="s">
        <v>81</v>
      </c>
      <c r="AI152" s="1">
        <v>126366</v>
      </c>
      <c r="AJ152" s="1" t="s">
        <v>119</v>
      </c>
      <c r="AK152" s="1" t="str">
        <f t="shared" si="38"/>
        <v/>
      </c>
      <c r="AL152" t="b">
        <f t="shared" si="39"/>
        <v>1</v>
      </c>
      <c r="AM152" s="49" t="str">
        <f t="shared" si="40"/>
        <v>Q</v>
      </c>
      <c r="AP152" s="10" t="s">
        <v>97</v>
      </c>
      <c r="AS152" t="s">
        <v>119</v>
      </c>
      <c r="AT152" s="6" t="s">
        <v>97</v>
      </c>
      <c r="AU152" s="6" t="str">
        <f t="shared" si="41"/>
        <v/>
      </c>
      <c r="AV152" s="6" t="s">
        <v>96</v>
      </c>
      <c r="AW152" s="6" t="str">
        <f t="shared" si="42"/>
        <v/>
      </c>
    </row>
    <row r="153" spans="1:49" ht="75">
      <c r="A153" s="1">
        <v>126366</v>
      </c>
      <c r="B153" t="str">
        <f t="shared" si="30"/>
        <v>5R87IR84479-77</v>
      </c>
      <c r="C153" s="6" t="str">
        <f t="shared" si="31"/>
        <v>A HEALTH STUDY OF NEW YORK STATE COMMUNITIES EXPOSED TO PFAS CONTAMINATED DRINKING WATER</v>
      </c>
      <c r="D153" s="6" t="str">
        <f t="shared" si="32"/>
        <v>BATES COLLEGE</v>
      </c>
      <c r="E153">
        <f t="shared" si="33"/>
        <v>290718</v>
      </c>
      <c r="F153" t="str">
        <f t="shared" si="34"/>
        <v>ACF</v>
      </c>
      <c r="G153" t="str">
        <f t="shared" si="35"/>
        <v>13-8735535</v>
      </c>
      <c r="H153">
        <f t="shared" ca="1" si="36"/>
        <v>792248</v>
      </c>
      <c r="I153" t="str">
        <f t="shared" si="37"/>
        <v>Annual</v>
      </c>
      <c r="N153" s="1">
        <v>224787</v>
      </c>
      <c r="Q153" s="1" t="s">
        <v>1331</v>
      </c>
      <c r="T153" s="52" t="s">
        <v>1943</v>
      </c>
      <c r="U153">
        <v>24184581</v>
      </c>
      <c r="V153" s="10" t="s">
        <v>1330</v>
      </c>
      <c r="W153" s="10" t="s">
        <v>1330</v>
      </c>
      <c r="X153" t="s">
        <v>150</v>
      </c>
      <c r="Y153" s="1" t="s">
        <v>1329</v>
      </c>
      <c r="AA153" s="88">
        <f t="shared" ca="1" si="43"/>
        <v>2233402</v>
      </c>
      <c r="AB153" t="s">
        <v>81</v>
      </c>
      <c r="AI153" s="1">
        <v>126366</v>
      </c>
      <c r="AJ153" s="1" t="s">
        <v>119</v>
      </c>
      <c r="AK153" s="1" t="str">
        <f t="shared" si="38"/>
        <v/>
      </c>
      <c r="AL153" t="b">
        <f t="shared" si="39"/>
        <v>1</v>
      </c>
      <c r="AM153" s="49" t="str">
        <f t="shared" si="40"/>
        <v>Q</v>
      </c>
      <c r="AP153" s="10" t="s">
        <v>327</v>
      </c>
      <c r="AS153" t="s">
        <v>119</v>
      </c>
      <c r="AT153" s="6" t="s">
        <v>327</v>
      </c>
      <c r="AU153" s="6" t="str">
        <f t="shared" si="41"/>
        <v/>
      </c>
      <c r="AV153" s="6" t="s">
        <v>104</v>
      </c>
      <c r="AW153" s="6" t="str">
        <f t="shared" si="42"/>
        <v/>
      </c>
    </row>
    <row r="154" spans="1:49" ht="75">
      <c r="A154" s="1">
        <v>126366</v>
      </c>
      <c r="B154" t="str">
        <f t="shared" si="30"/>
        <v>5R87IR84479-77</v>
      </c>
      <c r="C154" s="6" t="str">
        <f t="shared" si="31"/>
        <v>A HEALTH STUDY OF NEW YORK STATE COMMUNITIES EXPOSED TO PFAS CONTAMINATED DRINKING WATER</v>
      </c>
      <c r="D154" s="6" t="str">
        <f t="shared" si="32"/>
        <v>BATES COLLEGE</v>
      </c>
      <c r="E154">
        <f t="shared" si="33"/>
        <v>290718</v>
      </c>
      <c r="F154" t="str">
        <f t="shared" si="34"/>
        <v>ACF</v>
      </c>
      <c r="G154" t="str">
        <f t="shared" si="35"/>
        <v>13-8735535</v>
      </c>
      <c r="H154">
        <f t="shared" ca="1" si="36"/>
        <v>792248</v>
      </c>
      <c r="I154" t="str">
        <f t="shared" si="37"/>
        <v>Annual</v>
      </c>
      <c r="N154" s="1">
        <v>224793</v>
      </c>
      <c r="Q154" s="1" t="s">
        <v>1336</v>
      </c>
      <c r="T154" s="57" t="s">
        <v>1944</v>
      </c>
      <c r="U154">
        <v>24184581</v>
      </c>
      <c r="V154" s="10" t="s">
        <v>1335</v>
      </c>
      <c r="W154" s="10" t="s">
        <v>1335</v>
      </c>
      <c r="X154" t="s">
        <v>86</v>
      </c>
      <c r="Y154" s="1" t="s">
        <v>1334</v>
      </c>
      <c r="AA154" s="88">
        <f t="shared" ca="1" si="43"/>
        <v>2202998</v>
      </c>
      <c r="AB154" t="s">
        <v>81</v>
      </c>
      <c r="AI154" s="1">
        <v>126366</v>
      </c>
      <c r="AJ154" s="1" t="s">
        <v>119</v>
      </c>
      <c r="AK154" s="1" t="str">
        <f t="shared" si="38"/>
        <v/>
      </c>
      <c r="AL154" t="b">
        <f t="shared" si="39"/>
        <v>1</v>
      </c>
      <c r="AM154" s="49" t="str">
        <f t="shared" si="40"/>
        <v>Q</v>
      </c>
      <c r="AP154" s="10" t="s">
        <v>113</v>
      </c>
      <c r="AS154" t="s">
        <v>119</v>
      </c>
      <c r="AT154" s="6" t="s">
        <v>113</v>
      </c>
      <c r="AU154" s="6" t="str">
        <f t="shared" si="41"/>
        <v/>
      </c>
      <c r="AV154" s="6" t="s">
        <v>112</v>
      </c>
      <c r="AW154" s="6" t="str">
        <f t="shared" si="42"/>
        <v/>
      </c>
    </row>
    <row r="155" spans="1:49" ht="165">
      <c r="A155" s="1">
        <v>126387</v>
      </c>
      <c r="B155" t="str">
        <f t="shared" si="30"/>
        <v>2C98HS84464-73</v>
      </c>
      <c r="C155" s="6" t="str">
        <f t="shared" si="31"/>
        <v>NEW YORK STATE COMPONENT A: BD-STEPS II CORE</v>
      </c>
      <c r="D155" s="6" t="str">
        <f t="shared" si="32"/>
        <v>BATTELLE CENTERS/PUB HLTH RES &amp; EVALUATN</v>
      </c>
      <c r="E155">
        <f t="shared" si="33"/>
        <v>290718</v>
      </c>
      <c r="F155" t="str">
        <f t="shared" si="34"/>
        <v>CDC</v>
      </c>
      <c r="G155" t="str">
        <f t="shared" si="35"/>
        <v>13-8735536</v>
      </c>
      <c r="H155">
        <f t="shared" ca="1" si="36"/>
        <v>874172</v>
      </c>
      <c r="I155" t="str">
        <f t="shared" si="37"/>
        <v>Annual</v>
      </c>
      <c r="N155" s="1">
        <v>224818</v>
      </c>
      <c r="Q155" s="1" t="s">
        <v>1342</v>
      </c>
      <c r="T155" s="52" t="s">
        <v>1945</v>
      </c>
      <c r="U155">
        <v>24184581</v>
      </c>
      <c r="V155" s="10" t="s">
        <v>1341</v>
      </c>
      <c r="W155" s="10" t="s">
        <v>1341</v>
      </c>
      <c r="X155" t="s">
        <v>117</v>
      </c>
      <c r="Y155" s="1" t="s">
        <v>1340</v>
      </c>
      <c r="AA155" s="88">
        <f t="shared" ca="1" si="43"/>
        <v>2607978</v>
      </c>
      <c r="AB155" t="s">
        <v>81</v>
      </c>
      <c r="AI155" s="1">
        <v>126387</v>
      </c>
      <c r="AJ155" s="1" t="s">
        <v>584</v>
      </c>
      <c r="AK155" s="1" t="str">
        <f t="shared" si="38"/>
        <v/>
      </c>
      <c r="AL155" t="b">
        <f t="shared" si="39"/>
        <v>0</v>
      </c>
      <c r="AM155" s="49" t="str">
        <f t="shared" si="40"/>
        <v>Q</v>
      </c>
      <c r="AP155" s="10" t="s">
        <v>97</v>
      </c>
      <c r="AS155" t="s">
        <v>1946</v>
      </c>
      <c r="AT155" s="6" t="s">
        <v>97</v>
      </c>
      <c r="AU155" s="6" t="str">
        <f t="shared" si="41"/>
        <v>The errors in accounting will be corrected. The accounting policy suggested will be followed. The financials will be recalculated based on the revised accounting policies and submitted.</v>
      </c>
      <c r="AV155" s="6" t="s">
        <v>96</v>
      </c>
      <c r="AW155" s="6" t="str">
        <f t="shared" si="42"/>
        <v>Change in accounting practice</v>
      </c>
    </row>
    <row r="156" spans="1:49" ht="135">
      <c r="A156" s="1">
        <v>126387</v>
      </c>
      <c r="B156" t="str">
        <f t="shared" si="30"/>
        <v>2C98HS84464-73</v>
      </c>
      <c r="C156" s="6" t="str">
        <f t="shared" si="31"/>
        <v>NEW YORK STATE COMPONENT A: BD-STEPS II CORE</v>
      </c>
      <c r="D156" s="6" t="str">
        <f t="shared" si="32"/>
        <v>BATTELLE CENTERS/PUB HLTH RES &amp; EVALUATN</v>
      </c>
      <c r="E156">
        <f t="shared" si="33"/>
        <v>290718</v>
      </c>
      <c r="F156" t="str">
        <f t="shared" si="34"/>
        <v>CDC</v>
      </c>
      <c r="G156" t="str">
        <f t="shared" si="35"/>
        <v>13-8735536</v>
      </c>
      <c r="H156">
        <f t="shared" ca="1" si="36"/>
        <v>874172</v>
      </c>
      <c r="I156" t="str">
        <f t="shared" si="37"/>
        <v>Annual</v>
      </c>
      <c r="N156" s="1">
        <v>224851</v>
      </c>
      <c r="Q156" s="1" t="s">
        <v>1349</v>
      </c>
      <c r="T156" s="57" t="s">
        <v>1849</v>
      </c>
      <c r="U156">
        <v>25566796</v>
      </c>
      <c r="V156" s="10" t="s">
        <v>1348</v>
      </c>
      <c r="W156" s="10" t="s">
        <v>1348</v>
      </c>
      <c r="X156" t="s">
        <v>132</v>
      </c>
      <c r="Y156" s="1" t="s">
        <v>1347</v>
      </c>
      <c r="AA156" s="88">
        <f t="shared" ca="1" si="43"/>
        <v>2144932</v>
      </c>
      <c r="AB156" t="s">
        <v>81</v>
      </c>
      <c r="AI156" s="1">
        <v>126387</v>
      </c>
      <c r="AJ156" s="1" t="s">
        <v>584</v>
      </c>
      <c r="AK156" s="1" t="str">
        <f t="shared" si="38"/>
        <v/>
      </c>
      <c r="AL156" t="b">
        <f t="shared" si="39"/>
        <v>0</v>
      </c>
      <c r="AM156" s="49" t="str">
        <f t="shared" si="40"/>
        <v>Q</v>
      </c>
      <c r="AP156" s="10" t="s">
        <v>327</v>
      </c>
      <c r="AS156" t="s">
        <v>1946</v>
      </c>
      <c r="AT156" s="6" t="s">
        <v>327</v>
      </c>
      <c r="AU156" s="6" t="str">
        <f t="shared" si="41"/>
        <v>Cost rate will be followed. The revised rate will be applied from the last audit period and the expenditure recalculated and submitted.</v>
      </c>
      <c r="AV156" s="6" t="s">
        <v>104</v>
      </c>
      <c r="AW156" s="6" t="str">
        <f t="shared" si="42"/>
        <v>Cost rate Corrections</v>
      </c>
    </row>
    <row r="157" spans="1:49" ht="90">
      <c r="A157" s="1">
        <v>126387</v>
      </c>
      <c r="B157" t="str">
        <f t="shared" si="30"/>
        <v>2C98HS84464-73</v>
      </c>
      <c r="C157" s="6" t="str">
        <f t="shared" si="31"/>
        <v>NEW YORK STATE COMPONENT A: BD-STEPS II CORE</v>
      </c>
      <c r="D157" s="6" t="str">
        <f t="shared" si="32"/>
        <v>BATTELLE CENTERS/PUB HLTH RES &amp; EVALUATN</v>
      </c>
      <c r="E157">
        <f t="shared" si="33"/>
        <v>290718</v>
      </c>
      <c r="F157" t="str">
        <f t="shared" si="34"/>
        <v>CDC</v>
      </c>
      <c r="G157" t="str">
        <f t="shared" si="35"/>
        <v>13-8735536</v>
      </c>
      <c r="H157">
        <f t="shared" ca="1" si="36"/>
        <v>874172</v>
      </c>
      <c r="I157" t="str">
        <f t="shared" si="37"/>
        <v>Annual</v>
      </c>
      <c r="N157" s="1">
        <v>225477</v>
      </c>
      <c r="Q157" s="1" t="s">
        <v>1353</v>
      </c>
      <c r="T157" s="54" t="s">
        <v>1947</v>
      </c>
      <c r="U157">
        <v>25566796</v>
      </c>
      <c r="V157" s="10" t="s">
        <v>1352</v>
      </c>
      <c r="W157" s="10" t="s">
        <v>1352</v>
      </c>
      <c r="X157" t="s">
        <v>150</v>
      </c>
      <c r="Y157" s="1" t="s">
        <v>1351</v>
      </c>
      <c r="AA157" s="88">
        <f t="shared" ca="1" si="43"/>
        <v>2964974</v>
      </c>
      <c r="AB157" t="s">
        <v>81</v>
      </c>
      <c r="AI157" s="1">
        <v>126387</v>
      </c>
      <c r="AJ157" s="1" t="s">
        <v>584</v>
      </c>
      <c r="AK157" s="1" t="str">
        <f t="shared" si="38"/>
        <v/>
      </c>
      <c r="AL157" t="b">
        <f t="shared" si="39"/>
        <v>0</v>
      </c>
      <c r="AM157" s="49" t="str">
        <f t="shared" si="40"/>
        <v>Q</v>
      </c>
      <c r="AP157" s="10" t="s">
        <v>113</v>
      </c>
      <c r="AS157" t="s">
        <v>1946</v>
      </c>
      <c r="AT157" s="6" t="s">
        <v>113</v>
      </c>
      <c r="AU157" s="6" t="str">
        <f t="shared" si="41"/>
        <v>Loan accounts will be reviewed and appropriate amendments will be made and submitted</v>
      </c>
      <c r="AV157" s="6" t="s">
        <v>112</v>
      </c>
      <c r="AW157" s="6" t="str">
        <f t="shared" si="42"/>
        <v>Loan accountsrecalculation</v>
      </c>
    </row>
    <row r="158" spans="1:49" ht="90">
      <c r="A158" s="1">
        <v>129412</v>
      </c>
      <c r="B158" t="str">
        <f t="shared" si="30"/>
        <v>2C94BS84466-70</v>
      </c>
      <c r="C158" s="6" t="str">
        <f t="shared" si="31"/>
        <v>SURVEILLANCE OF CONGENITAL HEART DEFECTS AMONG CHILDREN, ADOLESCENTS &amp; ADULTS</v>
      </c>
      <c r="D158" s="6" t="str">
        <f t="shared" si="32"/>
        <v>BATTELLE MEMORIAL INSTITUTE</v>
      </c>
      <c r="E158">
        <f t="shared" si="33"/>
        <v>290718</v>
      </c>
      <c r="F158" t="str">
        <f t="shared" si="34"/>
        <v>NIH</v>
      </c>
      <c r="G158" t="str">
        <f t="shared" si="35"/>
        <v>13-8735537</v>
      </c>
      <c r="H158">
        <f t="shared" ca="1" si="36"/>
        <v>1220431</v>
      </c>
      <c r="I158" t="str">
        <f t="shared" si="37"/>
        <v>Annual</v>
      </c>
      <c r="N158" s="1">
        <v>225505</v>
      </c>
      <c r="Q158" s="1" t="s">
        <v>1358</v>
      </c>
      <c r="T158" s="51" t="s">
        <v>1850</v>
      </c>
      <c r="U158">
        <v>25566796</v>
      </c>
      <c r="V158" s="10" t="s">
        <v>1357</v>
      </c>
      <c r="W158" s="10" t="s">
        <v>1357</v>
      </c>
      <c r="X158" t="s">
        <v>86</v>
      </c>
      <c r="Y158" s="1" t="s">
        <v>1356</v>
      </c>
      <c r="AA158" s="88">
        <f t="shared" ca="1" si="43"/>
        <v>2555429</v>
      </c>
      <c r="AB158" t="s">
        <v>81</v>
      </c>
      <c r="AI158" s="1">
        <v>129412</v>
      </c>
      <c r="AJ158" s="1" t="s">
        <v>119</v>
      </c>
      <c r="AK158" s="1" t="str">
        <f t="shared" si="38"/>
        <v/>
      </c>
      <c r="AL158" t="b">
        <f t="shared" si="39"/>
        <v>1</v>
      </c>
      <c r="AM158" s="49" t="str">
        <f t="shared" si="40"/>
        <v>Q</v>
      </c>
      <c r="AP158" s="10" t="s">
        <v>97</v>
      </c>
      <c r="AS158" t="s">
        <v>119</v>
      </c>
      <c r="AT158" s="6" t="s">
        <v>97</v>
      </c>
      <c r="AU158" s="6" t="str">
        <f t="shared" si="41"/>
        <v/>
      </c>
      <c r="AV158" s="6" t="s">
        <v>96</v>
      </c>
      <c r="AW158" s="6" t="str">
        <f t="shared" si="42"/>
        <v/>
      </c>
    </row>
    <row r="159" spans="1:49" ht="75">
      <c r="A159" s="1">
        <v>129412</v>
      </c>
      <c r="B159" t="str">
        <f t="shared" si="30"/>
        <v>2C94BS84466-70</v>
      </c>
      <c r="C159" s="6" t="str">
        <f t="shared" si="31"/>
        <v>SURVEILLANCE OF CONGENITAL HEART DEFECTS AMONG CHILDREN, ADOLESCENTS &amp; ADULTS</v>
      </c>
      <c r="D159" s="6" t="str">
        <f t="shared" si="32"/>
        <v>BATTELLE MEMORIAL INSTITUTE</v>
      </c>
      <c r="E159">
        <f t="shared" si="33"/>
        <v>290718</v>
      </c>
      <c r="F159" t="str">
        <f t="shared" si="34"/>
        <v>NIH</v>
      </c>
      <c r="G159" t="str">
        <f t="shared" si="35"/>
        <v>13-8735537</v>
      </c>
      <c r="H159">
        <f t="shared" ca="1" si="36"/>
        <v>1220431</v>
      </c>
      <c r="I159" t="str">
        <f t="shared" si="37"/>
        <v>Annual</v>
      </c>
      <c r="N159" s="1">
        <v>227026</v>
      </c>
      <c r="Q159" s="1" t="s">
        <v>1364</v>
      </c>
      <c r="T159" s="54" t="s">
        <v>1948</v>
      </c>
      <c r="U159">
        <v>15214380</v>
      </c>
      <c r="V159" s="10" t="s">
        <v>1363</v>
      </c>
      <c r="W159" s="10" t="s">
        <v>1363</v>
      </c>
      <c r="X159" t="s">
        <v>117</v>
      </c>
      <c r="Y159" s="1" t="s">
        <v>1362</v>
      </c>
      <c r="AA159" s="88">
        <f t="shared" ca="1" si="43"/>
        <v>2675510</v>
      </c>
      <c r="AB159" t="s">
        <v>81</v>
      </c>
      <c r="AI159" s="1">
        <v>129412</v>
      </c>
      <c r="AJ159" s="1" t="s">
        <v>119</v>
      </c>
      <c r="AK159" s="1" t="str">
        <f t="shared" si="38"/>
        <v/>
      </c>
      <c r="AL159" t="b">
        <f t="shared" si="39"/>
        <v>1</v>
      </c>
      <c r="AM159" s="49" t="str">
        <f t="shared" si="40"/>
        <v>Q</v>
      </c>
      <c r="AP159" s="10" t="s">
        <v>327</v>
      </c>
      <c r="AS159" t="s">
        <v>119</v>
      </c>
      <c r="AT159" s="6" t="s">
        <v>327</v>
      </c>
      <c r="AU159" s="6" t="str">
        <f t="shared" si="41"/>
        <v/>
      </c>
      <c r="AV159" s="6" t="s">
        <v>104</v>
      </c>
      <c r="AW159" s="6" t="str">
        <f t="shared" si="42"/>
        <v/>
      </c>
    </row>
    <row r="160" spans="1:49" ht="150">
      <c r="A160" s="1">
        <v>143147</v>
      </c>
      <c r="B160" t="str">
        <f t="shared" si="30"/>
        <v>8C18HS84802-74</v>
      </c>
      <c r="C160" s="6" t="str">
        <f t="shared" si="31"/>
        <v>DOCUMENTATION AND USE OF FOLLOW-UP DIAGNOSTIC AND INTERVENTION SERVICES DATA THROUGH THE MAINTENANCE AND ENHANCEMENT OF THE NEW YORK EARLY
HEARING DETECTION AND INTERVENTION INFORMATION SYSTEM</v>
      </c>
      <c r="D160" s="6" t="str">
        <f t="shared" si="32"/>
        <v>BATTELLE PACIFIC NORTHWEST LABORATORIES</v>
      </c>
      <c r="E160">
        <f t="shared" si="33"/>
        <v>290718</v>
      </c>
      <c r="F160" t="str">
        <f t="shared" si="34"/>
        <v>FDA</v>
      </c>
      <c r="G160" t="str">
        <f t="shared" si="35"/>
        <v>13-8735538</v>
      </c>
      <c r="H160">
        <f t="shared" ca="1" si="36"/>
        <v>1019493</v>
      </c>
      <c r="I160" t="str">
        <f t="shared" si="37"/>
        <v>Annual</v>
      </c>
      <c r="N160" s="1">
        <v>227039</v>
      </c>
      <c r="Q160" s="1" t="s">
        <v>1370</v>
      </c>
      <c r="T160" s="54" t="s">
        <v>1949</v>
      </c>
      <c r="U160">
        <v>15214380</v>
      </c>
      <c r="V160" s="10" t="s">
        <v>1369</v>
      </c>
      <c r="W160" s="10" t="s">
        <v>1369</v>
      </c>
      <c r="X160" t="s">
        <v>132</v>
      </c>
      <c r="Y160" s="1" t="s">
        <v>1368</v>
      </c>
      <c r="AA160" s="88">
        <f t="shared" ca="1" si="43"/>
        <v>2091717</v>
      </c>
      <c r="AB160" t="s">
        <v>81</v>
      </c>
      <c r="AI160" s="1">
        <v>143147</v>
      </c>
      <c r="AJ160" s="1" t="s">
        <v>119</v>
      </c>
      <c r="AK160" s="1" t="str">
        <f t="shared" si="38"/>
        <v/>
      </c>
      <c r="AL160" t="b">
        <f t="shared" si="39"/>
        <v>1</v>
      </c>
      <c r="AM160" s="49" t="str">
        <f t="shared" si="40"/>
        <v>Q</v>
      </c>
      <c r="AP160" s="10" t="s">
        <v>97</v>
      </c>
      <c r="AS160" t="s">
        <v>119</v>
      </c>
      <c r="AT160" s="6" t="s">
        <v>97</v>
      </c>
      <c r="AU160" s="6" t="str">
        <f t="shared" si="41"/>
        <v/>
      </c>
      <c r="AV160" s="6" t="s">
        <v>96</v>
      </c>
      <c r="AW160" s="6" t="str">
        <f t="shared" si="42"/>
        <v/>
      </c>
    </row>
    <row r="161" spans="1:49" ht="150">
      <c r="A161" s="1">
        <v>143147</v>
      </c>
      <c r="B161" t="str">
        <f t="shared" si="30"/>
        <v>8C18HS84802-74</v>
      </c>
      <c r="C161" s="6" t="str">
        <f t="shared" si="31"/>
        <v>DOCUMENTATION AND USE OF FOLLOW-UP DIAGNOSTIC AND INTERVENTION SERVICES DATA THROUGH THE MAINTENANCE AND ENHANCEMENT OF THE NEW YORK EARLY
HEARING DETECTION AND INTERVENTION INFORMATION SYSTEM</v>
      </c>
      <c r="D161" s="6" t="str">
        <f t="shared" si="32"/>
        <v>BATTELLE PACIFIC NORTHWEST LABORATORIES</v>
      </c>
      <c r="E161">
        <f t="shared" si="33"/>
        <v>290718</v>
      </c>
      <c r="F161" t="str">
        <f t="shared" si="34"/>
        <v>FDA</v>
      </c>
      <c r="G161" t="str">
        <f t="shared" si="35"/>
        <v>13-8735538</v>
      </c>
      <c r="H161">
        <f t="shared" ca="1" si="36"/>
        <v>1019493</v>
      </c>
      <c r="I161" t="str">
        <f t="shared" si="37"/>
        <v>Annual</v>
      </c>
      <c r="N161" s="1">
        <v>227051</v>
      </c>
      <c r="Q161" s="1" t="s">
        <v>1375</v>
      </c>
      <c r="T161" s="65" t="s">
        <v>1950</v>
      </c>
      <c r="U161">
        <v>9672701</v>
      </c>
      <c r="V161" s="10" t="s">
        <v>1374</v>
      </c>
      <c r="W161" s="10" t="s">
        <v>1374</v>
      </c>
      <c r="X161" t="s">
        <v>150</v>
      </c>
      <c r="Y161" s="1" t="s">
        <v>1373</v>
      </c>
      <c r="AA161" s="88">
        <f t="shared" ca="1" si="43"/>
        <v>2813359</v>
      </c>
      <c r="AB161" t="s">
        <v>81</v>
      </c>
      <c r="AI161" s="1">
        <v>143147</v>
      </c>
      <c r="AJ161" s="1" t="s">
        <v>119</v>
      </c>
      <c r="AK161" s="1" t="str">
        <f t="shared" si="38"/>
        <v/>
      </c>
      <c r="AL161" t="b">
        <f t="shared" si="39"/>
        <v>1</v>
      </c>
      <c r="AM161" s="49" t="str">
        <f t="shared" si="40"/>
        <v>Q</v>
      </c>
      <c r="AP161" s="10" t="s">
        <v>327</v>
      </c>
      <c r="AS161" t="s">
        <v>119</v>
      </c>
      <c r="AT161" s="6" t="s">
        <v>327</v>
      </c>
      <c r="AU161" s="6" t="str">
        <f t="shared" si="41"/>
        <v/>
      </c>
      <c r="AV161" s="6" t="s">
        <v>104</v>
      </c>
      <c r="AW161" s="6" t="str">
        <f t="shared" si="42"/>
        <v/>
      </c>
    </row>
    <row r="162" spans="1:49" ht="105">
      <c r="A162" s="1">
        <v>155424</v>
      </c>
      <c r="B162" t="str">
        <f t="shared" si="30"/>
        <v>9C50AS77014-77</v>
      </c>
      <c r="C162" s="6" t="str">
        <f t="shared" si="31"/>
        <v>NYS IMPROVING THE HEALTH OF PEOPLE WITH MOBILITY LIMITATIONS AND INTELLECTUAL DISABILITIES THROUGH STATE-BASED PUBLIC
HEALTH PROGRAMS</v>
      </c>
      <c r="D162" s="6" t="str">
        <f t="shared" si="32"/>
        <v>BAY AREA TUMOR INSTITUTE</v>
      </c>
      <c r="E162">
        <f t="shared" si="33"/>
        <v>290718</v>
      </c>
      <c r="F162" t="str">
        <f t="shared" si="34"/>
        <v>ACF</v>
      </c>
      <c r="G162" t="str">
        <f t="shared" si="35"/>
        <v>13-8735539</v>
      </c>
      <c r="H162">
        <f t="shared" ca="1" si="36"/>
        <v>1084046</v>
      </c>
      <c r="I162" t="str">
        <f t="shared" si="37"/>
        <v>Annual</v>
      </c>
      <c r="N162" s="1">
        <v>227062</v>
      </c>
      <c r="Q162" s="1" t="s">
        <v>1380</v>
      </c>
      <c r="T162" s="50" t="s">
        <v>1951</v>
      </c>
      <c r="U162">
        <v>9672701</v>
      </c>
      <c r="V162" s="10" t="s">
        <v>1379</v>
      </c>
      <c r="W162" s="10" t="s">
        <v>1379</v>
      </c>
      <c r="X162" t="s">
        <v>86</v>
      </c>
      <c r="Y162" s="1" t="s">
        <v>1378</v>
      </c>
      <c r="AA162" s="88">
        <f t="shared" ca="1" si="43"/>
        <v>2266321</v>
      </c>
      <c r="AB162" t="s">
        <v>81</v>
      </c>
      <c r="AI162" s="1">
        <v>155424</v>
      </c>
      <c r="AJ162" s="1" t="s">
        <v>119</v>
      </c>
      <c r="AK162" s="1" t="str">
        <f t="shared" si="38"/>
        <v/>
      </c>
      <c r="AL162" t="b">
        <f t="shared" si="39"/>
        <v>1</v>
      </c>
      <c r="AM162" s="49" t="str">
        <f t="shared" si="40"/>
        <v>Q</v>
      </c>
      <c r="AP162" s="10" t="s">
        <v>97</v>
      </c>
      <c r="AS162" t="s">
        <v>119</v>
      </c>
      <c r="AT162" s="6" t="s">
        <v>97</v>
      </c>
      <c r="AU162" s="6" t="str">
        <f t="shared" si="41"/>
        <v/>
      </c>
      <c r="AV162" s="6" t="s">
        <v>96</v>
      </c>
      <c r="AW162" s="6" t="str">
        <f t="shared" si="42"/>
        <v/>
      </c>
    </row>
    <row r="163" spans="1:49" ht="105">
      <c r="A163" s="1">
        <v>155424</v>
      </c>
      <c r="B163" t="str">
        <f t="shared" si="30"/>
        <v>9C50AS77014-77</v>
      </c>
      <c r="C163" s="6" t="str">
        <f t="shared" si="31"/>
        <v>NYS IMPROVING THE HEALTH OF PEOPLE WITH MOBILITY LIMITATIONS AND INTELLECTUAL DISABILITIES THROUGH STATE-BASED PUBLIC
HEALTH PROGRAMS</v>
      </c>
      <c r="D163" s="6" t="str">
        <f t="shared" si="32"/>
        <v>BAY AREA TUMOR INSTITUTE</v>
      </c>
      <c r="E163">
        <f t="shared" si="33"/>
        <v>290718</v>
      </c>
      <c r="F163" t="str">
        <f t="shared" si="34"/>
        <v>ACF</v>
      </c>
      <c r="G163" t="str">
        <f t="shared" si="35"/>
        <v>13-8735539</v>
      </c>
      <c r="H163">
        <f t="shared" ca="1" si="36"/>
        <v>1084046</v>
      </c>
      <c r="I163" t="str">
        <f t="shared" si="37"/>
        <v>Annual</v>
      </c>
      <c r="N163" s="1">
        <v>227066</v>
      </c>
      <c r="Q163" s="1" t="s">
        <v>1385</v>
      </c>
      <c r="T163" s="57" t="s">
        <v>1952</v>
      </c>
      <c r="U163">
        <v>9672701</v>
      </c>
      <c r="V163" s="10" t="s">
        <v>1384</v>
      </c>
      <c r="W163" s="10" t="s">
        <v>1384</v>
      </c>
      <c r="X163" t="s">
        <v>117</v>
      </c>
      <c r="Y163" s="1" t="s">
        <v>1383</v>
      </c>
      <c r="AA163" s="88">
        <f t="shared" ca="1" si="43"/>
        <v>2488096</v>
      </c>
      <c r="AB163" t="s">
        <v>81</v>
      </c>
      <c r="AI163" s="1">
        <v>155424</v>
      </c>
      <c r="AJ163" s="1" t="s">
        <v>119</v>
      </c>
      <c r="AK163" s="1" t="str">
        <f t="shared" si="38"/>
        <v/>
      </c>
      <c r="AL163" t="b">
        <f t="shared" si="39"/>
        <v>1</v>
      </c>
      <c r="AM163" s="49" t="str">
        <f t="shared" si="40"/>
        <v>Q</v>
      </c>
      <c r="AP163" s="10" t="s">
        <v>327</v>
      </c>
      <c r="AS163" t="s">
        <v>119</v>
      </c>
      <c r="AT163" s="6" t="s">
        <v>327</v>
      </c>
      <c r="AU163" s="6" t="str">
        <f t="shared" si="41"/>
        <v/>
      </c>
      <c r="AV163" s="6" t="s">
        <v>104</v>
      </c>
      <c r="AW163" s="6" t="str">
        <f t="shared" si="42"/>
        <v/>
      </c>
    </row>
    <row r="164" spans="1:49" ht="90">
      <c r="A164" s="1">
        <v>158346</v>
      </c>
      <c r="B164" t="str">
        <f t="shared" si="30"/>
        <v>2C98HS86731-78</v>
      </c>
      <c r="C164" s="6" t="str">
        <f t="shared" si="31"/>
        <v>NEW YORK STATE COMPONENT A: BD-STEPS II CORE</v>
      </c>
      <c r="D164" s="6" t="str">
        <f t="shared" si="32"/>
        <v>BAYESIC TECHNOLOGIES, LLC</v>
      </c>
      <c r="E164">
        <f t="shared" si="33"/>
        <v>11227649</v>
      </c>
      <c r="F164" t="str">
        <f t="shared" si="34"/>
        <v>CDC</v>
      </c>
      <c r="G164" t="str">
        <f t="shared" si="35"/>
        <v>13-8735540</v>
      </c>
      <c r="H164">
        <f t="shared" ca="1" si="36"/>
        <v>1325719</v>
      </c>
      <c r="I164" t="str">
        <f t="shared" si="37"/>
        <v>Annual</v>
      </c>
      <c r="N164" s="1">
        <v>227315</v>
      </c>
      <c r="Q164" s="1" t="s">
        <v>1390</v>
      </c>
      <c r="T164" s="54" t="s">
        <v>1953</v>
      </c>
      <c r="U164">
        <v>9672701</v>
      </c>
      <c r="V164" s="10" t="s">
        <v>1389</v>
      </c>
      <c r="W164" s="10" t="s">
        <v>1389</v>
      </c>
      <c r="X164" t="s">
        <v>132</v>
      </c>
      <c r="Y164" s="1" t="s">
        <v>1388</v>
      </c>
      <c r="AA164" s="88">
        <f t="shared" ca="1" si="43"/>
        <v>2908096</v>
      </c>
      <c r="AB164" t="s">
        <v>81</v>
      </c>
      <c r="AI164" s="1">
        <v>158346</v>
      </c>
      <c r="AJ164" s="1" t="s">
        <v>119</v>
      </c>
      <c r="AK164" s="1" t="str">
        <f t="shared" si="38"/>
        <v/>
      </c>
      <c r="AL164" t="b">
        <f t="shared" si="39"/>
        <v>1</v>
      </c>
      <c r="AM164" s="49" t="str">
        <f t="shared" si="40"/>
        <v>Q</v>
      </c>
      <c r="AP164" s="10" t="s">
        <v>97</v>
      </c>
      <c r="AS164" t="s">
        <v>119</v>
      </c>
      <c r="AT164" s="6" t="s">
        <v>97</v>
      </c>
      <c r="AU164" s="6" t="str">
        <f t="shared" si="41"/>
        <v/>
      </c>
      <c r="AV164" s="6" t="s">
        <v>96</v>
      </c>
      <c r="AW164" s="6" t="str">
        <f t="shared" si="42"/>
        <v/>
      </c>
    </row>
    <row r="165" spans="1:49" ht="75">
      <c r="A165" s="1">
        <v>158346</v>
      </c>
      <c r="B165" t="str">
        <f t="shared" si="30"/>
        <v>2C98HS86731-78</v>
      </c>
      <c r="C165" s="6" t="str">
        <f t="shared" si="31"/>
        <v>NEW YORK STATE COMPONENT A: BD-STEPS II CORE</v>
      </c>
      <c r="D165" s="6" t="str">
        <f t="shared" si="32"/>
        <v>BAYESIC TECHNOLOGIES, LLC</v>
      </c>
      <c r="E165">
        <f t="shared" si="33"/>
        <v>11227649</v>
      </c>
      <c r="F165" t="str">
        <f t="shared" si="34"/>
        <v>CDC</v>
      </c>
      <c r="G165" t="str">
        <f t="shared" si="35"/>
        <v>13-8735540</v>
      </c>
      <c r="H165">
        <f t="shared" ca="1" si="36"/>
        <v>1325719</v>
      </c>
      <c r="I165" t="str">
        <f t="shared" si="37"/>
        <v>Annual</v>
      </c>
      <c r="N165" s="1">
        <v>228030</v>
      </c>
      <c r="Q165" s="1" t="s">
        <v>1395</v>
      </c>
      <c r="T165" s="54" t="s">
        <v>1954</v>
      </c>
      <c r="U165">
        <v>9672701</v>
      </c>
      <c r="V165" s="10" t="s">
        <v>1394</v>
      </c>
      <c r="W165" s="10" t="s">
        <v>1394</v>
      </c>
      <c r="X165" t="s">
        <v>150</v>
      </c>
      <c r="Y165" s="1" t="s">
        <v>1393</v>
      </c>
      <c r="AA165" s="88">
        <f t="shared" ca="1" si="43"/>
        <v>2819377</v>
      </c>
      <c r="AB165" t="s">
        <v>81</v>
      </c>
      <c r="AI165" s="1">
        <v>158346</v>
      </c>
      <c r="AJ165" s="1" t="s">
        <v>119</v>
      </c>
      <c r="AK165" s="1" t="str">
        <f t="shared" si="38"/>
        <v/>
      </c>
      <c r="AL165" t="b">
        <f t="shared" si="39"/>
        <v>1</v>
      </c>
      <c r="AM165" s="49" t="str">
        <f t="shared" si="40"/>
        <v>Q</v>
      </c>
      <c r="AP165" s="10" t="s">
        <v>327</v>
      </c>
      <c r="AS165" t="s">
        <v>119</v>
      </c>
      <c r="AT165" s="6" t="s">
        <v>327</v>
      </c>
      <c r="AU165" s="6" t="str">
        <f t="shared" si="41"/>
        <v/>
      </c>
      <c r="AV165" s="6" t="s">
        <v>104</v>
      </c>
      <c r="AW165" s="6" t="str">
        <f t="shared" si="42"/>
        <v/>
      </c>
    </row>
    <row r="166" spans="1:49" ht="60">
      <c r="A166" s="1">
        <v>158346</v>
      </c>
      <c r="B166" t="str">
        <f t="shared" si="30"/>
        <v>2C98HS86731-78</v>
      </c>
      <c r="C166" s="6" t="str">
        <f t="shared" si="31"/>
        <v>NEW YORK STATE COMPONENT A: BD-STEPS II CORE</v>
      </c>
      <c r="D166" s="6" t="str">
        <f t="shared" si="32"/>
        <v>BAYESIC TECHNOLOGIES, LLC</v>
      </c>
      <c r="E166">
        <f t="shared" si="33"/>
        <v>11227649</v>
      </c>
      <c r="F166" t="str">
        <f t="shared" si="34"/>
        <v>CDC</v>
      </c>
      <c r="G166" t="str">
        <f t="shared" si="35"/>
        <v>13-8735540</v>
      </c>
      <c r="H166">
        <f t="shared" ca="1" si="36"/>
        <v>1325719</v>
      </c>
      <c r="I166" t="str">
        <f t="shared" si="37"/>
        <v>Annual</v>
      </c>
      <c r="N166" s="1">
        <v>228084</v>
      </c>
      <c r="Q166" s="1" t="s">
        <v>1401</v>
      </c>
      <c r="T166" s="54" t="s">
        <v>1955</v>
      </c>
      <c r="U166">
        <v>34240043</v>
      </c>
      <c r="V166" s="10" t="s">
        <v>1400</v>
      </c>
      <c r="W166" s="10" t="s">
        <v>1400</v>
      </c>
      <c r="X166" t="s">
        <v>86</v>
      </c>
      <c r="Y166" s="1" t="s">
        <v>1399</v>
      </c>
      <c r="AA166" s="88">
        <f t="shared" ca="1" si="43"/>
        <v>2068801</v>
      </c>
      <c r="AB166" t="s">
        <v>81</v>
      </c>
      <c r="AI166" s="1">
        <v>158346</v>
      </c>
      <c r="AJ166" s="1" t="s">
        <v>119</v>
      </c>
      <c r="AK166" s="1" t="str">
        <f t="shared" si="38"/>
        <v/>
      </c>
      <c r="AL166" t="b">
        <f t="shared" si="39"/>
        <v>1</v>
      </c>
      <c r="AM166" s="49" t="str">
        <f t="shared" si="40"/>
        <v>Q</v>
      </c>
      <c r="AP166" s="10"/>
      <c r="AS166" t="s">
        <v>119</v>
      </c>
      <c r="AT166" s="6" t="s">
        <v>812</v>
      </c>
      <c r="AU166" s="6" t="str">
        <f t="shared" si="41"/>
        <v/>
      </c>
      <c r="AV166" s="6" t="s">
        <v>811</v>
      </c>
      <c r="AW166" s="6" t="str">
        <f t="shared" si="42"/>
        <v/>
      </c>
    </row>
    <row r="167" spans="1:49" ht="75">
      <c r="A167" s="1">
        <v>158346</v>
      </c>
      <c r="B167" t="str">
        <f t="shared" si="30"/>
        <v>2C98HS86731-78</v>
      </c>
      <c r="C167" s="6" t="str">
        <f t="shared" si="31"/>
        <v>NEW YORK STATE COMPONENT A: BD-STEPS II CORE</v>
      </c>
      <c r="D167" s="6" t="str">
        <f t="shared" si="32"/>
        <v>BAYESIC TECHNOLOGIES, LLC</v>
      </c>
      <c r="E167">
        <f t="shared" si="33"/>
        <v>11227649</v>
      </c>
      <c r="F167" t="str">
        <f t="shared" si="34"/>
        <v>CDC</v>
      </c>
      <c r="G167" t="str">
        <f t="shared" si="35"/>
        <v>13-8735540</v>
      </c>
      <c r="H167">
        <f t="shared" ca="1" si="36"/>
        <v>1325719</v>
      </c>
      <c r="I167" t="str">
        <f t="shared" si="37"/>
        <v>Annual</v>
      </c>
      <c r="N167" s="1">
        <v>228101</v>
      </c>
      <c r="Q167" s="1" t="s">
        <v>1407</v>
      </c>
      <c r="T167" s="54" t="s">
        <v>1949</v>
      </c>
      <c r="U167">
        <v>34240043</v>
      </c>
      <c r="V167" s="10" t="s">
        <v>1406</v>
      </c>
      <c r="W167" s="10" t="s">
        <v>1406</v>
      </c>
      <c r="X167" t="s">
        <v>117</v>
      </c>
      <c r="Y167" s="1" t="s">
        <v>1405</v>
      </c>
      <c r="AA167" s="88">
        <f t="shared" ca="1" si="43"/>
        <v>2538519</v>
      </c>
      <c r="AB167" t="s">
        <v>81</v>
      </c>
      <c r="AI167" s="1">
        <v>158346</v>
      </c>
      <c r="AJ167" s="1" t="s">
        <v>119</v>
      </c>
      <c r="AK167" s="1" t="str">
        <f t="shared" si="38"/>
        <v/>
      </c>
      <c r="AL167" t="b">
        <f t="shared" si="39"/>
        <v>1</v>
      </c>
      <c r="AM167" s="49" t="str">
        <f t="shared" si="40"/>
        <v>Q</v>
      </c>
      <c r="AP167" s="10"/>
      <c r="AS167" t="s">
        <v>119</v>
      </c>
      <c r="AT167" s="6" t="s">
        <v>812</v>
      </c>
      <c r="AU167" s="6" t="str">
        <f t="shared" si="41"/>
        <v/>
      </c>
      <c r="AV167" s="6" t="s">
        <v>811</v>
      </c>
      <c r="AW167" s="6" t="str">
        <f t="shared" si="42"/>
        <v/>
      </c>
    </row>
    <row r="168" spans="1:49" ht="60">
      <c r="A168" s="1">
        <v>158346</v>
      </c>
      <c r="B168" t="str">
        <f t="shared" si="30"/>
        <v>2C98HS86731-78</v>
      </c>
      <c r="C168" s="6" t="str">
        <f t="shared" si="31"/>
        <v>NEW YORK STATE COMPONENT A: BD-STEPS II CORE</v>
      </c>
      <c r="D168" s="6" t="str">
        <f t="shared" si="32"/>
        <v>BAYESIC TECHNOLOGIES, LLC</v>
      </c>
      <c r="E168">
        <f t="shared" si="33"/>
        <v>11227649</v>
      </c>
      <c r="F168" t="str">
        <f t="shared" si="34"/>
        <v>CDC</v>
      </c>
      <c r="G168" t="str">
        <f t="shared" si="35"/>
        <v>13-8735540</v>
      </c>
      <c r="H168">
        <f t="shared" ca="1" si="36"/>
        <v>1325719</v>
      </c>
      <c r="I168" t="str">
        <f t="shared" si="37"/>
        <v>Annual</v>
      </c>
      <c r="N168" s="1">
        <v>228103</v>
      </c>
      <c r="Q168" s="1" t="s">
        <v>1411</v>
      </c>
      <c r="T168" s="54" t="s">
        <v>1949</v>
      </c>
      <c r="U168">
        <v>34240043</v>
      </c>
      <c r="V168" s="10" t="s">
        <v>1410</v>
      </c>
      <c r="W168" s="10" t="s">
        <v>1410</v>
      </c>
      <c r="X168" t="s">
        <v>132</v>
      </c>
      <c r="Y168" s="1" t="s">
        <v>1409</v>
      </c>
      <c r="AA168" s="88">
        <f t="shared" ca="1" si="43"/>
        <v>2831430</v>
      </c>
      <c r="AB168" t="s">
        <v>81</v>
      </c>
      <c r="AI168" s="1">
        <v>158346</v>
      </c>
      <c r="AJ168" s="1" t="s">
        <v>119</v>
      </c>
      <c r="AK168" s="1" t="str">
        <f t="shared" si="38"/>
        <v/>
      </c>
      <c r="AL168" t="b">
        <f t="shared" si="39"/>
        <v>1</v>
      </c>
      <c r="AM168" s="49" t="str">
        <f t="shared" si="40"/>
        <v>Q</v>
      </c>
      <c r="AP168" s="10"/>
      <c r="AS168" t="s">
        <v>119</v>
      </c>
      <c r="AT168" s="6" t="s">
        <v>812</v>
      </c>
      <c r="AU168" s="6" t="str">
        <f t="shared" si="41"/>
        <v/>
      </c>
      <c r="AV168" s="6" t="s">
        <v>811</v>
      </c>
      <c r="AW168" s="6" t="str">
        <f t="shared" si="42"/>
        <v/>
      </c>
    </row>
    <row r="169" spans="1:49" ht="90">
      <c r="A169" s="1">
        <v>164054</v>
      </c>
      <c r="B169" t="str">
        <f t="shared" si="30"/>
        <v>3B85IR86775-68</v>
      </c>
      <c r="C169" s="6" t="str">
        <f t="shared" si="31"/>
        <v>SURVEILLANCE OF CONGENITAL HEART DEFECTS AMONG CHILDREN, ADOLESCENTS &amp; ADULTS</v>
      </c>
      <c r="D169" s="6" t="str">
        <f t="shared" si="32"/>
        <v>BAYLOR COLLEGE OF MEDICINE</v>
      </c>
      <c r="E169">
        <f t="shared" si="33"/>
        <v>11227649</v>
      </c>
      <c r="F169" t="str">
        <f t="shared" si="34"/>
        <v>NIH</v>
      </c>
      <c r="G169" t="str">
        <f t="shared" si="35"/>
        <v>13-8735541</v>
      </c>
      <c r="H169">
        <f t="shared" ca="1" si="36"/>
        <v>1182873</v>
      </c>
      <c r="I169" t="str">
        <f t="shared" si="37"/>
        <v>Annual</v>
      </c>
      <c r="N169" s="1">
        <v>228285</v>
      </c>
      <c r="Q169" s="1" t="s">
        <v>1415</v>
      </c>
      <c r="T169" s="67" t="s">
        <v>1935</v>
      </c>
      <c r="U169">
        <v>34240043</v>
      </c>
      <c r="V169" s="10" t="s">
        <v>1414</v>
      </c>
      <c r="W169" s="10" t="s">
        <v>1414</v>
      </c>
      <c r="X169" t="s">
        <v>150</v>
      </c>
      <c r="Y169" s="1" t="s">
        <v>1413</v>
      </c>
      <c r="AA169" s="88">
        <f t="shared" ca="1" si="43"/>
        <v>2505187</v>
      </c>
      <c r="AB169" t="s">
        <v>81</v>
      </c>
      <c r="AI169" s="1">
        <v>164054</v>
      </c>
      <c r="AJ169" s="1" t="s">
        <v>119</v>
      </c>
      <c r="AK169" s="1" t="str">
        <f t="shared" si="38"/>
        <v/>
      </c>
      <c r="AL169" t="b">
        <f t="shared" si="39"/>
        <v>1</v>
      </c>
      <c r="AM169" s="49" t="str">
        <f t="shared" si="40"/>
        <v>Q</v>
      </c>
      <c r="AP169" s="10" t="s">
        <v>97</v>
      </c>
      <c r="AS169" t="s">
        <v>119</v>
      </c>
      <c r="AT169" s="6" t="s">
        <v>97</v>
      </c>
      <c r="AU169" s="6" t="str">
        <f t="shared" si="41"/>
        <v/>
      </c>
      <c r="AV169" s="6" t="s">
        <v>96</v>
      </c>
      <c r="AW169" s="6" t="str">
        <f t="shared" si="42"/>
        <v/>
      </c>
    </row>
    <row r="170" spans="1:49" ht="75">
      <c r="A170" s="1">
        <v>164054</v>
      </c>
      <c r="B170" t="str">
        <f t="shared" si="30"/>
        <v>3B85IR86775-68</v>
      </c>
      <c r="C170" s="6" t="str">
        <f t="shared" si="31"/>
        <v>SURVEILLANCE OF CONGENITAL HEART DEFECTS AMONG CHILDREN, ADOLESCENTS &amp; ADULTS</v>
      </c>
      <c r="D170" s="6" t="str">
        <f t="shared" si="32"/>
        <v>BAYLOR COLLEGE OF MEDICINE</v>
      </c>
      <c r="E170">
        <f t="shared" si="33"/>
        <v>11227649</v>
      </c>
      <c r="F170" t="str">
        <f t="shared" si="34"/>
        <v>NIH</v>
      </c>
      <c r="G170" t="str">
        <f t="shared" si="35"/>
        <v>13-8735541</v>
      </c>
      <c r="H170">
        <f t="shared" ca="1" si="36"/>
        <v>1182873</v>
      </c>
      <c r="I170" t="str">
        <f t="shared" si="37"/>
        <v>Annual</v>
      </c>
      <c r="N170" s="1">
        <v>228286</v>
      </c>
      <c r="Q170" s="1" t="s">
        <v>1421</v>
      </c>
      <c r="T170" s="54" t="s">
        <v>1956</v>
      </c>
      <c r="U170">
        <v>34240043</v>
      </c>
      <c r="V170" s="10" t="s">
        <v>1420</v>
      </c>
      <c r="W170" s="10" t="s">
        <v>1420</v>
      </c>
      <c r="X170" t="s">
        <v>86</v>
      </c>
      <c r="Y170" s="1" t="s">
        <v>1419</v>
      </c>
      <c r="AA170" s="88">
        <f t="shared" ca="1" si="43"/>
        <v>2960301</v>
      </c>
      <c r="AB170" t="s">
        <v>81</v>
      </c>
      <c r="AI170" s="1">
        <v>164054</v>
      </c>
      <c r="AJ170" s="1" t="s">
        <v>119</v>
      </c>
      <c r="AK170" s="1" t="str">
        <f t="shared" si="38"/>
        <v/>
      </c>
      <c r="AL170" t="b">
        <f t="shared" si="39"/>
        <v>1</v>
      </c>
      <c r="AM170" s="49" t="str">
        <f t="shared" si="40"/>
        <v>Q</v>
      </c>
      <c r="AP170" s="10" t="s">
        <v>327</v>
      </c>
      <c r="AS170" t="s">
        <v>119</v>
      </c>
      <c r="AT170" s="6" t="s">
        <v>327</v>
      </c>
      <c r="AU170" s="6" t="str">
        <f t="shared" si="41"/>
        <v/>
      </c>
      <c r="AV170" s="6" t="s">
        <v>104</v>
      </c>
      <c r="AW170" s="6" t="str">
        <f t="shared" si="42"/>
        <v/>
      </c>
    </row>
    <row r="171" spans="1:49" ht="120">
      <c r="A171" s="1">
        <v>164054</v>
      </c>
      <c r="B171" t="str">
        <f t="shared" si="30"/>
        <v>3B85IR86775-68</v>
      </c>
      <c r="C171" s="6" t="str">
        <f t="shared" si="31"/>
        <v>SURVEILLANCE OF CONGENITAL HEART DEFECTS AMONG CHILDREN, ADOLESCENTS &amp; ADULTS</v>
      </c>
      <c r="D171" s="6" t="str">
        <f t="shared" si="32"/>
        <v>BAYLOR COLLEGE OF MEDICINE</v>
      </c>
      <c r="E171">
        <f t="shared" si="33"/>
        <v>11227649</v>
      </c>
      <c r="F171" t="str">
        <f t="shared" si="34"/>
        <v>NIH</v>
      </c>
      <c r="G171" t="str">
        <f t="shared" si="35"/>
        <v>13-8735541</v>
      </c>
      <c r="H171">
        <f t="shared" ca="1" si="36"/>
        <v>1182873</v>
      </c>
      <c r="I171" t="str">
        <f t="shared" si="37"/>
        <v>Annual</v>
      </c>
      <c r="N171" s="1">
        <v>228390</v>
      </c>
      <c r="Q171" s="1" t="s">
        <v>1426</v>
      </c>
      <c r="T171" s="68" t="s">
        <v>1957</v>
      </c>
      <c r="U171">
        <v>988626</v>
      </c>
      <c r="V171" s="10" t="s">
        <v>1425</v>
      </c>
      <c r="W171" s="10" t="s">
        <v>1425</v>
      </c>
      <c r="X171" t="s">
        <v>117</v>
      </c>
      <c r="Y171" s="1" t="s">
        <v>1424</v>
      </c>
      <c r="AA171" s="88">
        <f t="shared" ca="1" si="43"/>
        <v>2055177</v>
      </c>
      <c r="AB171" t="s">
        <v>81</v>
      </c>
      <c r="AI171" s="1">
        <v>164054</v>
      </c>
      <c r="AJ171" s="1" t="s">
        <v>119</v>
      </c>
      <c r="AK171" s="1" t="str">
        <f t="shared" si="38"/>
        <v/>
      </c>
      <c r="AL171" t="b">
        <f t="shared" si="39"/>
        <v>1</v>
      </c>
      <c r="AM171" s="49" t="str">
        <f t="shared" si="40"/>
        <v>Q</v>
      </c>
      <c r="AP171" s="10" t="s">
        <v>113</v>
      </c>
      <c r="AS171" t="s">
        <v>119</v>
      </c>
      <c r="AT171" s="6" t="s">
        <v>113</v>
      </c>
      <c r="AU171" s="6" t="str">
        <f t="shared" si="41"/>
        <v/>
      </c>
      <c r="AV171" s="6" t="s">
        <v>112</v>
      </c>
      <c r="AW171" s="6" t="str">
        <f t="shared" si="42"/>
        <v/>
      </c>
    </row>
    <row r="172" spans="1:49" ht="120">
      <c r="A172" s="1">
        <v>181760</v>
      </c>
      <c r="B172" t="str">
        <f t="shared" si="30"/>
        <v>2D78CT89251-44</v>
      </c>
      <c r="C172" s="6" t="str">
        <f t="shared" si="31"/>
        <v>SEATTLE CHILDREN'S UROLOGIC MANAGEMENT TO PRESERVE INITIAL RENAL FUNCTION PROTOCOL FOR YOUNG CHILDREN WITH SPINA
BIFIDA (UMPIRE PROTOCOL) (COMPONENT C)</v>
      </c>
      <c r="D172" s="6" t="str">
        <f t="shared" si="32"/>
        <v>BAYLOR RESEARCH INSTITUTE</v>
      </c>
      <c r="E172">
        <f t="shared" si="33"/>
        <v>32992541</v>
      </c>
      <c r="F172" t="str">
        <f t="shared" si="34"/>
        <v>FDA</v>
      </c>
      <c r="G172" t="str">
        <f t="shared" si="35"/>
        <v>13-8735542</v>
      </c>
      <c r="H172">
        <f t="shared" ca="1" si="36"/>
        <v>1317552</v>
      </c>
      <c r="I172" t="str">
        <f t="shared" si="37"/>
        <v>Annual</v>
      </c>
      <c r="N172" s="1">
        <v>228483</v>
      </c>
      <c r="Q172" s="1" t="s">
        <v>1437</v>
      </c>
      <c r="T172" s="62" t="s">
        <v>1958</v>
      </c>
      <c r="U172">
        <v>988626</v>
      </c>
      <c r="V172" s="10" t="s">
        <v>1436</v>
      </c>
      <c r="W172" s="10" t="s">
        <v>1436</v>
      </c>
      <c r="X172" t="s">
        <v>132</v>
      </c>
      <c r="Y172" s="1" t="s">
        <v>1435</v>
      </c>
      <c r="AA172" s="88">
        <f t="shared" ca="1" si="43"/>
        <v>2484212</v>
      </c>
      <c r="AB172" t="s">
        <v>81</v>
      </c>
      <c r="AI172" s="1">
        <v>181760</v>
      </c>
      <c r="AJ172" s="1" t="s">
        <v>689</v>
      </c>
      <c r="AK172" s="1" t="str">
        <f t="shared" si="38"/>
        <v>Y</v>
      </c>
      <c r="AL172" t="b">
        <f t="shared" si="39"/>
        <v>0</v>
      </c>
      <c r="AM172" s="49" t="str">
        <f t="shared" si="40"/>
        <v>A</v>
      </c>
      <c r="AP172" s="10" t="s">
        <v>97</v>
      </c>
      <c r="AS172" t="s">
        <v>119</v>
      </c>
      <c r="AT172" s="6" t="s">
        <v>97</v>
      </c>
      <c r="AU172" s="6" t="str">
        <f t="shared" si="41"/>
        <v/>
      </c>
      <c r="AV172" s="6" t="s">
        <v>96</v>
      </c>
      <c r="AW172" s="6" t="str">
        <f t="shared" si="42"/>
        <v/>
      </c>
    </row>
    <row r="173" spans="1:49" ht="120">
      <c r="A173" s="1">
        <v>181760</v>
      </c>
      <c r="B173" t="str">
        <f t="shared" si="30"/>
        <v>2D78CT89251-44</v>
      </c>
      <c r="C173" s="6" t="str">
        <f t="shared" si="31"/>
        <v>SEATTLE CHILDREN'S UROLOGIC MANAGEMENT TO PRESERVE INITIAL RENAL FUNCTION PROTOCOL FOR YOUNG CHILDREN WITH SPINA
BIFIDA (UMPIRE PROTOCOL) (COMPONENT C)</v>
      </c>
      <c r="D173" s="6" t="str">
        <f t="shared" si="32"/>
        <v>BAYLOR RESEARCH INSTITUTE</v>
      </c>
      <c r="E173">
        <f t="shared" si="33"/>
        <v>32992541</v>
      </c>
      <c r="F173" t="str">
        <f t="shared" si="34"/>
        <v>FDA</v>
      </c>
      <c r="G173" t="str">
        <f t="shared" si="35"/>
        <v>13-8735542</v>
      </c>
      <c r="H173">
        <f t="shared" ca="1" si="36"/>
        <v>1317552</v>
      </c>
      <c r="I173" t="str">
        <f t="shared" si="37"/>
        <v>Annual</v>
      </c>
      <c r="N173" s="1">
        <v>230493</v>
      </c>
      <c r="Q173" s="1" t="s">
        <v>1442</v>
      </c>
      <c r="T173" s="56" t="s">
        <v>1936</v>
      </c>
      <c r="U173">
        <v>988626</v>
      </c>
      <c r="V173" s="10" t="s">
        <v>1441</v>
      </c>
      <c r="W173" s="10" t="s">
        <v>1441</v>
      </c>
      <c r="X173" t="s">
        <v>150</v>
      </c>
      <c r="Y173" s="1" t="s">
        <v>1440</v>
      </c>
      <c r="AA173" s="88">
        <f t="shared" ca="1" si="43"/>
        <v>2125720</v>
      </c>
      <c r="AB173" t="s">
        <v>81</v>
      </c>
      <c r="AI173" s="1">
        <v>181760</v>
      </c>
      <c r="AJ173" s="1" t="s">
        <v>689</v>
      </c>
      <c r="AK173" s="1" t="str">
        <f t="shared" si="38"/>
        <v>Y</v>
      </c>
      <c r="AL173" t="b">
        <f t="shared" si="39"/>
        <v>0</v>
      </c>
      <c r="AM173" s="49" t="str">
        <f t="shared" si="40"/>
        <v>A</v>
      </c>
      <c r="AP173" s="10" t="s">
        <v>327</v>
      </c>
      <c r="AS173" t="s">
        <v>119</v>
      </c>
      <c r="AT173" s="6" t="s">
        <v>327</v>
      </c>
      <c r="AU173" s="6" t="str">
        <f t="shared" si="41"/>
        <v/>
      </c>
      <c r="AV173" s="6" t="s">
        <v>104</v>
      </c>
      <c r="AW173" s="6" t="str">
        <f t="shared" si="42"/>
        <v/>
      </c>
    </row>
    <row r="174" spans="1:49" ht="120">
      <c r="A174" s="1">
        <v>181760</v>
      </c>
      <c r="B174" t="str">
        <f t="shared" si="30"/>
        <v>2D78CT89251-44</v>
      </c>
      <c r="C174" s="6" t="str">
        <f t="shared" si="31"/>
        <v>SEATTLE CHILDREN'S UROLOGIC MANAGEMENT TO PRESERVE INITIAL RENAL FUNCTION PROTOCOL FOR YOUNG CHILDREN WITH SPINA
BIFIDA (UMPIRE PROTOCOL) (COMPONENT C)</v>
      </c>
      <c r="D174" s="6" t="str">
        <f t="shared" si="32"/>
        <v>BAYLOR RESEARCH INSTITUTE</v>
      </c>
      <c r="E174">
        <f t="shared" si="33"/>
        <v>32992541</v>
      </c>
      <c r="F174" t="str">
        <f t="shared" si="34"/>
        <v>FDA</v>
      </c>
      <c r="G174" t="str">
        <f t="shared" si="35"/>
        <v>13-8735542</v>
      </c>
      <c r="H174">
        <f t="shared" ca="1" si="36"/>
        <v>1317552</v>
      </c>
      <c r="I174" t="str">
        <f t="shared" si="37"/>
        <v>Annual</v>
      </c>
      <c r="N174" s="1">
        <v>230495</v>
      </c>
      <c r="Q174" s="1" t="s">
        <v>1448</v>
      </c>
      <c r="T174" s="54" t="s">
        <v>1959</v>
      </c>
      <c r="U174">
        <v>16098312</v>
      </c>
      <c r="V174" s="10" t="s">
        <v>1447</v>
      </c>
      <c r="W174" s="10" t="s">
        <v>1447</v>
      </c>
      <c r="X174" t="s">
        <v>86</v>
      </c>
      <c r="Y174" s="1" t="s">
        <v>1446</v>
      </c>
      <c r="AA174" s="88">
        <f t="shared" ca="1" si="43"/>
        <v>2658393</v>
      </c>
      <c r="AB174" t="s">
        <v>81</v>
      </c>
      <c r="AI174" s="1">
        <v>181760</v>
      </c>
      <c r="AJ174" s="1" t="s">
        <v>689</v>
      </c>
      <c r="AK174" s="1" t="str">
        <f t="shared" si="38"/>
        <v>Y</v>
      </c>
      <c r="AL174" t="b">
        <f t="shared" si="39"/>
        <v>0</v>
      </c>
      <c r="AM174" s="49" t="str">
        <f t="shared" si="40"/>
        <v>A</v>
      </c>
      <c r="AP174" s="10" t="s">
        <v>113</v>
      </c>
      <c r="AS174" t="s">
        <v>119</v>
      </c>
      <c r="AT174" s="6" t="s">
        <v>113</v>
      </c>
      <c r="AU174" s="6" t="str">
        <f t="shared" si="41"/>
        <v/>
      </c>
      <c r="AV174" s="6" t="s">
        <v>112</v>
      </c>
      <c r="AW174" s="6" t="str">
        <f t="shared" si="42"/>
        <v/>
      </c>
    </row>
    <row r="175" spans="1:49" ht="165">
      <c r="A175" s="1">
        <v>182448</v>
      </c>
      <c r="B175" t="str">
        <f t="shared" si="30"/>
        <v>9C31BS89816-25</v>
      </c>
      <c r="C175" s="6" t="str">
        <f t="shared" si="31"/>
        <v>DOCUMENTATION AND USE OF FOLLOW-UP DIAGNOSTIC AND INTERVENTION SERVICES DATA THROUGH THE MAINTENANCE AND ENHANCEMENT OF THE EARLY HEARING
DETECTION AND INTERVENTION INFORMATION SYSTEM (EHDI-IS)</v>
      </c>
      <c r="D175" s="6" t="str">
        <f t="shared" si="32"/>
        <v>BAYLOR UNIVERSITY</v>
      </c>
      <c r="E175">
        <f t="shared" si="33"/>
        <v>32992541</v>
      </c>
      <c r="F175" t="str">
        <f t="shared" si="34"/>
        <v>ACF</v>
      </c>
      <c r="G175" t="str">
        <f t="shared" si="35"/>
        <v>13-8735543</v>
      </c>
      <c r="H175">
        <f t="shared" ca="1" si="36"/>
        <v>1781757</v>
      </c>
      <c r="I175" t="str">
        <f t="shared" si="37"/>
        <v>Annual</v>
      </c>
      <c r="N175" s="1">
        <v>230503</v>
      </c>
      <c r="Q175" s="1" t="s">
        <v>1453</v>
      </c>
      <c r="T175" s="54" t="s">
        <v>1960</v>
      </c>
      <c r="U175">
        <v>16098312</v>
      </c>
      <c r="V175" s="10" t="s">
        <v>1452</v>
      </c>
      <c r="W175" s="10" t="s">
        <v>1452</v>
      </c>
      <c r="X175" t="s">
        <v>117</v>
      </c>
      <c r="Y175" s="1" t="s">
        <v>1451</v>
      </c>
      <c r="AA175" s="88">
        <f t="shared" ca="1" si="43"/>
        <v>2712738</v>
      </c>
      <c r="AB175" t="s">
        <v>81</v>
      </c>
      <c r="AI175" s="1">
        <v>182448</v>
      </c>
      <c r="AJ175" s="1" t="s">
        <v>119</v>
      </c>
      <c r="AK175" s="1" t="str">
        <f t="shared" si="38"/>
        <v/>
      </c>
      <c r="AL175" t="b">
        <f t="shared" si="39"/>
        <v>1</v>
      </c>
      <c r="AM175" s="49" t="str">
        <f t="shared" si="40"/>
        <v>Q</v>
      </c>
      <c r="AP175" s="10" t="s">
        <v>97</v>
      </c>
      <c r="AS175" t="s">
        <v>119</v>
      </c>
      <c r="AT175" s="6" t="s">
        <v>97</v>
      </c>
      <c r="AU175" s="6" t="str">
        <f t="shared" si="41"/>
        <v/>
      </c>
      <c r="AV175" s="6" t="s">
        <v>96</v>
      </c>
      <c r="AW175" s="6" t="str">
        <f t="shared" si="42"/>
        <v/>
      </c>
    </row>
    <row r="176" spans="1:49" ht="165">
      <c r="A176" s="1">
        <v>182448</v>
      </c>
      <c r="B176" t="str">
        <f t="shared" si="30"/>
        <v>9C31BS89816-25</v>
      </c>
      <c r="C176" s="6" t="str">
        <f t="shared" si="31"/>
        <v>DOCUMENTATION AND USE OF FOLLOW-UP DIAGNOSTIC AND INTERVENTION SERVICES DATA THROUGH THE MAINTENANCE AND ENHANCEMENT OF THE EARLY HEARING
DETECTION AND INTERVENTION INFORMATION SYSTEM (EHDI-IS)</v>
      </c>
      <c r="D176" s="6" t="str">
        <f t="shared" si="32"/>
        <v>BAYLOR UNIVERSITY</v>
      </c>
      <c r="E176">
        <f t="shared" si="33"/>
        <v>32992541</v>
      </c>
      <c r="F176" t="str">
        <f t="shared" si="34"/>
        <v>ACF</v>
      </c>
      <c r="G176" t="str">
        <f t="shared" si="35"/>
        <v>13-8735543</v>
      </c>
      <c r="H176">
        <f t="shared" ca="1" si="36"/>
        <v>1781757</v>
      </c>
      <c r="I176" t="str">
        <f t="shared" si="37"/>
        <v>Annual</v>
      </c>
      <c r="N176" s="1">
        <v>230504</v>
      </c>
      <c r="Q176" s="1" t="s">
        <v>1458</v>
      </c>
      <c r="T176" s="54" t="s">
        <v>1961</v>
      </c>
      <c r="U176">
        <v>16098312</v>
      </c>
      <c r="V176" s="10" t="s">
        <v>1457</v>
      </c>
      <c r="W176" s="10" t="s">
        <v>1457</v>
      </c>
      <c r="X176" t="s">
        <v>132</v>
      </c>
      <c r="Y176" s="1" t="s">
        <v>1456</v>
      </c>
      <c r="AA176" s="88">
        <f t="shared" ca="1" si="43"/>
        <v>2791403</v>
      </c>
      <c r="AB176" t="s">
        <v>81</v>
      </c>
      <c r="AI176" s="1">
        <v>182448</v>
      </c>
      <c r="AJ176" s="1" t="s">
        <v>119</v>
      </c>
      <c r="AK176" s="1" t="str">
        <f t="shared" si="38"/>
        <v/>
      </c>
      <c r="AL176" t="b">
        <f t="shared" si="39"/>
        <v>1</v>
      </c>
      <c r="AM176" s="49" t="str">
        <f t="shared" si="40"/>
        <v>Q</v>
      </c>
      <c r="AP176" s="10" t="s">
        <v>327</v>
      </c>
      <c r="AS176" t="s">
        <v>119</v>
      </c>
      <c r="AT176" s="6" t="s">
        <v>327</v>
      </c>
      <c r="AU176" s="6" t="str">
        <f t="shared" si="41"/>
        <v/>
      </c>
      <c r="AV176" s="6" t="s">
        <v>104</v>
      </c>
      <c r="AW176" s="6" t="str">
        <f t="shared" si="42"/>
        <v/>
      </c>
    </row>
    <row r="177" spans="1:49" ht="165">
      <c r="A177" s="1">
        <v>182448</v>
      </c>
      <c r="B177" t="str">
        <f t="shared" si="30"/>
        <v>9C31BS89816-25</v>
      </c>
      <c r="C177" s="6" t="str">
        <f t="shared" si="31"/>
        <v>DOCUMENTATION AND USE OF FOLLOW-UP DIAGNOSTIC AND INTERVENTION SERVICES DATA THROUGH THE MAINTENANCE AND ENHANCEMENT OF THE EARLY HEARING
DETECTION AND INTERVENTION INFORMATION SYSTEM (EHDI-IS)</v>
      </c>
      <c r="D177" s="6" t="str">
        <f t="shared" si="32"/>
        <v>BAYLOR UNIVERSITY</v>
      </c>
      <c r="E177">
        <f t="shared" si="33"/>
        <v>32992541</v>
      </c>
      <c r="F177" t="str">
        <f t="shared" si="34"/>
        <v>ACF</v>
      </c>
      <c r="G177" t="str">
        <f t="shared" si="35"/>
        <v>13-8735543</v>
      </c>
      <c r="H177">
        <f t="shared" ca="1" si="36"/>
        <v>1781757</v>
      </c>
      <c r="I177" t="str">
        <f t="shared" si="37"/>
        <v>Annual</v>
      </c>
      <c r="N177" s="1">
        <v>230721</v>
      </c>
      <c r="Q177" s="1" t="s">
        <v>1463</v>
      </c>
      <c r="T177" s="57" t="s">
        <v>1962</v>
      </c>
      <c r="U177">
        <v>38632498</v>
      </c>
      <c r="V177" s="10" t="s">
        <v>1462</v>
      </c>
      <c r="W177" s="10" t="s">
        <v>1462</v>
      </c>
      <c r="X177" t="s">
        <v>150</v>
      </c>
      <c r="Y177" s="1" t="s">
        <v>1461</v>
      </c>
      <c r="AA177" s="88">
        <f t="shared" ca="1" si="43"/>
        <v>2953110</v>
      </c>
      <c r="AB177" t="s">
        <v>81</v>
      </c>
      <c r="AI177" s="1">
        <v>182448</v>
      </c>
      <c r="AJ177" s="1" t="s">
        <v>119</v>
      </c>
      <c r="AK177" s="1" t="str">
        <f t="shared" si="38"/>
        <v/>
      </c>
      <c r="AL177" t="b">
        <f t="shared" si="39"/>
        <v>1</v>
      </c>
      <c r="AM177" s="49" t="str">
        <f t="shared" si="40"/>
        <v>Q</v>
      </c>
      <c r="AP177" s="10" t="s">
        <v>113</v>
      </c>
      <c r="AS177" t="s">
        <v>119</v>
      </c>
      <c r="AT177" s="6" t="s">
        <v>113</v>
      </c>
      <c r="AU177" s="6" t="str">
        <f t="shared" si="41"/>
        <v/>
      </c>
      <c r="AV177" s="6" t="s">
        <v>112</v>
      </c>
      <c r="AW177" s="6" t="str">
        <f t="shared" si="42"/>
        <v/>
      </c>
    </row>
    <row r="178" spans="1:49" ht="105">
      <c r="A178" s="1">
        <v>182528</v>
      </c>
      <c r="B178" t="str">
        <f t="shared" si="30"/>
        <v>8C54DS88995-36</v>
      </c>
      <c r="C178" s="6" t="str">
        <f t="shared" si="31"/>
        <v>WASHINGTON'S NOVEL APPROACH:  IMPROVING ARTHRITIS MANAGEMENT AND REDUCING ARTHRITIS BURDEN USING A MULTI-TIERED
APPROACH.</v>
      </c>
      <c r="D178" s="6" t="str">
        <f t="shared" si="32"/>
        <v>BAYSTATE MEDICAL CENTER</v>
      </c>
      <c r="E178">
        <f t="shared" si="33"/>
        <v>32992541</v>
      </c>
      <c r="F178" t="str">
        <f t="shared" si="34"/>
        <v>CDC</v>
      </c>
      <c r="G178" t="str">
        <f t="shared" si="35"/>
        <v>13-8735544</v>
      </c>
      <c r="H178">
        <f t="shared" ca="1" si="36"/>
        <v>1137215</v>
      </c>
      <c r="I178" t="str">
        <f t="shared" si="37"/>
        <v>Annual</v>
      </c>
      <c r="N178" s="1">
        <v>230722</v>
      </c>
      <c r="Q178" s="1" t="s">
        <v>1471</v>
      </c>
      <c r="T178" s="64" t="s">
        <v>1963</v>
      </c>
      <c r="U178">
        <v>38632498</v>
      </c>
      <c r="V178" s="10" t="s">
        <v>1470</v>
      </c>
      <c r="W178" s="10" t="s">
        <v>1470</v>
      </c>
      <c r="X178" t="s">
        <v>86</v>
      </c>
      <c r="Y178" s="1" t="s">
        <v>1469</v>
      </c>
      <c r="AA178" s="88">
        <f t="shared" ca="1" si="43"/>
        <v>2882252</v>
      </c>
      <c r="AB178" t="s">
        <v>81</v>
      </c>
      <c r="AI178" s="1">
        <v>182528</v>
      </c>
      <c r="AJ178" s="1" t="s">
        <v>119</v>
      </c>
      <c r="AK178" s="1" t="str">
        <f t="shared" si="38"/>
        <v/>
      </c>
      <c r="AL178" t="b">
        <f t="shared" si="39"/>
        <v>1</v>
      </c>
      <c r="AM178" s="49" t="str">
        <f t="shared" si="40"/>
        <v>Q</v>
      </c>
      <c r="AP178" s="10" t="s">
        <v>97</v>
      </c>
      <c r="AS178" t="s">
        <v>119</v>
      </c>
      <c r="AT178" s="6" t="s">
        <v>97</v>
      </c>
      <c r="AU178" s="6" t="str">
        <f t="shared" si="41"/>
        <v/>
      </c>
      <c r="AV178" s="6" t="s">
        <v>96</v>
      </c>
      <c r="AW178" s="6" t="str">
        <f t="shared" si="42"/>
        <v/>
      </c>
    </row>
    <row r="179" spans="1:49" ht="105">
      <c r="A179" s="1">
        <v>182528</v>
      </c>
      <c r="B179" t="str">
        <f t="shared" si="30"/>
        <v>8C54DS88995-36</v>
      </c>
      <c r="C179" s="6" t="str">
        <f t="shared" si="31"/>
        <v>WASHINGTON'S NOVEL APPROACH:  IMPROVING ARTHRITIS MANAGEMENT AND REDUCING ARTHRITIS BURDEN USING A MULTI-TIERED
APPROACH.</v>
      </c>
      <c r="D179" s="6" t="str">
        <f t="shared" si="32"/>
        <v>BAYSTATE MEDICAL CENTER</v>
      </c>
      <c r="E179">
        <f t="shared" si="33"/>
        <v>32992541</v>
      </c>
      <c r="F179" t="str">
        <f t="shared" si="34"/>
        <v>CDC</v>
      </c>
      <c r="G179" t="str">
        <f t="shared" si="35"/>
        <v>13-8735544</v>
      </c>
      <c r="H179">
        <f t="shared" ca="1" si="36"/>
        <v>1137215</v>
      </c>
      <c r="I179" t="str">
        <f t="shared" si="37"/>
        <v>Annual</v>
      </c>
      <c r="N179" s="1">
        <v>230765</v>
      </c>
      <c r="Q179" s="1" t="s">
        <v>1480</v>
      </c>
      <c r="T179" s="53" t="s">
        <v>1846</v>
      </c>
      <c r="U179">
        <v>38632498</v>
      </c>
      <c r="V179" s="10" t="s">
        <v>1479</v>
      </c>
      <c r="W179" s="10" t="s">
        <v>1479</v>
      </c>
      <c r="X179" t="s">
        <v>117</v>
      </c>
      <c r="Y179" s="1" t="s">
        <v>1478</v>
      </c>
      <c r="AA179" s="88">
        <f t="shared" ca="1" si="43"/>
        <v>2962957</v>
      </c>
      <c r="AB179" t="s">
        <v>81</v>
      </c>
      <c r="AI179" s="1">
        <v>182528</v>
      </c>
      <c r="AJ179" s="1" t="s">
        <v>119</v>
      </c>
      <c r="AK179" s="1" t="str">
        <f t="shared" si="38"/>
        <v/>
      </c>
      <c r="AL179" t="b">
        <f t="shared" si="39"/>
        <v>1</v>
      </c>
      <c r="AM179" s="49" t="str">
        <f t="shared" si="40"/>
        <v>Q</v>
      </c>
      <c r="AP179" s="10" t="s">
        <v>327</v>
      </c>
      <c r="AS179" t="s">
        <v>119</v>
      </c>
      <c r="AT179" s="6" t="s">
        <v>327</v>
      </c>
      <c r="AU179" s="6" t="str">
        <f t="shared" si="41"/>
        <v/>
      </c>
      <c r="AV179" s="6" t="s">
        <v>104</v>
      </c>
      <c r="AW179" s="6" t="str">
        <f t="shared" si="42"/>
        <v/>
      </c>
    </row>
    <row r="180" spans="1:49" ht="165">
      <c r="A180" s="1">
        <v>183839</v>
      </c>
      <c r="B180" t="str">
        <f t="shared" si="30"/>
        <v>4C87ES89617-58</v>
      </c>
      <c r="C180" s="6" t="str">
        <f t="shared" si="31"/>
        <v>SPIPA NATIVE WOMEN'S WELLNESS
PROJECTSPIPA COMPREHENSIVE CANCER CONTROL PROJECT</v>
      </c>
      <c r="D180" s="6" t="str">
        <f t="shared" si="32"/>
        <v>BB MEDICAL SURGICAL, INC.</v>
      </c>
      <c r="E180">
        <f t="shared" si="33"/>
        <v>32992541</v>
      </c>
      <c r="F180" t="str">
        <f t="shared" si="34"/>
        <v>NIH</v>
      </c>
      <c r="G180" t="str">
        <f t="shared" si="35"/>
        <v>13-8735545</v>
      </c>
      <c r="H180">
        <f t="shared" ca="1" si="36"/>
        <v>1179817</v>
      </c>
      <c r="I180" t="str">
        <f t="shared" si="37"/>
        <v>Annual</v>
      </c>
      <c r="N180" s="1">
        <v>231267</v>
      </c>
      <c r="Q180" s="1" t="s">
        <v>1486</v>
      </c>
      <c r="T180" s="53" t="s">
        <v>1964</v>
      </c>
      <c r="U180">
        <v>4182641</v>
      </c>
      <c r="V180" s="10" t="s">
        <v>1485</v>
      </c>
      <c r="W180" s="10" t="s">
        <v>1485</v>
      </c>
      <c r="X180" t="s">
        <v>132</v>
      </c>
      <c r="Y180" s="1" t="s">
        <v>1484</v>
      </c>
      <c r="AA180" s="88">
        <f t="shared" ca="1" si="43"/>
        <v>2231923</v>
      </c>
      <c r="AB180" t="s">
        <v>81</v>
      </c>
      <c r="AI180" s="1">
        <v>183839</v>
      </c>
      <c r="AJ180" s="1" t="s">
        <v>584</v>
      </c>
      <c r="AK180" s="1" t="str">
        <f t="shared" si="38"/>
        <v/>
      </c>
      <c r="AL180" t="b">
        <f t="shared" si="39"/>
        <v>0</v>
      </c>
      <c r="AM180" s="49" t="str">
        <f t="shared" si="40"/>
        <v>Q</v>
      </c>
      <c r="AP180" s="10" t="s">
        <v>97</v>
      </c>
      <c r="AS180" t="s">
        <v>1946</v>
      </c>
      <c r="AT180" s="6" t="s">
        <v>97</v>
      </c>
      <c r="AU180" s="6" t="str">
        <f t="shared" si="41"/>
        <v>The errors in accounting will be corrected. The accounting policy suggested will be followed. The financials will be recalculated based on the revised accounting policies and submitted.</v>
      </c>
      <c r="AV180" s="6" t="s">
        <v>96</v>
      </c>
      <c r="AW180" s="6" t="str">
        <f t="shared" si="42"/>
        <v>Change in accounting practice</v>
      </c>
    </row>
    <row r="181" spans="1:49" ht="135">
      <c r="A181" s="1">
        <v>183839</v>
      </c>
      <c r="B181" t="str">
        <f t="shared" si="30"/>
        <v>4C87ES89617-58</v>
      </c>
      <c r="C181" s="6" t="str">
        <f t="shared" si="31"/>
        <v>SPIPA NATIVE WOMEN'S WELLNESS
PROJECTSPIPA COMPREHENSIVE CANCER CONTROL PROJECT</v>
      </c>
      <c r="D181" s="6" t="str">
        <f t="shared" si="32"/>
        <v>BB MEDICAL SURGICAL, INC.</v>
      </c>
      <c r="E181">
        <f t="shared" si="33"/>
        <v>32992541</v>
      </c>
      <c r="F181" t="str">
        <f t="shared" si="34"/>
        <v>NIH</v>
      </c>
      <c r="G181" t="str">
        <f t="shared" si="35"/>
        <v>13-8735545</v>
      </c>
      <c r="H181">
        <f t="shared" ca="1" si="36"/>
        <v>1179817</v>
      </c>
      <c r="I181" t="str">
        <f t="shared" si="37"/>
        <v>Annual</v>
      </c>
      <c r="N181" s="1">
        <v>233878</v>
      </c>
      <c r="Q181" s="1" t="s">
        <v>1491</v>
      </c>
      <c r="T181" s="50" t="s">
        <v>1965</v>
      </c>
      <c r="U181">
        <v>4182641</v>
      </c>
      <c r="V181" s="10" t="s">
        <v>1490</v>
      </c>
      <c r="W181" s="10" t="s">
        <v>1490</v>
      </c>
      <c r="X181" t="s">
        <v>150</v>
      </c>
      <c r="Y181" s="1" t="s">
        <v>1489</v>
      </c>
      <c r="AA181" s="88">
        <f t="shared" ca="1" si="43"/>
        <v>2451537</v>
      </c>
      <c r="AB181" t="s">
        <v>81</v>
      </c>
      <c r="AI181" s="1">
        <v>183839</v>
      </c>
      <c r="AJ181" s="1" t="s">
        <v>584</v>
      </c>
      <c r="AK181" s="1" t="str">
        <f t="shared" si="38"/>
        <v/>
      </c>
      <c r="AL181" t="b">
        <f t="shared" si="39"/>
        <v>0</v>
      </c>
      <c r="AM181" s="49" t="str">
        <f t="shared" si="40"/>
        <v>Q</v>
      </c>
      <c r="AP181" s="10" t="s">
        <v>327</v>
      </c>
      <c r="AS181" t="s">
        <v>1966</v>
      </c>
      <c r="AT181" s="6" t="s">
        <v>327</v>
      </c>
      <c r="AU181" s="6" t="str">
        <f t="shared" si="41"/>
        <v>Cost rate will be followed. The revised rate will be applied from the last audit period and the expenditure recalculated and submitted.</v>
      </c>
      <c r="AV181" s="6" t="s">
        <v>104</v>
      </c>
      <c r="AW181" s="6" t="str">
        <f t="shared" si="42"/>
        <v>Cost rate Corrections</v>
      </c>
    </row>
    <row r="182" spans="1:49" ht="90">
      <c r="A182" s="1">
        <v>183839</v>
      </c>
      <c r="B182" t="str">
        <f t="shared" si="30"/>
        <v>4C87ES89617-58</v>
      </c>
      <c r="C182" s="6" t="str">
        <f t="shared" si="31"/>
        <v>SPIPA NATIVE WOMEN'S WELLNESS
PROJECTSPIPA COMPREHENSIVE CANCER CONTROL PROJECT</v>
      </c>
      <c r="D182" s="6" t="str">
        <f t="shared" si="32"/>
        <v>BB MEDICAL SURGICAL, INC.</v>
      </c>
      <c r="E182">
        <f t="shared" si="33"/>
        <v>32992541</v>
      </c>
      <c r="F182" t="str">
        <f t="shared" si="34"/>
        <v>NIH</v>
      </c>
      <c r="G182" t="str">
        <f t="shared" si="35"/>
        <v>13-8735545</v>
      </c>
      <c r="H182">
        <f t="shared" ca="1" si="36"/>
        <v>1179817</v>
      </c>
      <c r="I182" t="str">
        <f t="shared" si="37"/>
        <v>Annual</v>
      </c>
      <c r="N182" s="1">
        <v>234203</v>
      </c>
      <c r="Q182" s="1" t="s">
        <v>1500</v>
      </c>
      <c r="T182" s="54" t="s">
        <v>1951</v>
      </c>
      <c r="U182">
        <v>4182641</v>
      </c>
      <c r="V182" s="10" t="s">
        <v>1499</v>
      </c>
      <c r="W182" s="10" t="s">
        <v>1499</v>
      </c>
      <c r="X182" t="s">
        <v>86</v>
      </c>
      <c r="Y182" s="1" t="s">
        <v>1498</v>
      </c>
      <c r="AA182" s="88">
        <f t="shared" ca="1" si="43"/>
        <v>2569216</v>
      </c>
      <c r="AB182" t="s">
        <v>81</v>
      </c>
      <c r="AI182" s="1">
        <v>183839</v>
      </c>
      <c r="AJ182" s="1" t="s">
        <v>584</v>
      </c>
      <c r="AK182" s="1" t="str">
        <f t="shared" si="38"/>
        <v/>
      </c>
      <c r="AL182" t="b">
        <f t="shared" si="39"/>
        <v>0</v>
      </c>
      <c r="AM182" s="49" t="str">
        <f t="shared" si="40"/>
        <v>Q</v>
      </c>
      <c r="AP182" s="10" t="s">
        <v>113</v>
      </c>
      <c r="AS182" t="s">
        <v>1966</v>
      </c>
      <c r="AT182" s="6" t="s">
        <v>113</v>
      </c>
      <c r="AU182" s="6" t="str">
        <f t="shared" si="41"/>
        <v>Loan accounts will be reviewed and appropriate amendments will be made and submitted</v>
      </c>
      <c r="AV182" s="6" t="s">
        <v>112</v>
      </c>
      <c r="AW182" s="6" t="str">
        <f t="shared" si="42"/>
        <v>Loan accountsrecalculation</v>
      </c>
    </row>
    <row r="183" spans="1:49" ht="90">
      <c r="A183" s="1">
        <v>185174</v>
      </c>
      <c r="B183" t="str">
        <f t="shared" si="30"/>
        <v>4C54DS88712-85</v>
      </c>
      <c r="C183" s="6" t="str">
        <f t="shared" si="31"/>
        <v>HEALTH PROMOTION AND DISEASE PREVENTION RESEARCH CENTER</v>
      </c>
      <c r="D183" s="6" t="str">
        <f t="shared" si="32"/>
        <v>BBC ENTREPRENUERIAL TRAINING AND CONSULTING, LLC</v>
      </c>
      <c r="E183">
        <f t="shared" si="33"/>
        <v>32992541</v>
      </c>
      <c r="F183" t="str">
        <f t="shared" si="34"/>
        <v>FDA</v>
      </c>
      <c r="G183" t="str">
        <f t="shared" si="35"/>
        <v>13-8735546</v>
      </c>
      <c r="H183">
        <f t="shared" ca="1" si="36"/>
        <v>1052748</v>
      </c>
      <c r="I183" t="str">
        <f t="shared" si="37"/>
        <v>Annual</v>
      </c>
      <c r="N183" s="1">
        <v>234417</v>
      </c>
      <c r="Q183" s="1" t="s">
        <v>1508</v>
      </c>
      <c r="T183" s="65" t="s">
        <v>1967</v>
      </c>
      <c r="U183">
        <v>1132146</v>
      </c>
      <c r="V183" s="10" t="s">
        <v>1507</v>
      </c>
      <c r="W183" s="10" t="s">
        <v>1507</v>
      </c>
      <c r="X183" t="s">
        <v>117</v>
      </c>
      <c r="Y183" s="1" t="s">
        <v>1506</v>
      </c>
      <c r="AA183" s="88">
        <f t="shared" ca="1" si="43"/>
        <v>2157285</v>
      </c>
      <c r="AB183" t="s">
        <v>81</v>
      </c>
      <c r="AI183" s="1">
        <v>185174</v>
      </c>
      <c r="AJ183" s="1" t="s">
        <v>119</v>
      </c>
      <c r="AK183" s="1" t="str">
        <f t="shared" si="38"/>
        <v/>
      </c>
      <c r="AL183" t="b">
        <f t="shared" si="39"/>
        <v>1</v>
      </c>
      <c r="AM183" s="49" t="str">
        <f t="shared" si="40"/>
        <v>Q</v>
      </c>
      <c r="AP183" s="10" t="s">
        <v>97</v>
      </c>
      <c r="AS183" t="s">
        <v>119</v>
      </c>
      <c r="AT183" s="6" t="s">
        <v>97</v>
      </c>
      <c r="AU183" s="6" t="str">
        <f t="shared" si="41"/>
        <v/>
      </c>
      <c r="AV183" s="6" t="s">
        <v>96</v>
      </c>
      <c r="AW183" s="6" t="str">
        <f t="shared" si="42"/>
        <v/>
      </c>
    </row>
    <row r="184" spans="1:49" ht="75">
      <c r="A184" s="1">
        <v>185174</v>
      </c>
      <c r="B184" t="str">
        <f t="shared" si="30"/>
        <v>4C54DS88712-85</v>
      </c>
      <c r="C184" s="6" t="str">
        <f t="shared" si="31"/>
        <v>HEALTH PROMOTION AND DISEASE PREVENTION RESEARCH CENTER</v>
      </c>
      <c r="D184" s="6" t="str">
        <f t="shared" si="32"/>
        <v>BBC ENTREPRENUERIAL TRAINING AND CONSULTING, LLC</v>
      </c>
      <c r="E184">
        <f t="shared" si="33"/>
        <v>32992541</v>
      </c>
      <c r="F184" t="str">
        <f t="shared" si="34"/>
        <v>FDA</v>
      </c>
      <c r="G184" t="str">
        <f t="shared" si="35"/>
        <v>13-8735546</v>
      </c>
      <c r="H184">
        <f t="shared" ca="1" si="36"/>
        <v>1052748</v>
      </c>
      <c r="I184" t="str">
        <f t="shared" si="37"/>
        <v>Annual</v>
      </c>
      <c r="N184" s="1">
        <v>236764</v>
      </c>
      <c r="Q184" s="1" t="s">
        <v>1513</v>
      </c>
      <c r="T184" s="54" t="s">
        <v>1949</v>
      </c>
      <c r="U184">
        <v>1132146</v>
      </c>
      <c r="V184" s="10" t="s">
        <v>1512</v>
      </c>
      <c r="W184" s="10" t="s">
        <v>1512</v>
      </c>
      <c r="X184" t="s">
        <v>132</v>
      </c>
      <c r="Y184" s="1" t="s">
        <v>1511</v>
      </c>
      <c r="AA184" s="88">
        <f t="shared" ca="1" si="43"/>
        <v>2199688</v>
      </c>
      <c r="AB184" t="s">
        <v>81</v>
      </c>
      <c r="AI184" s="1">
        <v>185174</v>
      </c>
      <c r="AJ184" s="1" t="s">
        <v>119</v>
      </c>
      <c r="AK184" s="1" t="str">
        <f t="shared" si="38"/>
        <v/>
      </c>
      <c r="AL184" t="b">
        <f t="shared" si="39"/>
        <v>1</v>
      </c>
      <c r="AM184" s="49" t="str">
        <f t="shared" si="40"/>
        <v>Q</v>
      </c>
      <c r="AP184" s="10" t="s">
        <v>327</v>
      </c>
      <c r="AS184" t="s">
        <v>119</v>
      </c>
      <c r="AT184" s="6" t="s">
        <v>327</v>
      </c>
      <c r="AU184" s="6" t="str">
        <f t="shared" si="41"/>
        <v/>
      </c>
      <c r="AV184" s="6" t="s">
        <v>104</v>
      </c>
      <c r="AW184" s="6" t="str">
        <f t="shared" si="42"/>
        <v/>
      </c>
    </row>
    <row r="185" spans="1:49" ht="105">
      <c r="A185" s="1">
        <v>185174</v>
      </c>
      <c r="B185" t="str">
        <f t="shared" si="30"/>
        <v>4C54DS88712-85</v>
      </c>
      <c r="C185" s="6" t="str">
        <f t="shared" si="31"/>
        <v>HEALTH PROMOTION AND DISEASE PREVENTION RESEARCH CENTER</v>
      </c>
      <c r="D185" s="6" t="str">
        <f t="shared" si="32"/>
        <v>BBC ENTREPRENUERIAL TRAINING AND CONSULTING, LLC</v>
      </c>
      <c r="E185">
        <f t="shared" si="33"/>
        <v>32992541</v>
      </c>
      <c r="F185" t="str">
        <f t="shared" si="34"/>
        <v>FDA</v>
      </c>
      <c r="G185" t="str">
        <f t="shared" si="35"/>
        <v>13-8735546</v>
      </c>
      <c r="H185">
        <f t="shared" ca="1" si="36"/>
        <v>1052748</v>
      </c>
      <c r="I185" t="str">
        <f t="shared" si="37"/>
        <v>Annual</v>
      </c>
      <c r="N185" s="1">
        <v>237082</v>
      </c>
      <c r="Q185" s="1" t="s">
        <v>1517</v>
      </c>
      <c r="T185" s="57" t="s">
        <v>1968</v>
      </c>
      <c r="U185">
        <v>1132146</v>
      </c>
      <c r="V185" s="10" t="s">
        <v>1516</v>
      </c>
      <c r="W185" s="10" t="s">
        <v>1516</v>
      </c>
      <c r="X185" t="s">
        <v>150</v>
      </c>
      <c r="Y185" s="1" t="s">
        <v>1515</v>
      </c>
      <c r="AA185" s="88">
        <f t="shared" ca="1" si="43"/>
        <v>2992418</v>
      </c>
      <c r="AB185" t="s">
        <v>81</v>
      </c>
      <c r="AI185" s="1">
        <v>185174</v>
      </c>
      <c r="AJ185" s="1" t="s">
        <v>119</v>
      </c>
      <c r="AK185" s="1" t="str">
        <f t="shared" si="38"/>
        <v/>
      </c>
      <c r="AL185" t="b">
        <f t="shared" si="39"/>
        <v>1</v>
      </c>
      <c r="AM185" s="49" t="str">
        <f t="shared" si="40"/>
        <v>Q</v>
      </c>
      <c r="AP185" s="10" t="s">
        <v>113</v>
      </c>
      <c r="AS185" t="s">
        <v>119</v>
      </c>
      <c r="AT185" s="6" t="s">
        <v>113</v>
      </c>
      <c r="AU185" s="6" t="str">
        <f t="shared" si="41"/>
        <v/>
      </c>
      <c r="AV185" s="6" t="s">
        <v>112</v>
      </c>
      <c r="AW185" s="6" t="str">
        <f t="shared" si="42"/>
        <v/>
      </c>
    </row>
    <row r="186" spans="1:49" ht="75">
      <c r="A186" s="1">
        <v>185174</v>
      </c>
      <c r="B186" t="str">
        <f t="shared" si="30"/>
        <v>4C54DS88712-85</v>
      </c>
      <c r="C186" s="6" t="str">
        <f t="shared" si="31"/>
        <v>HEALTH PROMOTION AND DISEASE PREVENTION RESEARCH CENTER</v>
      </c>
      <c r="D186" s="6" t="str">
        <f t="shared" si="32"/>
        <v>BBC ENTREPRENUERIAL TRAINING AND CONSULTING, LLC</v>
      </c>
      <c r="E186">
        <f t="shared" si="33"/>
        <v>32992541</v>
      </c>
      <c r="F186" t="str">
        <f t="shared" si="34"/>
        <v>FDA</v>
      </c>
      <c r="G186" t="str">
        <f t="shared" si="35"/>
        <v>13-8735546</v>
      </c>
      <c r="H186">
        <f t="shared" ca="1" si="36"/>
        <v>1052748</v>
      </c>
      <c r="I186" t="str">
        <f t="shared" si="37"/>
        <v>Annual</v>
      </c>
      <c r="N186" s="1">
        <v>237733</v>
      </c>
      <c r="Q186" s="1" t="s">
        <v>1523</v>
      </c>
      <c r="T186" s="57" t="s">
        <v>1969</v>
      </c>
      <c r="U186">
        <v>27498408</v>
      </c>
      <c r="V186" s="10" t="s">
        <v>1522</v>
      </c>
      <c r="W186" s="10" t="s">
        <v>1522</v>
      </c>
      <c r="X186" t="s">
        <v>86</v>
      </c>
      <c r="Y186" s="1" t="s">
        <v>1521</v>
      </c>
      <c r="AA186" s="88">
        <f t="shared" ca="1" si="43"/>
        <v>2985115</v>
      </c>
      <c r="AB186" t="s">
        <v>81</v>
      </c>
      <c r="AI186" s="1">
        <v>185174</v>
      </c>
      <c r="AJ186" s="1" t="s">
        <v>119</v>
      </c>
      <c r="AK186" s="1" t="str">
        <f t="shared" si="38"/>
        <v/>
      </c>
      <c r="AL186" t="b">
        <f t="shared" si="39"/>
        <v>1</v>
      </c>
      <c r="AM186" s="49" t="str">
        <f t="shared" si="40"/>
        <v>Q</v>
      </c>
      <c r="AP186" s="10"/>
      <c r="AS186" t="s">
        <v>119</v>
      </c>
      <c r="AT186" s="6" t="s">
        <v>812</v>
      </c>
      <c r="AU186" s="6" t="str">
        <f t="shared" si="41"/>
        <v/>
      </c>
      <c r="AV186" s="6" t="s">
        <v>811</v>
      </c>
      <c r="AW186" s="6" t="str">
        <f t="shared" si="42"/>
        <v/>
      </c>
    </row>
    <row r="187" spans="1:49" ht="90">
      <c r="A187" s="1">
        <v>185192</v>
      </c>
      <c r="B187" t="str">
        <f t="shared" si="30"/>
        <v>2C56ES86702-12</v>
      </c>
      <c r="C187" s="6" t="str">
        <f t="shared" si="31"/>
        <v>PREGNANCY RISK ASSESSMENT MONITORING SYSTEM (PRAMS)RFA-DP-16-001</v>
      </c>
      <c r="D187" s="6" t="str">
        <f t="shared" si="32"/>
        <v>BCN BIOSCIENCES, LLC</v>
      </c>
      <c r="E187">
        <f t="shared" si="33"/>
        <v>15180927</v>
      </c>
      <c r="F187" t="str">
        <f t="shared" si="34"/>
        <v>ACF</v>
      </c>
      <c r="G187" t="str">
        <f t="shared" si="35"/>
        <v>28-8723452</v>
      </c>
      <c r="H187">
        <f t="shared" ca="1" si="36"/>
        <v>1331730</v>
      </c>
      <c r="I187" t="str">
        <f t="shared" si="37"/>
        <v>Annual</v>
      </c>
      <c r="N187" s="1">
        <v>239787</v>
      </c>
      <c r="Q187" s="1" t="s">
        <v>1531</v>
      </c>
      <c r="T187" s="57" t="s">
        <v>1970</v>
      </c>
      <c r="U187">
        <v>27498408</v>
      </c>
      <c r="V187" s="10" t="s">
        <v>1530</v>
      </c>
      <c r="W187" s="10" t="s">
        <v>1530</v>
      </c>
      <c r="X187" t="s">
        <v>117</v>
      </c>
      <c r="Y187" s="1" t="s">
        <v>1529</v>
      </c>
      <c r="AA187" s="88">
        <f t="shared" ca="1" si="43"/>
        <v>2831326</v>
      </c>
      <c r="AB187" t="s">
        <v>81</v>
      </c>
      <c r="AI187" s="1">
        <v>185192</v>
      </c>
      <c r="AJ187" s="1" t="s">
        <v>119</v>
      </c>
      <c r="AK187" s="1" t="str">
        <f t="shared" si="38"/>
        <v/>
      </c>
      <c r="AL187" t="b">
        <f t="shared" si="39"/>
        <v>1</v>
      </c>
      <c r="AM187" s="49" t="str">
        <f t="shared" si="40"/>
        <v>Q</v>
      </c>
      <c r="AP187" s="10" t="s">
        <v>97</v>
      </c>
      <c r="AS187" t="s">
        <v>119</v>
      </c>
      <c r="AT187" s="6" t="s">
        <v>97</v>
      </c>
      <c r="AU187" s="6" t="str">
        <f t="shared" si="41"/>
        <v/>
      </c>
      <c r="AV187" s="6" t="s">
        <v>96</v>
      </c>
      <c r="AW187" s="6" t="str">
        <f t="shared" si="42"/>
        <v/>
      </c>
    </row>
    <row r="188" spans="1:49" ht="120">
      <c r="A188" s="1">
        <v>185192</v>
      </c>
      <c r="B188" t="str">
        <f t="shared" si="30"/>
        <v>2C56ES86702-12</v>
      </c>
      <c r="C188" s="6" t="str">
        <f t="shared" si="31"/>
        <v>PREGNANCY RISK ASSESSMENT MONITORING SYSTEM (PRAMS)RFA-DP-16-001</v>
      </c>
      <c r="D188" s="6" t="str">
        <f t="shared" si="32"/>
        <v>BCN BIOSCIENCES, LLC</v>
      </c>
      <c r="E188">
        <f t="shared" si="33"/>
        <v>15180927</v>
      </c>
      <c r="F188" t="str">
        <f t="shared" si="34"/>
        <v>ACF</v>
      </c>
      <c r="G188" t="str">
        <f t="shared" si="35"/>
        <v>28-8723452</v>
      </c>
      <c r="H188">
        <f t="shared" ca="1" si="36"/>
        <v>1331730</v>
      </c>
      <c r="I188" t="str">
        <f t="shared" si="37"/>
        <v>Annual</v>
      </c>
      <c r="N188" s="1">
        <v>240008</v>
      </c>
      <c r="Q188" s="1" t="s">
        <v>1538</v>
      </c>
      <c r="T188" s="56" t="s">
        <v>1971</v>
      </c>
      <c r="U188">
        <v>27498408</v>
      </c>
      <c r="V188" s="10" t="s">
        <v>1537</v>
      </c>
      <c r="W188" s="10" t="s">
        <v>1537</v>
      </c>
      <c r="X188" t="s">
        <v>132</v>
      </c>
      <c r="Y188" s="1" t="s">
        <v>1536</v>
      </c>
      <c r="AA188" s="88">
        <f t="shared" ca="1" si="43"/>
        <v>2092040</v>
      </c>
      <c r="AB188" t="s">
        <v>81</v>
      </c>
      <c r="AI188" s="1">
        <v>185192</v>
      </c>
      <c r="AJ188" s="1" t="s">
        <v>119</v>
      </c>
      <c r="AK188" s="1" t="str">
        <f t="shared" si="38"/>
        <v/>
      </c>
      <c r="AL188" t="b">
        <f t="shared" si="39"/>
        <v>1</v>
      </c>
      <c r="AM188" s="49" t="str">
        <f t="shared" si="40"/>
        <v>Q</v>
      </c>
      <c r="AP188" s="10" t="s">
        <v>327</v>
      </c>
      <c r="AS188" t="s">
        <v>119</v>
      </c>
      <c r="AT188" s="6" t="s">
        <v>327</v>
      </c>
      <c r="AU188" s="6" t="str">
        <f t="shared" si="41"/>
        <v/>
      </c>
      <c r="AV188" s="6" t="s">
        <v>104</v>
      </c>
      <c r="AW188" s="6" t="str">
        <f t="shared" si="42"/>
        <v/>
      </c>
    </row>
    <row r="189" spans="1:49" ht="90">
      <c r="A189" s="1">
        <v>185192</v>
      </c>
      <c r="B189" t="str">
        <f t="shared" si="30"/>
        <v>2C56ES86702-12</v>
      </c>
      <c r="C189" s="6" t="str">
        <f t="shared" si="31"/>
        <v>PREGNANCY RISK ASSESSMENT MONITORING SYSTEM (PRAMS)RFA-DP-16-001</v>
      </c>
      <c r="D189" s="6" t="str">
        <f t="shared" si="32"/>
        <v>BCN BIOSCIENCES, LLC</v>
      </c>
      <c r="E189">
        <f t="shared" si="33"/>
        <v>15180927</v>
      </c>
      <c r="F189" t="str">
        <f t="shared" si="34"/>
        <v>ACF</v>
      </c>
      <c r="G189" t="str">
        <f t="shared" si="35"/>
        <v>28-8723452</v>
      </c>
      <c r="H189">
        <f t="shared" ca="1" si="36"/>
        <v>1331730</v>
      </c>
      <c r="I189" t="str">
        <f t="shared" si="37"/>
        <v>Annual</v>
      </c>
      <c r="N189" s="1">
        <v>240086</v>
      </c>
      <c r="Q189" s="1" t="s">
        <v>1544</v>
      </c>
      <c r="T189" s="56" t="s">
        <v>1972</v>
      </c>
      <c r="U189">
        <v>4264302</v>
      </c>
      <c r="V189" s="10" t="s">
        <v>1543</v>
      </c>
      <c r="W189" s="10" t="s">
        <v>1543</v>
      </c>
      <c r="X189" t="s">
        <v>150</v>
      </c>
      <c r="Y189" s="1" t="s">
        <v>1542</v>
      </c>
      <c r="AA189" s="88">
        <f t="shared" ca="1" si="43"/>
        <v>2442851</v>
      </c>
      <c r="AB189" t="s">
        <v>81</v>
      </c>
      <c r="AI189" s="1">
        <v>185192</v>
      </c>
      <c r="AJ189" s="1" t="s">
        <v>119</v>
      </c>
      <c r="AK189" s="1" t="str">
        <f t="shared" si="38"/>
        <v/>
      </c>
      <c r="AL189" t="b">
        <f t="shared" si="39"/>
        <v>1</v>
      </c>
      <c r="AM189" s="49" t="str">
        <f t="shared" si="40"/>
        <v>Q</v>
      </c>
      <c r="AP189" s="10" t="s">
        <v>113</v>
      </c>
      <c r="AS189" t="s">
        <v>119</v>
      </c>
      <c r="AT189" s="6" t="s">
        <v>113</v>
      </c>
      <c r="AU189" s="6" t="str">
        <f t="shared" si="41"/>
        <v/>
      </c>
      <c r="AV189" s="6" t="s">
        <v>112</v>
      </c>
      <c r="AW189" s="6" t="str">
        <f t="shared" si="42"/>
        <v/>
      </c>
    </row>
    <row r="190" spans="1:49" ht="150">
      <c r="A190" s="1">
        <v>185196</v>
      </c>
      <c r="B190" t="str">
        <f t="shared" si="30"/>
        <v>1C79IS86705-29</v>
      </c>
      <c r="C190" s="6" t="str">
        <f t="shared" si="31"/>
        <v>REDUCES THE BURDEN OF CANCER IN WASHINGTON STATE.  THIS GRANT CREATES A STRUCTURE FOR THE COORDINATION AND COLLABORATION ACROSS THREE CANCER
COMPONENTS &amp; WITH OTHER CHRONIC DISEASE PROGRAMS.</v>
      </c>
      <c r="D190" s="6" t="str">
        <f t="shared" si="32"/>
        <v>University of Quensland</v>
      </c>
      <c r="E190">
        <f t="shared" si="33"/>
        <v>15180927</v>
      </c>
      <c r="F190" t="str">
        <f t="shared" si="34"/>
        <v>CDC</v>
      </c>
      <c r="G190" t="str">
        <f t="shared" si="35"/>
        <v>28-8723453</v>
      </c>
      <c r="H190">
        <f t="shared" ca="1" si="36"/>
        <v>1587646</v>
      </c>
      <c r="I190" t="str">
        <f t="shared" si="37"/>
        <v>Annual</v>
      </c>
      <c r="N190" s="1">
        <v>240501</v>
      </c>
      <c r="Q190" s="1" t="s">
        <v>1549</v>
      </c>
      <c r="T190" s="50" t="s">
        <v>1951</v>
      </c>
      <c r="U190">
        <v>4264302</v>
      </c>
      <c r="V190" s="10" t="s">
        <v>1548</v>
      </c>
      <c r="W190" s="10" t="s">
        <v>1548</v>
      </c>
      <c r="X190" t="s">
        <v>86</v>
      </c>
      <c r="Y190" s="1" t="s">
        <v>1547</v>
      </c>
      <c r="AA190" s="88">
        <f t="shared" ca="1" si="43"/>
        <v>2625578</v>
      </c>
      <c r="AB190" t="s">
        <v>81</v>
      </c>
      <c r="AI190" s="1">
        <v>185196</v>
      </c>
      <c r="AJ190" s="1" t="s">
        <v>119</v>
      </c>
      <c r="AK190" s="1" t="str">
        <f t="shared" si="38"/>
        <v/>
      </c>
      <c r="AL190" t="b">
        <f t="shared" si="39"/>
        <v>1</v>
      </c>
      <c r="AM190" s="49" t="str">
        <f t="shared" si="40"/>
        <v>Q</v>
      </c>
      <c r="AP190" s="10" t="s">
        <v>97</v>
      </c>
      <c r="AS190" t="s">
        <v>119</v>
      </c>
      <c r="AT190" s="6" t="s">
        <v>97</v>
      </c>
      <c r="AU190" s="6" t="str">
        <f t="shared" si="41"/>
        <v/>
      </c>
      <c r="AV190" s="6" t="s">
        <v>96</v>
      </c>
      <c r="AW190" s="6" t="str">
        <f t="shared" si="42"/>
        <v/>
      </c>
    </row>
    <row r="191" spans="1:49" ht="150">
      <c r="A191" s="1">
        <v>185196</v>
      </c>
      <c r="B191" t="str">
        <f t="shared" si="30"/>
        <v>1C79IS86705-29</v>
      </c>
      <c r="C191" s="6" t="str">
        <f t="shared" si="31"/>
        <v>REDUCES THE BURDEN OF CANCER IN WASHINGTON STATE.  THIS GRANT CREATES A STRUCTURE FOR THE COORDINATION AND COLLABORATION ACROSS THREE CANCER
COMPONENTS &amp; WITH OTHER CHRONIC DISEASE PROGRAMS.</v>
      </c>
      <c r="D191" s="6" t="str">
        <f t="shared" si="32"/>
        <v>University of Quensland</v>
      </c>
      <c r="E191">
        <f t="shared" si="33"/>
        <v>15180927</v>
      </c>
      <c r="F191" t="str">
        <f t="shared" si="34"/>
        <v>CDC</v>
      </c>
      <c r="G191" t="str">
        <f t="shared" si="35"/>
        <v>28-8723453</v>
      </c>
      <c r="H191">
        <f t="shared" ca="1" si="36"/>
        <v>1587646</v>
      </c>
      <c r="I191" t="str">
        <f t="shared" si="37"/>
        <v>Annual</v>
      </c>
      <c r="N191" s="1">
        <v>241890</v>
      </c>
      <c r="Q191" s="1" t="s">
        <v>1553</v>
      </c>
      <c r="T191" s="54" t="s">
        <v>1973</v>
      </c>
      <c r="U191">
        <v>4264302</v>
      </c>
      <c r="V191" s="10" t="s">
        <v>1552</v>
      </c>
      <c r="W191" s="10" t="s">
        <v>1552</v>
      </c>
      <c r="X191" t="s">
        <v>117</v>
      </c>
      <c r="Y191" s="1" t="s">
        <v>1551</v>
      </c>
      <c r="AA191" s="88">
        <f ca="1">RANDBETWEEN(2000000,400000000)</f>
        <v>355548066</v>
      </c>
      <c r="AB191" t="s">
        <v>81</v>
      </c>
      <c r="AI191" s="1">
        <v>185196</v>
      </c>
      <c r="AJ191" s="1" t="s">
        <v>119</v>
      </c>
      <c r="AK191" s="1" t="str">
        <f t="shared" si="38"/>
        <v/>
      </c>
      <c r="AL191" t="b">
        <f t="shared" si="39"/>
        <v>1</v>
      </c>
      <c r="AM191" s="49" t="str">
        <f t="shared" si="40"/>
        <v>Q</v>
      </c>
      <c r="AP191" s="10" t="s">
        <v>327</v>
      </c>
      <c r="AS191" t="s">
        <v>119</v>
      </c>
      <c r="AT191" s="6" t="s">
        <v>327</v>
      </c>
      <c r="AU191" s="6" t="str">
        <f t="shared" si="41"/>
        <v/>
      </c>
      <c r="AV191" s="6" t="s">
        <v>104</v>
      </c>
      <c r="AW191" s="6" t="str">
        <f t="shared" si="42"/>
        <v/>
      </c>
    </row>
    <row r="192" spans="1:49" ht="150">
      <c r="A192" s="1">
        <v>185196</v>
      </c>
      <c r="B192" t="str">
        <f t="shared" si="30"/>
        <v>1C79IS86705-29</v>
      </c>
      <c r="C192" s="6" t="str">
        <f t="shared" si="31"/>
        <v>REDUCES THE BURDEN OF CANCER IN WASHINGTON STATE.  THIS GRANT CREATES A STRUCTURE FOR THE COORDINATION AND COLLABORATION ACROSS THREE CANCER
COMPONENTS &amp; WITH OTHER CHRONIC DISEASE PROGRAMS.</v>
      </c>
      <c r="D192" s="6" t="str">
        <f t="shared" si="32"/>
        <v>University of Quensland</v>
      </c>
      <c r="E192">
        <f t="shared" si="33"/>
        <v>15180927</v>
      </c>
      <c r="F192" t="str">
        <f t="shared" si="34"/>
        <v>CDC</v>
      </c>
      <c r="G192" t="str">
        <f t="shared" si="35"/>
        <v>28-8723453</v>
      </c>
      <c r="H192">
        <f t="shared" ca="1" si="36"/>
        <v>1587646</v>
      </c>
      <c r="I192" t="str">
        <f t="shared" si="37"/>
        <v>Annual</v>
      </c>
      <c r="N192" s="1">
        <v>241915</v>
      </c>
      <c r="Q192" s="1" t="s">
        <v>1560</v>
      </c>
      <c r="T192" s="57" t="s">
        <v>1974</v>
      </c>
      <c r="U192">
        <v>21862752</v>
      </c>
      <c r="V192" s="10" t="s">
        <v>1559</v>
      </c>
      <c r="W192" s="10" t="s">
        <v>1559</v>
      </c>
      <c r="X192" t="s">
        <v>132</v>
      </c>
      <c r="Y192" s="1" t="s">
        <v>1558</v>
      </c>
      <c r="AA192" s="88">
        <f t="shared" ref="AA192:AA206" ca="1" si="44">RANDBETWEEN(2000000,400000000)</f>
        <v>161579082</v>
      </c>
      <c r="AB192" t="s">
        <v>81</v>
      </c>
      <c r="AI192" s="1">
        <v>185196</v>
      </c>
      <c r="AJ192" s="1" t="s">
        <v>119</v>
      </c>
      <c r="AK192" s="1" t="str">
        <f t="shared" si="38"/>
        <v/>
      </c>
      <c r="AL192" t="b">
        <f t="shared" si="39"/>
        <v>1</v>
      </c>
      <c r="AM192" s="49" t="str">
        <f t="shared" si="40"/>
        <v>Q</v>
      </c>
      <c r="AP192" s="10" t="s">
        <v>113</v>
      </c>
      <c r="AS192" t="s">
        <v>119</v>
      </c>
      <c r="AT192" s="6" t="s">
        <v>113</v>
      </c>
      <c r="AU192" s="6" t="str">
        <f t="shared" si="41"/>
        <v/>
      </c>
      <c r="AV192" s="6" t="s">
        <v>112</v>
      </c>
      <c r="AW192" s="6" t="str">
        <f t="shared" si="42"/>
        <v/>
      </c>
    </row>
    <row r="193" spans="1:49" ht="90">
      <c r="A193" s="1">
        <v>185396</v>
      </c>
      <c r="B193" t="str">
        <f t="shared" si="30"/>
        <v>3C79HS85446-67</v>
      </c>
      <c r="C193" s="6" t="str">
        <f t="shared" si="31"/>
        <v>THE CDC CANCER GENOMICS PROGRAM: TRANSLATING RESEARCH INTO PUBLIC HEALTH
PRACTICE</v>
      </c>
      <c r="D193" s="6" t="str">
        <f t="shared" si="32"/>
        <v>MONELL CHEMICAL SENSES CENTER</v>
      </c>
      <c r="E193">
        <f t="shared" si="33"/>
        <v>15180927</v>
      </c>
      <c r="F193" t="str">
        <f t="shared" si="34"/>
        <v>NIH</v>
      </c>
      <c r="G193" t="str">
        <f t="shared" si="35"/>
        <v>28-8723454</v>
      </c>
      <c r="H193">
        <f t="shared" ca="1" si="36"/>
        <v>1870333</v>
      </c>
      <c r="I193" t="str">
        <f t="shared" si="37"/>
        <v>Annual</v>
      </c>
      <c r="N193" s="1">
        <v>241916</v>
      </c>
      <c r="Q193" s="1" t="s">
        <v>1566</v>
      </c>
      <c r="T193" s="54" t="s">
        <v>1975</v>
      </c>
      <c r="U193">
        <v>21862752</v>
      </c>
      <c r="V193" s="10" t="s">
        <v>1565</v>
      </c>
      <c r="W193" s="10" t="s">
        <v>1565</v>
      </c>
      <c r="X193" t="s">
        <v>150</v>
      </c>
      <c r="Y193" s="1" t="s">
        <v>1564</v>
      </c>
      <c r="AA193" s="88">
        <f t="shared" ca="1" si="44"/>
        <v>214711070</v>
      </c>
      <c r="AB193" t="s">
        <v>81</v>
      </c>
      <c r="AI193" s="1">
        <v>185396</v>
      </c>
      <c r="AJ193" s="1" t="s">
        <v>119</v>
      </c>
      <c r="AK193" s="1" t="str">
        <f t="shared" si="38"/>
        <v/>
      </c>
      <c r="AL193" t="b">
        <f t="shared" si="39"/>
        <v>1</v>
      </c>
      <c r="AM193" s="49" t="str">
        <f t="shared" si="40"/>
        <v>Q</v>
      </c>
      <c r="AP193" s="10" t="s">
        <v>97</v>
      </c>
      <c r="AS193" t="s">
        <v>119</v>
      </c>
      <c r="AT193" s="6" t="s">
        <v>97</v>
      </c>
      <c r="AU193" s="6" t="str">
        <f t="shared" si="41"/>
        <v/>
      </c>
      <c r="AV193" s="6" t="s">
        <v>96</v>
      </c>
      <c r="AW193" s="6" t="str">
        <f t="shared" si="42"/>
        <v/>
      </c>
    </row>
    <row r="194" spans="1:49" ht="75">
      <c r="A194" s="1">
        <v>185396</v>
      </c>
      <c r="B194" t="str">
        <f t="shared" si="30"/>
        <v>3C79HS85446-67</v>
      </c>
      <c r="C194" s="6" t="str">
        <f t="shared" si="31"/>
        <v>THE CDC CANCER GENOMICS PROGRAM: TRANSLATING RESEARCH INTO PUBLIC HEALTH
PRACTICE</v>
      </c>
      <c r="D194" s="6" t="str">
        <f t="shared" si="32"/>
        <v>MONELL CHEMICAL SENSES CENTER</v>
      </c>
      <c r="E194">
        <f t="shared" si="33"/>
        <v>15180927</v>
      </c>
      <c r="F194" t="str">
        <f t="shared" si="34"/>
        <v>NIH</v>
      </c>
      <c r="G194" t="str">
        <f t="shared" si="35"/>
        <v>28-8723454</v>
      </c>
      <c r="H194">
        <f t="shared" ca="1" si="36"/>
        <v>1870333</v>
      </c>
      <c r="I194" t="str">
        <f t="shared" si="37"/>
        <v>Annual</v>
      </c>
      <c r="N194" s="1">
        <v>241917</v>
      </c>
      <c r="Q194" s="1" t="s">
        <v>1572</v>
      </c>
      <c r="T194" s="54" t="s">
        <v>1976</v>
      </c>
      <c r="U194">
        <v>21862752</v>
      </c>
      <c r="V194" s="10" t="s">
        <v>1571</v>
      </c>
      <c r="W194" s="10" t="s">
        <v>1571</v>
      </c>
      <c r="X194" t="s">
        <v>86</v>
      </c>
      <c r="Y194" s="1" t="s">
        <v>1570</v>
      </c>
      <c r="AA194" s="88">
        <f t="shared" ca="1" si="44"/>
        <v>190973965</v>
      </c>
      <c r="AB194" t="s">
        <v>81</v>
      </c>
      <c r="AI194" s="1">
        <v>185396</v>
      </c>
      <c r="AJ194" s="1" t="s">
        <v>119</v>
      </c>
      <c r="AK194" s="1" t="str">
        <f t="shared" si="38"/>
        <v/>
      </c>
      <c r="AL194" t="b">
        <f t="shared" si="39"/>
        <v>1</v>
      </c>
      <c r="AM194" s="49" t="str">
        <f t="shared" si="40"/>
        <v>Q</v>
      </c>
      <c r="AP194" s="10" t="s">
        <v>327</v>
      </c>
      <c r="AS194" t="s">
        <v>119</v>
      </c>
      <c r="AT194" s="6" t="s">
        <v>327</v>
      </c>
      <c r="AU194" s="6" t="str">
        <f t="shared" si="41"/>
        <v/>
      </c>
      <c r="AV194" s="6" t="s">
        <v>104</v>
      </c>
      <c r="AW194" s="6" t="str">
        <f t="shared" si="42"/>
        <v/>
      </c>
    </row>
    <row r="195" spans="1:49" ht="75">
      <c r="A195" s="1">
        <v>185396</v>
      </c>
      <c r="B195" t="str">
        <f t="shared" ref="B195:B258" si="45">VLOOKUP(A195,$N$2:$Q$206,4,FALSE)</f>
        <v>3C79HS85446-67</v>
      </c>
      <c r="C195" s="6" t="str">
        <f t="shared" ref="C195:C258" si="46">VLOOKUP(A195,$N$2:$T$206,7,FALSE)</f>
        <v>THE CDC CANCER GENOMICS PROGRAM: TRANSLATING RESEARCH INTO PUBLIC HEALTH
PRACTICE</v>
      </c>
      <c r="D195" s="6" t="str">
        <f t="shared" ref="D195:D258" si="47">VLOOKUP(A195,$N$2:$W$206,10,FALSE)</f>
        <v>MONELL CHEMICAL SENSES CENTER</v>
      </c>
      <c r="E195">
        <f t="shared" ref="E195:E258" si="48">VLOOKUP(A195,$N$2:$U$206,8,FALSE)</f>
        <v>15180927</v>
      </c>
      <c r="F195" t="str">
        <f t="shared" ref="F195:F258" si="49">VLOOKUP(A195,$N$2:$X$206,11,FALSE)</f>
        <v>NIH</v>
      </c>
      <c r="G195" t="str">
        <f t="shared" ref="G195:G258" si="50">VLOOKUP(A195,$N$2:$Y$206,12,FALSE)</f>
        <v>28-8723454</v>
      </c>
      <c r="H195">
        <f t="shared" ref="H195:H258" ca="1" si="51">VLOOKUP(A195,$N$2:$AA$206,14,FALSE)</f>
        <v>1870333</v>
      </c>
      <c r="I195" t="str">
        <f t="shared" ref="I195:I258" si="52">VLOOKUP(A195,$N$2:$AB$206,15,FALSE)</f>
        <v>Annual</v>
      </c>
      <c r="N195" s="1">
        <v>241991</v>
      </c>
      <c r="Q195" s="1" t="s">
        <v>1578</v>
      </c>
      <c r="T195" s="54" t="s">
        <v>1977</v>
      </c>
      <c r="U195">
        <v>10753812</v>
      </c>
      <c r="V195" s="10" t="s">
        <v>1577</v>
      </c>
      <c r="W195" s="10" t="s">
        <v>1577</v>
      </c>
      <c r="X195" t="s">
        <v>117</v>
      </c>
      <c r="Y195" s="1" t="s">
        <v>1576</v>
      </c>
      <c r="AA195" s="88">
        <f t="shared" ca="1" si="44"/>
        <v>159212094</v>
      </c>
      <c r="AB195" t="s">
        <v>81</v>
      </c>
      <c r="AI195" s="1">
        <v>185396</v>
      </c>
      <c r="AJ195" s="1" t="s">
        <v>119</v>
      </c>
      <c r="AK195" s="1" t="str">
        <f t="shared" ref="AK195:AK258" si="53">IF(ISNUMBER(SEARCH("C",AJ195)),"Y","")</f>
        <v/>
      </c>
      <c r="AL195" t="b">
        <f t="shared" ref="AL195:AL258" si="54">OR(LEN(AJ195)=0, ISBLANK(AJ195))</f>
        <v>1</v>
      </c>
      <c r="AM195" s="49" t="str">
        <f t="shared" ref="AM195:AM258" si="55">IF(ISNUMBER(SEARCH("C",AJ195)),"A",IF(ISNUMBER(SEARCH("B",AJ195)),"Q",IF(ISNUMBER(SEARCH("FALSE",AL195)),"Q","Q")))</f>
        <v>Q</v>
      </c>
      <c r="AP195" s="10"/>
      <c r="AS195" t="s">
        <v>119</v>
      </c>
      <c r="AT195" s="6" t="s">
        <v>812</v>
      </c>
      <c r="AU195" s="6" t="str">
        <f t="shared" ref="AU195:AU258" si="56">IF(LEN(AS195)&gt;0, AT195,"")</f>
        <v/>
      </c>
      <c r="AV195" s="6" t="s">
        <v>811</v>
      </c>
      <c r="AW195" s="6" t="str">
        <f t="shared" ref="AW195:AW258" si="57">IF(LEN(AS195)&gt;0, AV195,"")</f>
        <v/>
      </c>
    </row>
    <row r="196" spans="1:49" ht="90">
      <c r="A196" s="1">
        <v>185450</v>
      </c>
      <c r="B196" t="str">
        <f t="shared" si="45"/>
        <v>9C93ES85453-28</v>
      </c>
      <c r="C196" s="6" t="str">
        <f t="shared" si="46"/>
        <v>PINOLEVILLE POMO NATION GHWIC PROJECT</v>
      </c>
      <c r="D196" s="6" t="str">
        <f t="shared" si="47"/>
        <v>MONOMERCHEM, INC.</v>
      </c>
      <c r="E196">
        <f t="shared" si="48"/>
        <v>15180927</v>
      </c>
      <c r="F196" t="str">
        <f t="shared" si="49"/>
        <v>FDA</v>
      </c>
      <c r="G196" t="str">
        <f t="shared" si="50"/>
        <v>28-8723455</v>
      </c>
      <c r="H196">
        <f t="shared" ca="1" si="51"/>
        <v>1944670</v>
      </c>
      <c r="I196" t="str">
        <f t="shared" si="52"/>
        <v>Annual</v>
      </c>
      <c r="N196" s="1">
        <v>242079</v>
      </c>
      <c r="Q196" s="1" t="s">
        <v>1584</v>
      </c>
      <c r="T196" s="54" t="s">
        <v>1949</v>
      </c>
      <c r="U196">
        <v>10753812</v>
      </c>
      <c r="V196" s="10" t="s">
        <v>1583</v>
      </c>
      <c r="W196" s="10" t="s">
        <v>1583</v>
      </c>
      <c r="X196" t="s">
        <v>132</v>
      </c>
      <c r="Y196" s="1" t="s">
        <v>1582</v>
      </c>
      <c r="AA196" s="88">
        <f t="shared" ca="1" si="44"/>
        <v>327386093</v>
      </c>
      <c r="AB196" t="s">
        <v>81</v>
      </c>
      <c r="AI196" s="1">
        <v>185450</v>
      </c>
      <c r="AJ196" s="1" t="s">
        <v>119</v>
      </c>
      <c r="AK196" s="1" t="str">
        <f t="shared" si="53"/>
        <v/>
      </c>
      <c r="AL196" t="b">
        <f t="shared" si="54"/>
        <v>1</v>
      </c>
      <c r="AM196" s="49" t="str">
        <f t="shared" si="55"/>
        <v>Q</v>
      </c>
      <c r="AP196" s="10" t="s">
        <v>97</v>
      </c>
      <c r="AS196" t="s">
        <v>119</v>
      </c>
      <c r="AT196" s="6" t="s">
        <v>97</v>
      </c>
      <c r="AU196" s="6" t="str">
        <f t="shared" si="56"/>
        <v/>
      </c>
      <c r="AV196" s="6" t="s">
        <v>96</v>
      </c>
      <c r="AW196" s="6" t="str">
        <f t="shared" si="57"/>
        <v/>
      </c>
    </row>
    <row r="197" spans="1:49" ht="75">
      <c r="A197" s="1">
        <v>185450</v>
      </c>
      <c r="B197" t="str">
        <f t="shared" si="45"/>
        <v>9C93ES85453-28</v>
      </c>
      <c r="C197" s="6" t="str">
        <f t="shared" si="46"/>
        <v>PINOLEVILLE POMO NATION GHWIC PROJECT</v>
      </c>
      <c r="D197" s="6" t="str">
        <f t="shared" si="47"/>
        <v>MONOMERCHEM, INC.</v>
      </c>
      <c r="E197">
        <f t="shared" si="48"/>
        <v>15180927</v>
      </c>
      <c r="F197" t="str">
        <f t="shared" si="49"/>
        <v>FDA</v>
      </c>
      <c r="G197" t="str">
        <f t="shared" si="50"/>
        <v>28-8723455</v>
      </c>
      <c r="H197">
        <f t="shared" ca="1" si="51"/>
        <v>1944670</v>
      </c>
      <c r="I197" t="str">
        <f t="shared" si="52"/>
        <v>Annual</v>
      </c>
      <c r="N197" s="1">
        <v>243314</v>
      </c>
      <c r="Q197" s="1" t="s">
        <v>1590</v>
      </c>
      <c r="T197" s="53" t="s">
        <v>1857</v>
      </c>
      <c r="U197">
        <v>10753812</v>
      </c>
      <c r="V197" s="10" t="s">
        <v>1589</v>
      </c>
      <c r="W197" s="10" t="s">
        <v>1589</v>
      </c>
      <c r="X197" t="s">
        <v>150</v>
      </c>
      <c r="Y197" s="1" t="s">
        <v>1588</v>
      </c>
      <c r="AA197" s="88">
        <f t="shared" ca="1" si="44"/>
        <v>146079438</v>
      </c>
      <c r="AB197" t="s">
        <v>81</v>
      </c>
      <c r="AI197" s="1">
        <v>185450</v>
      </c>
      <c r="AJ197" s="1" t="s">
        <v>119</v>
      </c>
      <c r="AK197" s="1" t="str">
        <f t="shared" si="53"/>
        <v/>
      </c>
      <c r="AL197" t="b">
        <f t="shared" si="54"/>
        <v>1</v>
      </c>
      <c r="AM197" s="49" t="str">
        <f t="shared" si="55"/>
        <v>Q</v>
      </c>
      <c r="AP197" s="10" t="s">
        <v>327</v>
      </c>
      <c r="AS197" t="s">
        <v>119</v>
      </c>
      <c r="AT197" s="6" t="s">
        <v>327</v>
      </c>
      <c r="AU197" s="6" t="str">
        <f t="shared" si="56"/>
        <v/>
      </c>
      <c r="AV197" s="6" t="s">
        <v>104</v>
      </c>
      <c r="AW197" s="6" t="str">
        <f t="shared" si="57"/>
        <v/>
      </c>
    </row>
    <row r="198" spans="1:49" ht="45">
      <c r="A198" s="1">
        <v>185450</v>
      </c>
      <c r="B198" t="str">
        <f t="shared" si="45"/>
        <v>9C93ES85453-28</v>
      </c>
      <c r="C198" s="6" t="str">
        <f t="shared" si="46"/>
        <v>PINOLEVILLE POMO NATION GHWIC PROJECT</v>
      </c>
      <c r="D198" s="6" t="str">
        <f t="shared" si="47"/>
        <v>MONOMERCHEM, INC.</v>
      </c>
      <c r="E198">
        <f t="shared" si="48"/>
        <v>15180927</v>
      </c>
      <c r="F198" t="str">
        <f t="shared" si="49"/>
        <v>FDA</v>
      </c>
      <c r="G198" t="str">
        <f t="shared" si="50"/>
        <v>28-8723455</v>
      </c>
      <c r="H198">
        <f t="shared" ca="1" si="51"/>
        <v>1944670</v>
      </c>
      <c r="I198" t="str">
        <f t="shared" si="52"/>
        <v>Annual</v>
      </c>
      <c r="N198" s="1">
        <v>243325</v>
      </c>
      <c r="Q198" s="1" t="s">
        <v>1595</v>
      </c>
      <c r="T198" s="53" t="s">
        <v>1978</v>
      </c>
      <c r="U198">
        <v>10753812</v>
      </c>
      <c r="V198" s="10" t="s">
        <v>1594</v>
      </c>
      <c r="W198" s="10" t="s">
        <v>1594</v>
      </c>
      <c r="X198" t="s">
        <v>86</v>
      </c>
      <c r="Y198" s="1" t="s">
        <v>1593</v>
      </c>
      <c r="AA198" s="88">
        <f t="shared" ca="1" si="44"/>
        <v>174561288</v>
      </c>
      <c r="AB198" t="s">
        <v>81</v>
      </c>
      <c r="AI198" s="1">
        <v>185450</v>
      </c>
      <c r="AJ198" s="1" t="s">
        <v>119</v>
      </c>
      <c r="AK198" s="1" t="str">
        <f t="shared" si="53"/>
        <v/>
      </c>
      <c r="AL198" t="b">
        <f t="shared" si="54"/>
        <v>1</v>
      </c>
      <c r="AM198" s="49" t="str">
        <f t="shared" si="55"/>
        <v>Q</v>
      </c>
      <c r="AP198" s="10" t="s">
        <v>113</v>
      </c>
      <c r="AS198" t="s">
        <v>119</v>
      </c>
      <c r="AT198" s="6" t="s">
        <v>113</v>
      </c>
      <c r="AU198" s="6" t="str">
        <f t="shared" si="56"/>
        <v/>
      </c>
      <c r="AV198" s="6" t="s">
        <v>112</v>
      </c>
      <c r="AW198" s="6" t="str">
        <f t="shared" si="57"/>
        <v/>
      </c>
    </row>
    <row r="199" spans="1:49" ht="60">
      <c r="A199" s="1">
        <v>185450</v>
      </c>
      <c r="B199" t="str">
        <f t="shared" si="45"/>
        <v>9C93ES85453-28</v>
      </c>
      <c r="C199" s="6" t="str">
        <f t="shared" si="46"/>
        <v>PINOLEVILLE POMO NATION GHWIC PROJECT</v>
      </c>
      <c r="D199" s="6" t="str">
        <f t="shared" si="47"/>
        <v>MONOMERCHEM, INC.</v>
      </c>
      <c r="E199">
        <f t="shared" si="48"/>
        <v>15180927</v>
      </c>
      <c r="F199" t="str">
        <f t="shared" si="49"/>
        <v>FDA</v>
      </c>
      <c r="G199" t="str">
        <f t="shared" si="50"/>
        <v>28-8723455</v>
      </c>
      <c r="H199">
        <f t="shared" ca="1" si="51"/>
        <v>1944670</v>
      </c>
      <c r="I199" t="str">
        <f t="shared" si="52"/>
        <v>Annual</v>
      </c>
      <c r="N199" s="1">
        <v>243501</v>
      </c>
      <c r="Q199" s="1" t="s">
        <v>1600</v>
      </c>
      <c r="T199" s="55" t="s">
        <v>1979</v>
      </c>
      <c r="U199">
        <v>9216394</v>
      </c>
      <c r="V199" s="10" t="s">
        <v>1599</v>
      </c>
      <c r="W199" s="10" t="s">
        <v>1599</v>
      </c>
      <c r="X199" t="s">
        <v>117</v>
      </c>
      <c r="Y199" s="1" t="s">
        <v>1598</v>
      </c>
      <c r="AA199" s="88">
        <f t="shared" ca="1" si="44"/>
        <v>268464503</v>
      </c>
      <c r="AB199" t="s">
        <v>81</v>
      </c>
      <c r="AI199" s="1">
        <v>185450</v>
      </c>
      <c r="AJ199" s="1" t="s">
        <v>119</v>
      </c>
      <c r="AK199" s="1" t="str">
        <f t="shared" si="53"/>
        <v/>
      </c>
      <c r="AL199" t="b">
        <f t="shared" si="54"/>
        <v>1</v>
      </c>
      <c r="AM199" s="49" t="str">
        <f t="shared" si="55"/>
        <v>Q</v>
      </c>
      <c r="AP199" s="10"/>
      <c r="AS199" t="s">
        <v>119</v>
      </c>
      <c r="AT199" s="6" t="s">
        <v>812</v>
      </c>
      <c r="AU199" s="6" t="str">
        <f t="shared" si="56"/>
        <v/>
      </c>
      <c r="AV199" s="6" t="s">
        <v>811</v>
      </c>
      <c r="AW199" s="6" t="str">
        <f t="shared" si="57"/>
        <v/>
      </c>
    </row>
    <row r="200" spans="1:49" ht="90">
      <c r="A200" s="1">
        <v>185507</v>
      </c>
      <c r="B200" t="str">
        <f t="shared" si="45"/>
        <v>3C93AS87217-80</v>
      </c>
      <c r="C200" s="6" t="str">
        <f t="shared" si="46"/>
        <v>THE EPIDEMIOLOGY OF INTERSTITIAL CYSTITIS IN A NATIONWIDE MULTIETHNIC VA COHORT</v>
      </c>
      <c r="D200" s="6" t="str">
        <f t="shared" si="47"/>
        <v>MONON BIOVENTURES, LLC</v>
      </c>
      <c r="E200">
        <f t="shared" si="48"/>
        <v>15180927</v>
      </c>
      <c r="F200" t="str">
        <f t="shared" si="49"/>
        <v>ACF</v>
      </c>
      <c r="G200" t="str">
        <f t="shared" si="50"/>
        <v>28-8723456</v>
      </c>
      <c r="H200">
        <f t="shared" ca="1" si="51"/>
        <v>1219422</v>
      </c>
      <c r="I200" t="str">
        <f t="shared" si="52"/>
        <v>Annual</v>
      </c>
      <c r="N200" s="1">
        <v>243528</v>
      </c>
      <c r="Q200" s="1" t="s">
        <v>1606</v>
      </c>
      <c r="T200" s="52" t="s">
        <v>1980</v>
      </c>
      <c r="U200">
        <v>22199155</v>
      </c>
      <c r="V200" s="10" t="s">
        <v>1605</v>
      </c>
      <c r="W200" s="10" t="s">
        <v>1605</v>
      </c>
      <c r="X200" t="s">
        <v>132</v>
      </c>
      <c r="Y200" s="1" t="s">
        <v>1604</v>
      </c>
      <c r="AA200" s="88">
        <f t="shared" ca="1" si="44"/>
        <v>58197653</v>
      </c>
      <c r="AB200" t="s">
        <v>81</v>
      </c>
      <c r="AI200" s="1">
        <v>185507</v>
      </c>
      <c r="AJ200" s="1" t="s">
        <v>119</v>
      </c>
      <c r="AK200" s="1" t="str">
        <f t="shared" si="53"/>
        <v/>
      </c>
      <c r="AL200" t="b">
        <f t="shared" si="54"/>
        <v>1</v>
      </c>
      <c r="AM200" s="49" t="str">
        <f t="shared" si="55"/>
        <v>Q</v>
      </c>
      <c r="AP200" s="10" t="s">
        <v>97</v>
      </c>
      <c r="AS200" t="s">
        <v>119</v>
      </c>
      <c r="AT200" s="6" t="s">
        <v>97</v>
      </c>
      <c r="AU200" s="6" t="str">
        <f t="shared" si="56"/>
        <v/>
      </c>
      <c r="AV200" s="6" t="s">
        <v>96</v>
      </c>
      <c r="AW200" s="6" t="str">
        <f t="shared" si="57"/>
        <v/>
      </c>
    </row>
    <row r="201" spans="1:49" ht="75">
      <c r="A201" s="1">
        <v>185507</v>
      </c>
      <c r="B201" t="str">
        <f t="shared" si="45"/>
        <v>3C93AS87217-80</v>
      </c>
      <c r="C201" s="6" t="str">
        <f t="shared" si="46"/>
        <v>THE EPIDEMIOLOGY OF INTERSTITIAL CYSTITIS IN A NATIONWIDE MULTIETHNIC VA COHORT</v>
      </c>
      <c r="D201" s="6" t="str">
        <f t="shared" si="47"/>
        <v>MONON BIOVENTURES, LLC</v>
      </c>
      <c r="E201">
        <f t="shared" si="48"/>
        <v>15180927</v>
      </c>
      <c r="F201" t="str">
        <f t="shared" si="49"/>
        <v>ACF</v>
      </c>
      <c r="G201" t="str">
        <f t="shared" si="50"/>
        <v>28-8723456</v>
      </c>
      <c r="H201">
        <f t="shared" ca="1" si="51"/>
        <v>1219422</v>
      </c>
      <c r="I201" t="str">
        <f t="shared" si="52"/>
        <v>Annual</v>
      </c>
      <c r="N201" s="1">
        <v>243616</v>
      </c>
      <c r="Q201" s="1" t="s">
        <v>1613</v>
      </c>
      <c r="T201" s="57" t="s">
        <v>1981</v>
      </c>
      <c r="U201">
        <v>22199155</v>
      </c>
      <c r="V201" s="10" t="s">
        <v>1612</v>
      </c>
      <c r="W201" s="10" t="s">
        <v>1612</v>
      </c>
      <c r="X201" t="s">
        <v>150</v>
      </c>
      <c r="Y201" s="1" t="s">
        <v>1611</v>
      </c>
      <c r="AA201" s="88">
        <f t="shared" ca="1" si="44"/>
        <v>98794986</v>
      </c>
      <c r="AB201" t="s">
        <v>81</v>
      </c>
      <c r="AI201" s="1">
        <v>185507</v>
      </c>
      <c r="AJ201" s="1" t="s">
        <v>119</v>
      </c>
      <c r="AK201" s="1" t="str">
        <f t="shared" si="53"/>
        <v/>
      </c>
      <c r="AL201" t="b">
        <f t="shared" si="54"/>
        <v>1</v>
      </c>
      <c r="AM201" s="49" t="str">
        <f t="shared" si="55"/>
        <v>Q</v>
      </c>
      <c r="AP201" s="10" t="s">
        <v>327</v>
      </c>
      <c r="AS201" t="s">
        <v>119</v>
      </c>
      <c r="AT201" s="6" t="s">
        <v>327</v>
      </c>
      <c r="AU201" s="6" t="str">
        <f t="shared" si="56"/>
        <v/>
      </c>
      <c r="AV201" s="6" t="s">
        <v>104</v>
      </c>
      <c r="AW201" s="6" t="str">
        <f t="shared" si="57"/>
        <v/>
      </c>
    </row>
    <row r="202" spans="1:49" ht="60">
      <c r="A202" s="1">
        <v>185507</v>
      </c>
      <c r="B202" t="str">
        <f t="shared" si="45"/>
        <v>3C93AS87217-80</v>
      </c>
      <c r="C202" s="6" t="str">
        <f t="shared" si="46"/>
        <v>THE EPIDEMIOLOGY OF INTERSTITIAL CYSTITIS IN A NATIONWIDE MULTIETHNIC VA COHORT</v>
      </c>
      <c r="D202" s="6" t="str">
        <f t="shared" si="47"/>
        <v>MONON BIOVENTURES, LLC</v>
      </c>
      <c r="E202">
        <f t="shared" si="48"/>
        <v>15180927</v>
      </c>
      <c r="F202" t="str">
        <f t="shared" si="49"/>
        <v>ACF</v>
      </c>
      <c r="G202" t="str">
        <f t="shared" si="50"/>
        <v>28-8723456</v>
      </c>
      <c r="H202">
        <f t="shared" ca="1" si="51"/>
        <v>1219422</v>
      </c>
      <c r="I202" t="str">
        <f t="shared" si="52"/>
        <v>Annual</v>
      </c>
      <c r="N202" s="1">
        <v>244339</v>
      </c>
      <c r="Q202" s="1" t="s">
        <v>1619</v>
      </c>
      <c r="T202" s="54" t="s">
        <v>1949</v>
      </c>
      <c r="U202">
        <v>22358348</v>
      </c>
      <c r="V202" s="10" t="s">
        <v>1618</v>
      </c>
      <c r="W202" s="10" t="s">
        <v>1618</v>
      </c>
      <c r="X202" t="s">
        <v>86</v>
      </c>
      <c r="Y202" s="1" t="s">
        <v>1617</v>
      </c>
      <c r="AA202" s="88">
        <f t="shared" ca="1" si="44"/>
        <v>8681337</v>
      </c>
      <c r="AB202" t="s">
        <v>81</v>
      </c>
      <c r="AI202" s="1">
        <v>185507</v>
      </c>
      <c r="AJ202" s="1" t="s">
        <v>119</v>
      </c>
      <c r="AK202" s="1" t="str">
        <f t="shared" si="53"/>
        <v/>
      </c>
      <c r="AL202" t="b">
        <f t="shared" si="54"/>
        <v>1</v>
      </c>
      <c r="AM202" s="49" t="str">
        <f t="shared" si="55"/>
        <v>Q</v>
      </c>
      <c r="AP202" s="10" t="s">
        <v>113</v>
      </c>
      <c r="AS202" t="s">
        <v>119</v>
      </c>
      <c r="AT202" s="6" t="s">
        <v>113</v>
      </c>
      <c r="AU202" s="6" t="str">
        <f t="shared" si="56"/>
        <v/>
      </c>
      <c r="AV202" s="6" t="s">
        <v>112</v>
      </c>
      <c r="AW202" s="6" t="str">
        <f t="shared" si="57"/>
        <v/>
      </c>
    </row>
    <row r="203" spans="1:49" ht="90">
      <c r="A203" s="1">
        <v>185511</v>
      </c>
      <c r="B203" t="str">
        <f t="shared" si="45"/>
        <v>3D14DT89532-49</v>
      </c>
      <c r="C203" s="6" t="str">
        <f t="shared" si="46"/>
        <v>CATEGORY B: PUBLIC HEALTH LAWYERS AND THEIR CLIENTS</v>
      </c>
      <c r="D203" s="6" t="str">
        <f t="shared" si="47"/>
        <v>MONTANA CANCER CONSORTIUM</v>
      </c>
      <c r="E203">
        <f t="shared" si="48"/>
        <v>9212768</v>
      </c>
      <c r="F203" t="str">
        <f t="shared" si="49"/>
        <v>CDC</v>
      </c>
      <c r="G203" t="str">
        <f t="shared" si="50"/>
        <v>28-8723457</v>
      </c>
      <c r="H203">
        <f t="shared" ca="1" si="51"/>
        <v>1979133</v>
      </c>
      <c r="I203" t="str">
        <f t="shared" si="52"/>
        <v>Annual</v>
      </c>
      <c r="N203" s="1">
        <v>245122</v>
      </c>
      <c r="Q203" s="1" t="s">
        <v>1623</v>
      </c>
      <c r="T203" s="54" t="s">
        <v>1982</v>
      </c>
      <c r="U203">
        <v>22358348</v>
      </c>
      <c r="V203" s="10" t="s">
        <v>1622</v>
      </c>
      <c r="W203" s="10" t="s">
        <v>1622</v>
      </c>
      <c r="X203" t="s">
        <v>117</v>
      </c>
      <c r="Y203" s="1" t="s">
        <v>1621</v>
      </c>
      <c r="AA203" s="88">
        <f t="shared" ca="1" si="44"/>
        <v>316211445</v>
      </c>
      <c r="AB203" t="s">
        <v>81</v>
      </c>
      <c r="AI203" s="1">
        <v>185511</v>
      </c>
      <c r="AJ203" s="1" t="s">
        <v>119</v>
      </c>
      <c r="AK203" s="1" t="str">
        <f t="shared" si="53"/>
        <v/>
      </c>
      <c r="AL203" t="b">
        <f t="shared" si="54"/>
        <v>1</v>
      </c>
      <c r="AM203" s="49" t="str">
        <f t="shared" si="55"/>
        <v>Q</v>
      </c>
      <c r="AP203" s="10" t="s">
        <v>97</v>
      </c>
      <c r="AS203" t="s">
        <v>119</v>
      </c>
      <c r="AT203" s="6" t="s">
        <v>97</v>
      </c>
      <c r="AU203" s="6" t="str">
        <f t="shared" si="56"/>
        <v/>
      </c>
      <c r="AV203" s="6" t="s">
        <v>96</v>
      </c>
      <c r="AW203" s="6" t="str">
        <f t="shared" si="57"/>
        <v/>
      </c>
    </row>
    <row r="204" spans="1:49" ht="75">
      <c r="A204" s="1">
        <v>185511</v>
      </c>
      <c r="B204" t="str">
        <f t="shared" si="45"/>
        <v>3D14DT89532-49</v>
      </c>
      <c r="C204" s="6" t="str">
        <f t="shared" si="46"/>
        <v>CATEGORY B: PUBLIC HEALTH LAWYERS AND THEIR CLIENTS</v>
      </c>
      <c r="D204" s="6" t="str">
        <f t="shared" si="47"/>
        <v>MONTANA CANCER CONSORTIUM</v>
      </c>
      <c r="E204">
        <f t="shared" si="48"/>
        <v>9212768</v>
      </c>
      <c r="F204" t="str">
        <f t="shared" si="49"/>
        <v>CDC</v>
      </c>
      <c r="G204" t="str">
        <f t="shared" si="50"/>
        <v>28-8723457</v>
      </c>
      <c r="H204">
        <f t="shared" ca="1" si="51"/>
        <v>1979133</v>
      </c>
      <c r="I204" t="str">
        <f t="shared" si="52"/>
        <v>Annual</v>
      </c>
      <c r="N204" s="1">
        <v>247382</v>
      </c>
      <c r="Q204" s="1" t="s">
        <v>1628</v>
      </c>
      <c r="T204" s="69" t="s">
        <v>1983</v>
      </c>
      <c r="U204">
        <v>39754947</v>
      </c>
      <c r="V204" s="10" t="s">
        <v>1627</v>
      </c>
      <c r="W204" s="10" t="s">
        <v>1627</v>
      </c>
      <c r="X204" t="s">
        <v>132</v>
      </c>
      <c r="Y204" s="1" t="s">
        <v>1626</v>
      </c>
      <c r="AA204" s="88">
        <f t="shared" ca="1" si="44"/>
        <v>291092218</v>
      </c>
      <c r="AB204" t="s">
        <v>81</v>
      </c>
      <c r="AI204" s="1">
        <v>185511</v>
      </c>
      <c r="AJ204" s="1" t="s">
        <v>119</v>
      </c>
      <c r="AK204" s="1" t="str">
        <f t="shared" si="53"/>
        <v/>
      </c>
      <c r="AL204" t="b">
        <f t="shared" si="54"/>
        <v>1</v>
      </c>
      <c r="AM204" s="49" t="str">
        <f t="shared" si="55"/>
        <v>Q</v>
      </c>
      <c r="AP204" s="10" t="s">
        <v>327</v>
      </c>
      <c r="AS204" t="s">
        <v>119</v>
      </c>
      <c r="AT204" s="6" t="s">
        <v>327</v>
      </c>
      <c r="AU204" s="6" t="str">
        <f t="shared" si="56"/>
        <v/>
      </c>
      <c r="AV204" s="6" t="s">
        <v>104</v>
      </c>
      <c r="AW204" s="6" t="str">
        <f t="shared" si="57"/>
        <v/>
      </c>
    </row>
    <row r="205" spans="1:49" ht="90">
      <c r="A205" s="1">
        <v>185511</v>
      </c>
      <c r="B205" t="str">
        <f t="shared" si="45"/>
        <v>3D14DT89532-49</v>
      </c>
      <c r="C205" s="6" t="str">
        <f t="shared" si="46"/>
        <v>CATEGORY B: PUBLIC HEALTH LAWYERS AND THEIR CLIENTS</v>
      </c>
      <c r="D205" s="6" t="str">
        <f t="shared" si="47"/>
        <v>MONTANA CANCER CONSORTIUM</v>
      </c>
      <c r="E205">
        <f t="shared" si="48"/>
        <v>9212768</v>
      </c>
      <c r="F205" t="str">
        <f t="shared" si="49"/>
        <v>CDC</v>
      </c>
      <c r="G205" t="str">
        <f t="shared" si="50"/>
        <v>28-8723457</v>
      </c>
      <c r="H205">
        <f t="shared" ca="1" si="51"/>
        <v>1979133</v>
      </c>
      <c r="I205" t="str">
        <f t="shared" si="52"/>
        <v>Annual</v>
      </c>
      <c r="N205" s="1">
        <v>249437</v>
      </c>
      <c r="Q205" s="1" t="s">
        <v>1633</v>
      </c>
      <c r="T205" s="53" t="s">
        <v>1984</v>
      </c>
      <c r="U205">
        <v>39754947</v>
      </c>
      <c r="V205" s="10" t="s">
        <v>84</v>
      </c>
      <c r="W205" s="10" t="s">
        <v>84</v>
      </c>
      <c r="X205" t="s">
        <v>150</v>
      </c>
      <c r="Y205" s="1" t="s">
        <v>1632</v>
      </c>
      <c r="AA205" s="88">
        <f t="shared" ca="1" si="44"/>
        <v>336564311</v>
      </c>
      <c r="AB205" t="s">
        <v>81</v>
      </c>
      <c r="AI205" s="1">
        <v>185511</v>
      </c>
      <c r="AJ205" s="1" t="s">
        <v>119</v>
      </c>
      <c r="AK205" s="1" t="str">
        <f t="shared" si="53"/>
        <v/>
      </c>
      <c r="AL205" t="b">
        <f t="shared" si="54"/>
        <v>1</v>
      </c>
      <c r="AM205" s="49" t="str">
        <f t="shared" si="55"/>
        <v>Q</v>
      </c>
      <c r="AP205" s="10" t="s">
        <v>113</v>
      </c>
      <c r="AS205" t="s">
        <v>119</v>
      </c>
      <c r="AT205" s="6" t="s">
        <v>113</v>
      </c>
      <c r="AU205" s="6" t="str">
        <f t="shared" si="56"/>
        <v/>
      </c>
      <c r="AV205" s="6" t="s">
        <v>112</v>
      </c>
      <c r="AW205" s="6" t="str">
        <f t="shared" si="57"/>
        <v/>
      </c>
    </row>
    <row r="206" spans="1:49" ht="75">
      <c r="A206" s="1">
        <v>185511</v>
      </c>
      <c r="B206" t="str">
        <f t="shared" si="45"/>
        <v>3D14DT89532-49</v>
      </c>
      <c r="C206" s="6" t="str">
        <f t="shared" si="46"/>
        <v>CATEGORY B: PUBLIC HEALTH LAWYERS AND THEIR CLIENTS</v>
      </c>
      <c r="D206" s="6" t="str">
        <f t="shared" si="47"/>
        <v>MONTANA CANCER CONSORTIUM</v>
      </c>
      <c r="E206">
        <f t="shared" si="48"/>
        <v>9212768</v>
      </c>
      <c r="F206" t="str">
        <f t="shared" si="49"/>
        <v>CDC</v>
      </c>
      <c r="G206" t="str">
        <f t="shared" si="50"/>
        <v>28-8723457</v>
      </c>
      <c r="H206">
        <f t="shared" ca="1" si="51"/>
        <v>1979133</v>
      </c>
      <c r="I206" t="str">
        <f t="shared" si="52"/>
        <v>Annual</v>
      </c>
      <c r="N206" s="1">
        <v>249556</v>
      </c>
      <c r="Q206" s="1" t="s">
        <v>1638</v>
      </c>
      <c r="T206" s="52" t="s">
        <v>1985</v>
      </c>
      <c r="U206">
        <v>39754947</v>
      </c>
      <c r="V206" s="10" t="s">
        <v>116</v>
      </c>
      <c r="W206" s="10" t="s">
        <v>116</v>
      </c>
      <c r="X206" t="s">
        <v>86</v>
      </c>
      <c r="Y206" s="1" t="s">
        <v>1637</v>
      </c>
      <c r="AA206" s="88">
        <f t="shared" ca="1" si="44"/>
        <v>56185037</v>
      </c>
      <c r="AB206" t="s">
        <v>81</v>
      </c>
      <c r="AI206" s="1">
        <v>185511</v>
      </c>
      <c r="AJ206" s="1" t="s">
        <v>119</v>
      </c>
      <c r="AK206" s="1" t="str">
        <f t="shared" si="53"/>
        <v/>
      </c>
      <c r="AL206" t="b">
        <f t="shared" si="54"/>
        <v>1</v>
      </c>
      <c r="AM206" s="49" t="str">
        <f t="shared" si="55"/>
        <v>Q</v>
      </c>
      <c r="AP206" s="10"/>
      <c r="AS206" t="s">
        <v>119</v>
      </c>
      <c r="AT206" s="6" t="s">
        <v>812</v>
      </c>
      <c r="AU206" s="6" t="str">
        <f t="shared" si="56"/>
        <v/>
      </c>
      <c r="AV206" s="6" t="s">
        <v>811</v>
      </c>
      <c r="AW206" s="6" t="str">
        <f t="shared" si="57"/>
        <v/>
      </c>
    </row>
    <row r="207" spans="1:49" ht="90">
      <c r="A207" s="1">
        <v>185513</v>
      </c>
      <c r="B207" t="str">
        <f t="shared" si="45"/>
        <v>6B76CR76999-40</v>
      </c>
      <c r="C207" s="6" t="str">
        <f t="shared" si="46"/>
        <v>SUPPORTING, MAINTAINING AND IMPROVING THE SURVEILLANCE SYSTEM FOR CHRONIC KIDNEY DISEASE IN THE UNITED STATES</v>
      </c>
      <c r="D207" s="6" t="str">
        <f t="shared" si="47"/>
        <v>MONTANA MOLECULAR, LLC</v>
      </c>
      <c r="E207">
        <f t="shared" si="48"/>
        <v>9212768</v>
      </c>
      <c r="F207" t="str">
        <f t="shared" si="49"/>
        <v>NIH</v>
      </c>
      <c r="G207" t="str">
        <f t="shared" si="50"/>
        <v>28-8723458</v>
      </c>
      <c r="H207">
        <f t="shared" ca="1" si="51"/>
        <v>1960071</v>
      </c>
      <c r="I207" t="str">
        <f t="shared" si="52"/>
        <v>Annual</v>
      </c>
      <c r="T207" s="54" t="s">
        <v>1986</v>
      </c>
      <c r="U207">
        <v>39754947</v>
      </c>
      <c r="V207" s="10" t="s">
        <v>131</v>
      </c>
      <c r="W207" s="10" t="s">
        <v>131</v>
      </c>
      <c r="Y207" s="1" t="s">
        <v>1987</v>
      </c>
      <c r="AI207" s="1">
        <v>185513</v>
      </c>
      <c r="AJ207" s="1" t="s">
        <v>119</v>
      </c>
      <c r="AK207" s="1" t="str">
        <f t="shared" si="53"/>
        <v/>
      </c>
      <c r="AL207" t="b">
        <f t="shared" si="54"/>
        <v>1</v>
      </c>
      <c r="AM207" s="49" t="str">
        <f t="shared" si="55"/>
        <v>Q</v>
      </c>
      <c r="AP207" s="10" t="s">
        <v>97</v>
      </c>
      <c r="AS207" t="s">
        <v>119</v>
      </c>
      <c r="AT207" s="6" t="s">
        <v>97</v>
      </c>
      <c r="AU207" s="6" t="str">
        <f t="shared" si="56"/>
        <v/>
      </c>
      <c r="AV207" s="6" t="s">
        <v>96</v>
      </c>
      <c r="AW207" s="6" t="str">
        <f t="shared" si="57"/>
        <v/>
      </c>
    </row>
    <row r="208" spans="1:49" ht="105">
      <c r="A208" s="1">
        <v>185513</v>
      </c>
      <c r="B208" t="str">
        <f t="shared" si="45"/>
        <v>6B76CR76999-40</v>
      </c>
      <c r="C208" s="6" t="str">
        <f t="shared" si="46"/>
        <v>SUPPORTING, MAINTAINING AND IMPROVING THE SURVEILLANCE SYSTEM FOR CHRONIC KIDNEY DISEASE IN THE UNITED STATES</v>
      </c>
      <c r="D208" s="6" t="str">
        <f t="shared" si="47"/>
        <v>MONTANA MOLECULAR, LLC</v>
      </c>
      <c r="E208">
        <f t="shared" si="48"/>
        <v>9212768</v>
      </c>
      <c r="F208" t="str">
        <f t="shared" si="49"/>
        <v>NIH</v>
      </c>
      <c r="G208" t="str">
        <f t="shared" si="50"/>
        <v>28-8723458</v>
      </c>
      <c r="H208">
        <f t="shared" ca="1" si="51"/>
        <v>1960071</v>
      </c>
      <c r="I208" t="str">
        <f t="shared" si="52"/>
        <v>Annual</v>
      </c>
      <c r="T208" s="70" t="s">
        <v>1988</v>
      </c>
      <c r="U208">
        <v>39754947</v>
      </c>
      <c r="V208" s="10" t="s">
        <v>149</v>
      </c>
      <c r="W208" s="10" t="s">
        <v>149</v>
      </c>
      <c r="Y208" s="1" t="s">
        <v>1989</v>
      </c>
      <c r="AI208" s="1">
        <v>185513</v>
      </c>
      <c r="AJ208" s="1" t="s">
        <v>119</v>
      </c>
      <c r="AK208" s="1" t="str">
        <f t="shared" si="53"/>
        <v/>
      </c>
      <c r="AL208" t="b">
        <f t="shared" si="54"/>
        <v>1</v>
      </c>
      <c r="AM208" s="49" t="str">
        <f t="shared" si="55"/>
        <v>Q</v>
      </c>
      <c r="AP208" s="10" t="s">
        <v>327</v>
      </c>
      <c r="AS208" t="s">
        <v>119</v>
      </c>
      <c r="AT208" s="6" t="s">
        <v>327</v>
      </c>
      <c r="AU208" s="6" t="str">
        <f t="shared" si="56"/>
        <v/>
      </c>
      <c r="AV208" s="6" t="s">
        <v>104</v>
      </c>
      <c r="AW208" s="6" t="str">
        <f t="shared" si="57"/>
        <v/>
      </c>
    </row>
    <row r="209" spans="1:49" ht="75">
      <c r="A209" s="1">
        <v>185513</v>
      </c>
      <c r="B209" t="str">
        <f t="shared" si="45"/>
        <v>6B76CR76999-40</v>
      </c>
      <c r="C209" s="6" t="str">
        <f t="shared" si="46"/>
        <v>SUPPORTING, MAINTAINING AND IMPROVING THE SURVEILLANCE SYSTEM FOR CHRONIC KIDNEY DISEASE IN THE UNITED STATES</v>
      </c>
      <c r="D209" s="6" t="str">
        <f t="shared" si="47"/>
        <v>MONTANA MOLECULAR, LLC</v>
      </c>
      <c r="E209">
        <f t="shared" si="48"/>
        <v>9212768</v>
      </c>
      <c r="F209" t="str">
        <f t="shared" si="49"/>
        <v>NIH</v>
      </c>
      <c r="G209" t="str">
        <f t="shared" si="50"/>
        <v>28-8723458</v>
      </c>
      <c r="H209">
        <f t="shared" ca="1" si="51"/>
        <v>1960071</v>
      </c>
      <c r="I209" t="str">
        <f t="shared" si="52"/>
        <v>Annual</v>
      </c>
      <c r="T209" s="69" t="s">
        <v>1936</v>
      </c>
      <c r="U209">
        <v>32746596</v>
      </c>
      <c r="V209" s="10" t="s">
        <v>165</v>
      </c>
      <c r="W209" s="10" t="s">
        <v>165</v>
      </c>
      <c r="Y209" s="1" t="s">
        <v>1990</v>
      </c>
      <c r="AI209" s="1">
        <v>185513</v>
      </c>
      <c r="AJ209" s="1" t="s">
        <v>119</v>
      </c>
      <c r="AK209" s="1" t="str">
        <f t="shared" si="53"/>
        <v/>
      </c>
      <c r="AL209" t="b">
        <f t="shared" si="54"/>
        <v>1</v>
      </c>
      <c r="AM209" s="49" t="str">
        <f t="shared" si="55"/>
        <v>Q</v>
      </c>
      <c r="AP209" s="10" t="s">
        <v>113</v>
      </c>
      <c r="AS209" t="s">
        <v>119</v>
      </c>
      <c r="AT209" s="6" t="s">
        <v>113</v>
      </c>
      <c r="AU209" s="6" t="str">
        <f t="shared" si="56"/>
        <v/>
      </c>
      <c r="AV209" s="6" t="s">
        <v>112</v>
      </c>
      <c r="AW209" s="6" t="str">
        <f t="shared" si="57"/>
        <v/>
      </c>
    </row>
    <row r="210" spans="1:49" ht="165">
      <c r="A210" s="1">
        <v>185514</v>
      </c>
      <c r="B210" t="str">
        <f t="shared" si="45"/>
        <v>4D87AT76998-10</v>
      </c>
      <c r="C210" s="6" t="str">
        <f t="shared" si="46"/>
        <v>CALIFORNIA STROKE REGISTRY/CALIFORNIA COVERDELL PROGRAM</v>
      </c>
      <c r="D210" s="6" t="str">
        <f t="shared" si="47"/>
        <v>MONTANA STATE UNIVERSITY - BOZEMAN</v>
      </c>
      <c r="E210">
        <f t="shared" si="48"/>
        <v>9212768</v>
      </c>
      <c r="F210" t="str">
        <f t="shared" si="49"/>
        <v>FDA</v>
      </c>
      <c r="G210" t="str">
        <f t="shared" si="50"/>
        <v>28-8723459</v>
      </c>
      <c r="H210">
        <f t="shared" ca="1" si="51"/>
        <v>1535572</v>
      </c>
      <c r="I210" t="str">
        <f t="shared" si="52"/>
        <v>Annual</v>
      </c>
      <c r="T210" s="54" t="s">
        <v>1959</v>
      </c>
      <c r="U210">
        <v>32746596</v>
      </c>
      <c r="V210" s="10" t="s">
        <v>180</v>
      </c>
      <c r="W210" s="10" t="s">
        <v>180</v>
      </c>
      <c r="Y210" s="1" t="s">
        <v>1991</v>
      </c>
      <c r="AI210" s="1">
        <v>185514</v>
      </c>
      <c r="AJ210" s="1" t="s">
        <v>804</v>
      </c>
      <c r="AK210" s="1" t="str">
        <f t="shared" si="53"/>
        <v/>
      </c>
      <c r="AL210" t="b">
        <f t="shared" si="54"/>
        <v>0</v>
      </c>
      <c r="AM210" s="49" t="str">
        <f t="shared" si="55"/>
        <v>Q</v>
      </c>
      <c r="AP210" s="10" t="s">
        <v>97</v>
      </c>
      <c r="AS210" t="s">
        <v>1920</v>
      </c>
      <c r="AT210" s="6" t="s">
        <v>97</v>
      </c>
      <c r="AU210" s="6" t="str">
        <f t="shared" si="56"/>
        <v>The errors in accounting will be corrected. The accounting policy suggested will be followed. The financials will be recalculated based on the revised accounting policies and submitted.</v>
      </c>
      <c r="AV210" s="6" t="s">
        <v>96</v>
      </c>
      <c r="AW210" s="6" t="str">
        <f t="shared" si="57"/>
        <v>Change in accounting practice</v>
      </c>
    </row>
    <row r="211" spans="1:49" ht="135">
      <c r="A211" s="1">
        <v>185514</v>
      </c>
      <c r="B211" t="str">
        <f t="shared" si="45"/>
        <v>4D87AT76998-10</v>
      </c>
      <c r="C211" s="6" t="str">
        <f t="shared" si="46"/>
        <v>CALIFORNIA STROKE REGISTRY/CALIFORNIA COVERDELL PROGRAM</v>
      </c>
      <c r="D211" s="6" t="str">
        <f t="shared" si="47"/>
        <v>MONTANA STATE UNIVERSITY - BOZEMAN</v>
      </c>
      <c r="E211">
        <f t="shared" si="48"/>
        <v>9212768</v>
      </c>
      <c r="F211" t="str">
        <f t="shared" si="49"/>
        <v>FDA</v>
      </c>
      <c r="G211" t="str">
        <f t="shared" si="50"/>
        <v>28-8723459</v>
      </c>
      <c r="H211">
        <f t="shared" ca="1" si="51"/>
        <v>1535572</v>
      </c>
      <c r="I211" t="str">
        <f t="shared" si="52"/>
        <v>Annual</v>
      </c>
      <c r="T211" s="54" t="s">
        <v>1992</v>
      </c>
      <c r="U211">
        <v>32746596</v>
      </c>
      <c r="V211" s="10" t="s">
        <v>200</v>
      </c>
      <c r="W211" s="10" t="s">
        <v>200</v>
      </c>
      <c r="Y211" s="1" t="s">
        <v>1993</v>
      </c>
      <c r="AI211" s="1">
        <v>185514</v>
      </c>
      <c r="AJ211" s="1" t="s">
        <v>804</v>
      </c>
      <c r="AK211" s="1" t="str">
        <f t="shared" si="53"/>
        <v/>
      </c>
      <c r="AL211" t="b">
        <f t="shared" si="54"/>
        <v>0</v>
      </c>
      <c r="AM211" s="49" t="str">
        <f t="shared" si="55"/>
        <v>Q</v>
      </c>
      <c r="AP211" s="10" t="s">
        <v>327</v>
      </c>
      <c r="AS211" t="s">
        <v>1920</v>
      </c>
      <c r="AT211" s="6" t="s">
        <v>327</v>
      </c>
      <c r="AU211" s="6" t="str">
        <f t="shared" si="56"/>
        <v>Cost rate will be followed. The revised rate will be applied from the last audit period and the expenditure recalculated and submitted.</v>
      </c>
      <c r="AV211" s="6" t="s">
        <v>104</v>
      </c>
      <c r="AW211" s="6" t="str">
        <f t="shared" si="57"/>
        <v>Cost rate Corrections</v>
      </c>
    </row>
    <row r="212" spans="1:49" ht="90">
      <c r="A212" s="1">
        <v>185514</v>
      </c>
      <c r="B212" t="str">
        <f t="shared" si="45"/>
        <v>4D87AT76998-10</v>
      </c>
      <c r="C212" s="6" t="str">
        <f t="shared" si="46"/>
        <v>CALIFORNIA STROKE REGISTRY/CALIFORNIA COVERDELL PROGRAM</v>
      </c>
      <c r="D212" s="6" t="str">
        <f t="shared" si="47"/>
        <v>MONTANA STATE UNIVERSITY - BOZEMAN</v>
      </c>
      <c r="E212">
        <f t="shared" si="48"/>
        <v>9212768</v>
      </c>
      <c r="F212" t="str">
        <f t="shared" si="49"/>
        <v>FDA</v>
      </c>
      <c r="G212" t="str">
        <f t="shared" si="50"/>
        <v>28-8723459</v>
      </c>
      <c r="H212">
        <f t="shared" ca="1" si="51"/>
        <v>1535572</v>
      </c>
      <c r="I212" t="str">
        <f t="shared" si="52"/>
        <v>Annual</v>
      </c>
      <c r="T212" s="57" t="s">
        <v>1962</v>
      </c>
      <c r="U212">
        <v>39745812</v>
      </c>
      <c r="V212" s="10" t="s">
        <v>216</v>
      </c>
      <c r="W212" s="10" t="s">
        <v>216</v>
      </c>
      <c r="Y212" s="1" t="s">
        <v>1994</v>
      </c>
      <c r="AI212" s="1">
        <v>185514</v>
      </c>
      <c r="AJ212" s="1" t="s">
        <v>804</v>
      </c>
      <c r="AK212" s="1" t="str">
        <f t="shared" si="53"/>
        <v/>
      </c>
      <c r="AL212" t="b">
        <f t="shared" si="54"/>
        <v>0</v>
      </c>
      <c r="AM212" s="49" t="str">
        <f t="shared" si="55"/>
        <v>Q</v>
      </c>
      <c r="AP212" s="10" t="s">
        <v>113</v>
      </c>
      <c r="AS212" t="s">
        <v>1920</v>
      </c>
      <c r="AT212" s="6" t="s">
        <v>113</v>
      </c>
      <c r="AU212" s="6" t="str">
        <f t="shared" si="56"/>
        <v>Loan accounts will be reviewed and appropriate amendments will be made and submitted</v>
      </c>
      <c r="AV212" s="6" t="s">
        <v>112</v>
      </c>
      <c r="AW212" s="6" t="str">
        <f t="shared" si="57"/>
        <v>Loan accountsrecalculation</v>
      </c>
    </row>
    <row r="213" spans="1:49" ht="105">
      <c r="A213" s="1">
        <v>185514</v>
      </c>
      <c r="B213" t="str">
        <f t="shared" si="45"/>
        <v>4D87AT76998-10</v>
      </c>
      <c r="C213" s="6" t="str">
        <f t="shared" si="46"/>
        <v>CALIFORNIA STROKE REGISTRY/CALIFORNIA COVERDELL PROGRAM</v>
      </c>
      <c r="D213" s="6" t="str">
        <f t="shared" si="47"/>
        <v>MONTANA STATE UNIVERSITY - BOZEMAN</v>
      </c>
      <c r="E213">
        <f t="shared" si="48"/>
        <v>9212768</v>
      </c>
      <c r="F213" t="str">
        <f t="shared" si="49"/>
        <v>FDA</v>
      </c>
      <c r="G213" t="str">
        <f t="shared" si="50"/>
        <v>28-8723459</v>
      </c>
      <c r="H213">
        <f t="shared" ca="1" si="51"/>
        <v>1535572</v>
      </c>
      <c r="I213" t="str">
        <f t="shared" si="52"/>
        <v>Annual</v>
      </c>
      <c r="T213" s="54" t="s">
        <v>1995</v>
      </c>
      <c r="U213">
        <v>39745812</v>
      </c>
      <c r="V213" s="10" t="s">
        <v>226</v>
      </c>
      <c r="W213" s="10" t="s">
        <v>226</v>
      </c>
      <c r="Y213" s="1" t="s">
        <v>1996</v>
      </c>
      <c r="AI213" s="1">
        <v>185514</v>
      </c>
      <c r="AJ213" s="1" t="s">
        <v>804</v>
      </c>
      <c r="AK213" s="1" t="str">
        <f t="shared" si="53"/>
        <v/>
      </c>
      <c r="AL213" t="b">
        <f t="shared" si="54"/>
        <v>0</v>
      </c>
      <c r="AM213" s="49" t="str">
        <f t="shared" si="55"/>
        <v>Q</v>
      </c>
      <c r="AP213" s="10"/>
      <c r="AS213" t="s">
        <v>1920</v>
      </c>
      <c r="AT213" s="6" t="s">
        <v>812</v>
      </c>
      <c r="AU213" s="6" t="str">
        <f t="shared" si="56"/>
        <v>The audit comments will be followed. The financials will be redrawn and resubmitted.</v>
      </c>
      <c r="AV213" s="6" t="s">
        <v>811</v>
      </c>
      <c r="AW213" s="6" t="str">
        <f t="shared" si="57"/>
        <v>Audit findings Adherance</v>
      </c>
    </row>
    <row r="214" spans="1:49" ht="90">
      <c r="A214" s="1">
        <v>185557</v>
      </c>
      <c r="B214" t="str">
        <f t="shared" si="45"/>
        <v>8C93DS80092-64</v>
      </c>
      <c r="C214" s="6" t="str">
        <f t="shared" si="46"/>
        <v>INNOVATIVE STATE AND LOCAL PUBLIC HEALTH STRATEGIES TO PREVENT AND MANAGE DIABETES AND HEART DISEASE AND STROKE</v>
      </c>
      <c r="D214" s="6" t="str">
        <f t="shared" si="47"/>
        <v>MONTANA TECH OF THE UNIVOF MONTANA</v>
      </c>
      <c r="E214">
        <f t="shared" si="48"/>
        <v>9212768</v>
      </c>
      <c r="F214" t="str">
        <f t="shared" si="49"/>
        <v>ACF</v>
      </c>
      <c r="G214" t="str">
        <f t="shared" si="50"/>
        <v>28-8723460</v>
      </c>
      <c r="H214">
        <f t="shared" ca="1" si="51"/>
        <v>1148798</v>
      </c>
      <c r="I214" t="str">
        <f t="shared" si="52"/>
        <v>Annual</v>
      </c>
      <c r="T214" s="54" t="s">
        <v>1997</v>
      </c>
      <c r="U214">
        <v>39745812</v>
      </c>
      <c r="V214" s="10" t="s">
        <v>241</v>
      </c>
      <c r="W214" s="10" t="s">
        <v>241</v>
      </c>
      <c r="Y214" s="1" t="s">
        <v>1998</v>
      </c>
      <c r="AI214" s="1">
        <v>185557</v>
      </c>
      <c r="AJ214" s="1" t="s">
        <v>119</v>
      </c>
      <c r="AK214" s="1" t="str">
        <f t="shared" si="53"/>
        <v/>
      </c>
      <c r="AL214" t="b">
        <f t="shared" si="54"/>
        <v>1</v>
      </c>
      <c r="AM214" s="49" t="str">
        <f t="shared" si="55"/>
        <v>Q</v>
      </c>
      <c r="AP214" s="10" t="s">
        <v>97</v>
      </c>
      <c r="AS214" t="s">
        <v>119</v>
      </c>
      <c r="AT214" s="6" t="s">
        <v>97</v>
      </c>
      <c r="AU214" s="6" t="str">
        <f t="shared" si="56"/>
        <v/>
      </c>
      <c r="AV214" s="6" t="s">
        <v>96</v>
      </c>
      <c r="AW214" s="6" t="str">
        <f t="shared" si="57"/>
        <v/>
      </c>
    </row>
    <row r="215" spans="1:49" ht="75">
      <c r="A215" s="1">
        <v>185557</v>
      </c>
      <c r="B215" t="str">
        <f t="shared" si="45"/>
        <v>8C93DS80092-64</v>
      </c>
      <c r="C215" s="6" t="str">
        <f t="shared" si="46"/>
        <v>INNOVATIVE STATE AND LOCAL PUBLIC HEALTH STRATEGIES TO PREVENT AND MANAGE DIABETES AND HEART DISEASE AND STROKE</v>
      </c>
      <c r="D215" s="6" t="str">
        <f t="shared" si="47"/>
        <v>MONTANA TECH OF THE UNIVOF MONTANA</v>
      </c>
      <c r="E215">
        <f t="shared" si="48"/>
        <v>9212768</v>
      </c>
      <c r="F215" t="str">
        <f t="shared" si="49"/>
        <v>ACF</v>
      </c>
      <c r="G215" t="str">
        <f t="shared" si="50"/>
        <v>28-8723460</v>
      </c>
      <c r="H215">
        <f t="shared" ca="1" si="51"/>
        <v>1148798</v>
      </c>
      <c r="I215" t="str">
        <f t="shared" si="52"/>
        <v>Annual</v>
      </c>
      <c r="T215" s="54" t="s">
        <v>1960</v>
      </c>
      <c r="U215">
        <v>7601402</v>
      </c>
      <c r="V215" s="10" t="s">
        <v>252</v>
      </c>
      <c r="W215" s="10" t="s">
        <v>252</v>
      </c>
      <c r="Y215" s="1" t="s">
        <v>1999</v>
      </c>
      <c r="AI215" s="1">
        <v>185557</v>
      </c>
      <c r="AJ215" s="1" t="s">
        <v>119</v>
      </c>
      <c r="AK215" s="1" t="str">
        <f t="shared" si="53"/>
        <v/>
      </c>
      <c r="AL215" t="b">
        <f t="shared" si="54"/>
        <v>1</v>
      </c>
      <c r="AM215" s="49" t="str">
        <f t="shared" si="55"/>
        <v>Q</v>
      </c>
      <c r="AP215" s="10" t="s">
        <v>327</v>
      </c>
      <c r="AS215" t="s">
        <v>119</v>
      </c>
      <c r="AT215" s="6" t="s">
        <v>327</v>
      </c>
      <c r="AU215" s="6" t="str">
        <f t="shared" si="56"/>
        <v/>
      </c>
      <c r="AV215" s="6" t="s">
        <v>104</v>
      </c>
      <c r="AW215" s="6" t="str">
        <f t="shared" si="57"/>
        <v/>
      </c>
    </row>
    <row r="216" spans="1:49" ht="75">
      <c r="A216" s="1">
        <v>185557</v>
      </c>
      <c r="B216" t="str">
        <f t="shared" si="45"/>
        <v>8C93DS80092-64</v>
      </c>
      <c r="C216" s="6" t="str">
        <f t="shared" si="46"/>
        <v>INNOVATIVE STATE AND LOCAL PUBLIC HEALTH STRATEGIES TO PREVENT AND MANAGE DIABETES AND HEART DISEASE AND STROKE</v>
      </c>
      <c r="D216" s="6" t="str">
        <f t="shared" si="47"/>
        <v>MONTANA TECH OF THE UNIVOF MONTANA</v>
      </c>
      <c r="E216">
        <f t="shared" si="48"/>
        <v>9212768</v>
      </c>
      <c r="F216" t="str">
        <f t="shared" si="49"/>
        <v>ACF</v>
      </c>
      <c r="G216" t="str">
        <f t="shared" si="50"/>
        <v>28-8723460</v>
      </c>
      <c r="H216">
        <f t="shared" ca="1" si="51"/>
        <v>1148798</v>
      </c>
      <c r="I216" t="str">
        <f t="shared" si="52"/>
        <v>Annual</v>
      </c>
      <c r="T216" s="69" t="s">
        <v>1936</v>
      </c>
      <c r="U216">
        <v>7601402</v>
      </c>
      <c r="V216" s="10" t="s">
        <v>262</v>
      </c>
      <c r="W216" s="10" t="s">
        <v>262</v>
      </c>
      <c r="Y216" s="1" t="s">
        <v>2000</v>
      </c>
      <c r="AI216" s="1">
        <v>185557</v>
      </c>
      <c r="AJ216" s="1" t="s">
        <v>119</v>
      </c>
      <c r="AK216" s="1" t="str">
        <f t="shared" si="53"/>
        <v/>
      </c>
      <c r="AL216" t="b">
        <f t="shared" si="54"/>
        <v>1</v>
      </c>
      <c r="AM216" s="49" t="str">
        <f t="shared" si="55"/>
        <v>Q</v>
      </c>
      <c r="AP216" s="10" t="s">
        <v>113</v>
      </c>
      <c r="AS216" t="s">
        <v>119</v>
      </c>
      <c r="AT216" s="6" t="s">
        <v>113</v>
      </c>
      <c r="AU216" s="6" t="str">
        <f t="shared" si="56"/>
        <v/>
      </c>
      <c r="AV216" s="6" t="s">
        <v>112</v>
      </c>
      <c r="AW216" s="6" t="str">
        <f t="shared" si="57"/>
        <v/>
      </c>
    </row>
    <row r="217" spans="1:49" ht="135">
      <c r="A217" s="1">
        <v>185635</v>
      </c>
      <c r="B217" t="str">
        <f t="shared" si="45"/>
        <v>8B95AR84473-19</v>
      </c>
      <c r="C217" s="6" t="str">
        <f t="shared" si="46"/>
        <v>CHRONIC DISEASE PREVENTION &amp; MANAGEMENT STRATEGY: INNOVATIVE SOLUTIONS FOR HEALTHIER COMMUNITIES</v>
      </c>
      <c r="D217" s="6" t="str">
        <f t="shared" si="47"/>
        <v>MONTCLAIR STATE UNIVERSITY</v>
      </c>
      <c r="E217">
        <f t="shared" si="48"/>
        <v>37594948</v>
      </c>
      <c r="F217" t="str">
        <f t="shared" si="49"/>
        <v>CDC</v>
      </c>
      <c r="G217" t="str">
        <f t="shared" si="50"/>
        <v>28-8723461</v>
      </c>
      <c r="H217">
        <f t="shared" ca="1" si="51"/>
        <v>1289505</v>
      </c>
      <c r="I217" t="str">
        <f t="shared" si="52"/>
        <v>Annual</v>
      </c>
      <c r="T217" s="50" t="s">
        <v>1959</v>
      </c>
      <c r="U217">
        <v>7601402</v>
      </c>
      <c r="V217" s="10" t="s">
        <v>276</v>
      </c>
      <c r="W217" s="10" t="s">
        <v>276</v>
      </c>
      <c r="Y217" s="1" t="s">
        <v>2001</v>
      </c>
      <c r="AI217" s="1">
        <v>185635</v>
      </c>
      <c r="AJ217" s="1" t="s">
        <v>119</v>
      </c>
      <c r="AK217" s="1" t="str">
        <f t="shared" si="53"/>
        <v/>
      </c>
      <c r="AL217" t="b">
        <f t="shared" si="54"/>
        <v>1</v>
      </c>
      <c r="AM217" s="49" t="str">
        <f t="shared" si="55"/>
        <v>Q</v>
      </c>
      <c r="AP217" s="10" t="s">
        <v>97</v>
      </c>
      <c r="AS217" t="s">
        <v>119</v>
      </c>
      <c r="AT217" s="6" t="s">
        <v>97</v>
      </c>
      <c r="AU217" s="6" t="str">
        <f t="shared" si="56"/>
        <v/>
      </c>
      <c r="AV217" s="6" t="s">
        <v>96</v>
      </c>
      <c r="AW217" s="6" t="str">
        <f t="shared" si="57"/>
        <v/>
      </c>
    </row>
    <row r="218" spans="1:49" ht="105">
      <c r="A218" s="1">
        <v>185635</v>
      </c>
      <c r="B218" t="str">
        <f t="shared" si="45"/>
        <v>8B95AR84473-19</v>
      </c>
      <c r="C218" s="6" t="str">
        <f t="shared" si="46"/>
        <v>CHRONIC DISEASE PREVENTION &amp; MANAGEMENT STRATEGY: INNOVATIVE SOLUTIONS FOR HEALTHIER COMMUNITIES</v>
      </c>
      <c r="D218" s="6" t="str">
        <f t="shared" si="47"/>
        <v>MONTCLAIR STATE UNIVERSITY</v>
      </c>
      <c r="E218">
        <f t="shared" si="48"/>
        <v>37594948</v>
      </c>
      <c r="F218" t="str">
        <f t="shared" si="49"/>
        <v>CDC</v>
      </c>
      <c r="G218" t="str">
        <f t="shared" si="50"/>
        <v>28-8723461</v>
      </c>
      <c r="H218">
        <f t="shared" ca="1" si="51"/>
        <v>1289505</v>
      </c>
      <c r="I218" t="str">
        <f t="shared" si="52"/>
        <v>Annual</v>
      </c>
      <c r="T218" s="57" t="s">
        <v>1969</v>
      </c>
      <c r="U218">
        <v>8229511</v>
      </c>
      <c r="V218" s="10" t="s">
        <v>286</v>
      </c>
      <c r="W218" s="10" t="s">
        <v>286</v>
      </c>
      <c r="Y218" s="1" t="s">
        <v>2002</v>
      </c>
      <c r="AI218" s="1">
        <v>185635</v>
      </c>
      <c r="AJ218" s="1" t="s">
        <v>119</v>
      </c>
      <c r="AK218" s="1" t="str">
        <f t="shared" si="53"/>
        <v/>
      </c>
      <c r="AL218" t="b">
        <f t="shared" si="54"/>
        <v>1</v>
      </c>
      <c r="AM218" s="49" t="str">
        <f t="shared" si="55"/>
        <v>Q</v>
      </c>
      <c r="AP218" s="10" t="s">
        <v>327</v>
      </c>
      <c r="AS218" t="s">
        <v>119</v>
      </c>
      <c r="AT218" s="6" t="s">
        <v>327</v>
      </c>
      <c r="AU218" s="6" t="str">
        <f t="shared" si="56"/>
        <v/>
      </c>
      <c r="AV218" s="6" t="s">
        <v>104</v>
      </c>
      <c r="AW218" s="6" t="str">
        <f t="shared" si="57"/>
        <v/>
      </c>
    </row>
    <row r="219" spans="1:49" ht="75">
      <c r="A219" s="1">
        <v>185635</v>
      </c>
      <c r="B219" t="str">
        <f t="shared" si="45"/>
        <v>8B95AR84473-19</v>
      </c>
      <c r="C219" s="6" t="str">
        <f t="shared" si="46"/>
        <v>CHRONIC DISEASE PREVENTION &amp; MANAGEMENT STRATEGY: INNOVATIVE SOLUTIONS FOR HEALTHIER COMMUNITIES</v>
      </c>
      <c r="D219" s="6" t="str">
        <f t="shared" si="47"/>
        <v>MONTCLAIR STATE UNIVERSITY</v>
      </c>
      <c r="E219">
        <f t="shared" si="48"/>
        <v>37594948</v>
      </c>
      <c r="F219" t="str">
        <f t="shared" si="49"/>
        <v>CDC</v>
      </c>
      <c r="G219" t="str">
        <f t="shared" si="50"/>
        <v>28-8723461</v>
      </c>
      <c r="H219">
        <f t="shared" ca="1" si="51"/>
        <v>1289505</v>
      </c>
      <c r="I219" t="str">
        <f t="shared" si="52"/>
        <v>Annual</v>
      </c>
      <c r="T219" s="52" t="s">
        <v>1937</v>
      </c>
      <c r="U219">
        <v>8229511</v>
      </c>
      <c r="V219" s="10" t="s">
        <v>301</v>
      </c>
      <c r="W219" s="10" t="s">
        <v>301</v>
      </c>
      <c r="Y219" s="1" t="s">
        <v>2003</v>
      </c>
      <c r="AI219" s="1">
        <v>185635</v>
      </c>
      <c r="AJ219" s="1" t="s">
        <v>119</v>
      </c>
      <c r="AK219" s="1" t="str">
        <f t="shared" si="53"/>
        <v/>
      </c>
      <c r="AL219" t="b">
        <f t="shared" si="54"/>
        <v>1</v>
      </c>
      <c r="AM219" s="49" t="str">
        <f t="shared" si="55"/>
        <v>Q</v>
      </c>
      <c r="AP219" s="10" t="s">
        <v>113</v>
      </c>
      <c r="AS219" t="s">
        <v>119</v>
      </c>
      <c r="AT219" s="6" t="s">
        <v>113</v>
      </c>
      <c r="AU219" s="6" t="str">
        <f t="shared" si="56"/>
        <v/>
      </c>
      <c r="AV219" s="6" t="s">
        <v>112</v>
      </c>
      <c r="AW219" s="6" t="str">
        <f t="shared" si="57"/>
        <v/>
      </c>
    </row>
    <row r="220" spans="1:49" ht="90">
      <c r="A220" s="1">
        <v>186056</v>
      </c>
      <c r="B220" t="str">
        <f t="shared" si="45"/>
        <v>7B92IR89516-71</v>
      </c>
      <c r="C220" s="6" t="str">
        <f t="shared" si="46"/>
        <v>THE LOS ANGELES COUNTY SODIUM REDUCTION INITIATIVE, 2016-2021</v>
      </c>
      <c r="D220" s="6" t="str">
        <f t="shared" si="47"/>
        <v>MONTEFIORE MEDICAL CENTER (BRONX, NY)</v>
      </c>
      <c r="E220">
        <f t="shared" si="48"/>
        <v>37594948</v>
      </c>
      <c r="F220" t="str">
        <f t="shared" si="49"/>
        <v>NIH</v>
      </c>
      <c r="G220" t="str">
        <f t="shared" si="50"/>
        <v>28-8723462</v>
      </c>
      <c r="H220">
        <f t="shared" ca="1" si="51"/>
        <v>2646766</v>
      </c>
      <c r="I220" t="str">
        <f t="shared" si="52"/>
        <v>Annual</v>
      </c>
      <c r="T220" s="56" t="s">
        <v>1850</v>
      </c>
      <c r="U220">
        <v>18435331</v>
      </c>
      <c r="V220" s="10" t="s">
        <v>311</v>
      </c>
      <c r="W220" s="10" t="s">
        <v>311</v>
      </c>
      <c r="Y220" s="1" t="s">
        <v>2004</v>
      </c>
      <c r="AI220" s="1">
        <v>186056</v>
      </c>
      <c r="AJ220" s="1" t="s">
        <v>119</v>
      </c>
      <c r="AK220" s="1" t="str">
        <f t="shared" si="53"/>
        <v/>
      </c>
      <c r="AL220" t="b">
        <f t="shared" si="54"/>
        <v>1</v>
      </c>
      <c r="AM220" s="49" t="str">
        <f t="shared" si="55"/>
        <v>Q</v>
      </c>
      <c r="AP220" s="10" t="s">
        <v>97</v>
      </c>
      <c r="AS220" t="s">
        <v>119</v>
      </c>
      <c r="AT220" s="6" t="s">
        <v>97</v>
      </c>
      <c r="AU220" s="6" t="str">
        <f t="shared" si="56"/>
        <v/>
      </c>
      <c r="AV220" s="6" t="s">
        <v>96</v>
      </c>
      <c r="AW220" s="6" t="str">
        <f t="shared" si="57"/>
        <v/>
      </c>
    </row>
    <row r="221" spans="1:49" ht="75">
      <c r="A221" s="1">
        <v>186056</v>
      </c>
      <c r="B221" t="str">
        <f t="shared" si="45"/>
        <v>7B92IR89516-71</v>
      </c>
      <c r="C221" s="6" t="str">
        <f t="shared" si="46"/>
        <v>THE LOS ANGELES COUNTY SODIUM REDUCTION INITIATIVE, 2016-2021</v>
      </c>
      <c r="D221" s="6" t="str">
        <f t="shared" si="47"/>
        <v>MONTEFIORE MEDICAL CENTER (BRONX, NY)</v>
      </c>
      <c r="E221">
        <f t="shared" si="48"/>
        <v>37594948</v>
      </c>
      <c r="F221" t="str">
        <f t="shared" si="49"/>
        <v>NIH</v>
      </c>
      <c r="G221" t="str">
        <f t="shared" si="50"/>
        <v>28-8723462</v>
      </c>
      <c r="H221">
        <f t="shared" ca="1" si="51"/>
        <v>2646766</v>
      </c>
      <c r="I221" t="str">
        <f t="shared" si="52"/>
        <v>Annual</v>
      </c>
      <c r="T221" s="53" t="s">
        <v>1978</v>
      </c>
      <c r="U221">
        <v>18435331</v>
      </c>
      <c r="V221" s="10" t="s">
        <v>319</v>
      </c>
      <c r="W221" s="10" t="s">
        <v>319</v>
      </c>
      <c r="Y221" s="1" t="s">
        <v>2005</v>
      </c>
      <c r="AI221" s="1">
        <v>186056</v>
      </c>
      <c r="AJ221" s="1" t="s">
        <v>119</v>
      </c>
      <c r="AK221" s="1" t="str">
        <f t="shared" si="53"/>
        <v/>
      </c>
      <c r="AL221" t="b">
        <f t="shared" si="54"/>
        <v>1</v>
      </c>
      <c r="AM221" s="49" t="str">
        <f t="shared" si="55"/>
        <v>Q</v>
      </c>
      <c r="AP221" s="10" t="s">
        <v>327</v>
      </c>
      <c r="AS221" t="s">
        <v>119</v>
      </c>
      <c r="AT221" s="6" t="s">
        <v>327</v>
      </c>
      <c r="AU221" s="6" t="str">
        <f t="shared" si="56"/>
        <v/>
      </c>
      <c r="AV221" s="6" t="s">
        <v>104</v>
      </c>
      <c r="AW221" s="6" t="str">
        <f t="shared" si="57"/>
        <v/>
      </c>
    </row>
    <row r="222" spans="1:49" ht="120">
      <c r="A222" s="1">
        <v>186056</v>
      </c>
      <c r="B222" t="str">
        <f t="shared" si="45"/>
        <v>7B92IR89516-71</v>
      </c>
      <c r="C222" s="6" t="str">
        <f t="shared" si="46"/>
        <v>THE LOS ANGELES COUNTY SODIUM REDUCTION INITIATIVE, 2016-2021</v>
      </c>
      <c r="D222" s="6" t="str">
        <f t="shared" si="47"/>
        <v>MONTEFIORE MEDICAL CENTER (BRONX, NY)</v>
      </c>
      <c r="E222">
        <f t="shared" si="48"/>
        <v>37594948</v>
      </c>
      <c r="F222" t="str">
        <f t="shared" si="49"/>
        <v>NIH</v>
      </c>
      <c r="G222" t="str">
        <f t="shared" si="50"/>
        <v>28-8723462</v>
      </c>
      <c r="H222">
        <f t="shared" ca="1" si="51"/>
        <v>2646766</v>
      </c>
      <c r="I222" t="str">
        <f t="shared" si="52"/>
        <v>Annual</v>
      </c>
      <c r="T222" s="57" t="s">
        <v>1979</v>
      </c>
      <c r="U222">
        <v>18435331</v>
      </c>
      <c r="V222" s="10" t="s">
        <v>331</v>
      </c>
      <c r="W222" s="10" t="s">
        <v>331</v>
      </c>
      <c r="Y222" s="1" t="s">
        <v>2006</v>
      </c>
      <c r="AI222" s="1">
        <v>186056</v>
      </c>
      <c r="AJ222" s="1" t="s">
        <v>119</v>
      </c>
      <c r="AK222" s="1" t="str">
        <f t="shared" si="53"/>
        <v/>
      </c>
      <c r="AL222" t="b">
        <f t="shared" si="54"/>
        <v>1</v>
      </c>
      <c r="AM222" s="49" t="str">
        <f t="shared" si="55"/>
        <v>Q</v>
      </c>
      <c r="AP222" s="10" t="s">
        <v>113</v>
      </c>
      <c r="AS222" t="s">
        <v>119</v>
      </c>
      <c r="AT222" s="6" t="s">
        <v>113</v>
      </c>
      <c r="AU222" s="6" t="str">
        <f t="shared" si="56"/>
        <v/>
      </c>
      <c r="AV222" s="6" t="s">
        <v>112</v>
      </c>
      <c r="AW222" s="6" t="str">
        <f t="shared" si="57"/>
        <v/>
      </c>
    </row>
    <row r="223" spans="1:49" ht="60">
      <c r="A223" s="1">
        <v>186056</v>
      </c>
      <c r="B223" t="str">
        <f t="shared" si="45"/>
        <v>7B92IR89516-71</v>
      </c>
      <c r="C223" s="6" t="str">
        <f t="shared" si="46"/>
        <v>THE LOS ANGELES COUNTY SODIUM REDUCTION INITIATIVE, 2016-2021</v>
      </c>
      <c r="D223" s="6" t="str">
        <f t="shared" si="47"/>
        <v>MONTEFIORE MEDICAL CENTER (BRONX, NY)</v>
      </c>
      <c r="E223">
        <f t="shared" si="48"/>
        <v>37594948</v>
      </c>
      <c r="F223" t="str">
        <f t="shared" si="49"/>
        <v>NIH</v>
      </c>
      <c r="G223" t="str">
        <f t="shared" si="50"/>
        <v>28-8723462</v>
      </c>
      <c r="H223">
        <f t="shared" ca="1" si="51"/>
        <v>2646766</v>
      </c>
      <c r="I223" t="str">
        <f t="shared" si="52"/>
        <v>Annual</v>
      </c>
      <c r="T223" s="57" t="s">
        <v>2007</v>
      </c>
      <c r="U223">
        <v>2645805</v>
      </c>
      <c r="V223" s="10" t="s">
        <v>338</v>
      </c>
      <c r="W223" s="10" t="s">
        <v>338</v>
      </c>
      <c r="Y223" s="1" t="s">
        <v>2008</v>
      </c>
      <c r="AI223" s="1">
        <v>186056</v>
      </c>
      <c r="AJ223" s="1" t="s">
        <v>119</v>
      </c>
      <c r="AK223" s="1" t="str">
        <f t="shared" si="53"/>
        <v/>
      </c>
      <c r="AL223" t="b">
        <f t="shared" si="54"/>
        <v>1</v>
      </c>
      <c r="AM223" s="49" t="str">
        <f t="shared" si="55"/>
        <v>Q</v>
      </c>
      <c r="AP223" s="10"/>
      <c r="AS223" t="s">
        <v>119</v>
      </c>
      <c r="AT223" s="6" t="s">
        <v>812</v>
      </c>
      <c r="AU223" s="6" t="str">
        <f t="shared" si="56"/>
        <v/>
      </c>
      <c r="AV223" s="6" t="s">
        <v>811</v>
      </c>
      <c r="AW223" s="6" t="str">
        <f t="shared" si="57"/>
        <v/>
      </c>
    </row>
    <row r="224" spans="1:49" ht="105">
      <c r="A224" s="1">
        <v>186056</v>
      </c>
      <c r="B224" t="str">
        <f t="shared" si="45"/>
        <v>7B92IR89516-71</v>
      </c>
      <c r="C224" s="6" t="str">
        <f t="shared" si="46"/>
        <v>THE LOS ANGELES COUNTY SODIUM REDUCTION INITIATIVE, 2016-2021</v>
      </c>
      <c r="D224" s="6" t="str">
        <f t="shared" si="47"/>
        <v>MONTEFIORE MEDICAL CENTER (BRONX, NY)</v>
      </c>
      <c r="E224">
        <f t="shared" si="48"/>
        <v>37594948</v>
      </c>
      <c r="F224" t="str">
        <f t="shared" si="49"/>
        <v>NIH</v>
      </c>
      <c r="G224" t="str">
        <f t="shared" si="50"/>
        <v>28-8723462</v>
      </c>
      <c r="H224">
        <f t="shared" ca="1" si="51"/>
        <v>2646766</v>
      </c>
      <c r="I224" t="str">
        <f t="shared" si="52"/>
        <v>Annual</v>
      </c>
      <c r="T224" s="56" t="s">
        <v>1936</v>
      </c>
      <c r="U224">
        <v>2645805</v>
      </c>
      <c r="V224" s="10" t="s">
        <v>350</v>
      </c>
      <c r="W224" s="10" t="s">
        <v>350</v>
      </c>
      <c r="Y224" s="1" t="s">
        <v>2009</v>
      </c>
      <c r="AI224" s="1">
        <v>186056</v>
      </c>
      <c r="AJ224" s="1" t="s">
        <v>119</v>
      </c>
      <c r="AK224" s="1" t="str">
        <f t="shared" si="53"/>
        <v/>
      </c>
      <c r="AL224" t="b">
        <f t="shared" si="54"/>
        <v>1</v>
      </c>
      <c r="AM224" s="49" t="str">
        <f t="shared" si="55"/>
        <v>Q</v>
      </c>
      <c r="AP224" s="10"/>
      <c r="AS224" t="s">
        <v>119</v>
      </c>
      <c r="AT224" s="6" t="s">
        <v>812</v>
      </c>
      <c r="AU224" s="6" t="str">
        <f t="shared" si="56"/>
        <v/>
      </c>
      <c r="AV224" s="6" t="s">
        <v>811</v>
      </c>
      <c r="AW224" s="6" t="str">
        <f t="shared" si="57"/>
        <v/>
      </c>
    </row>
    <row r="225" spans="1:49" ht="105">
      <c r="A225" s="1">
        <v>186102</v>
      </c>
      <c r="B225" t="str">
        <f t="shared" si="45"/>
        <v>1B69AR89609-97</v>
      </c>
      <c r="C225" s="6" t="str">
        <f t="shared" si="46"/>
        <v>HEALTHY WORKS: INNOVATIVE PUBLIC HEALTH
STRATEGIES TO PREVENT AND MANAGE DIABETES AND HEART DISEASE AND STROKE</v>
      </c>
      <c r="D225" s="6" t="str">
        <f t="shared" si="47"/>
        <v>MONTREAL HEART INSTITUTE</v>
      </c>
      <c r="E225">
        <f t="shared" si="48"/>
        <v>37594948</v>
      </c>
      <c r="F225" t="str">
        <f t="shared" si="49"/>
        <v>FDA</v>
      </c>
      <c r="G225" t="str">
        <f t="shared" si="50"/>
        <v>28-8723463</v>
      </c>
      <c r="H225">
        <f t="shared" ca="1" si="51"/>
        <v>2004643</v>
      </c>
      <c r="I225" t="str">
        <f t="shared" si="52"/>
        <v>Annual</v>
      </c>
      <c r="T225" s="54" t="s">
        <v>1959</v>
      </c>
      <c r="U225">
        <v>2645805</v>
      </c>
      <c r="V225" s="10" t="s">
        <v>357</v>
      </c>
      <c r="W225" s="10" t="s">
        <v>357</v>
      </c>
      <c r="Y225" s="1" t="s">
        <v>2010</v>
      </c>
      <c r="AI225" s="1">
        <v>186102</v>
      </c>
      <c r="AJ225" s="1" t="s">
        <v>804</v>
      </c>
      <c r="AK225" s="1" t="str">
        <f t="shared" si="53"/>
        <v/>
      </c>
      <c r="AL225" t="b">
        <f t="shared" si="54"/>
        <v>0</v>
      </c>
      <c r="AM225" s="49" t="str">
        <f t="shared" si="55"/>
        <v>Q</v>
      </c>
      <c r="AP225" s="10" t="s">
        <v>97</v>
      </c>
      <c r="AS225" t="s">
        <v>119</v>
      </c>
      <c r="AT225" s="6" t="s">
        <v>97</v>
      </c>
      <c r="AU225" s="6" t="str">
        <f t="shared" si="56"/>
        <v/>
      </c>
      <c r="AV225" s="6" t="s">
        <v>96</v>
      </c>
      <c r="AW225" s="6" t="str">
        <f t="shared" si="57"/>
        <v/>
      </c>
    </row>
    <row r="226" spans="1:49" ht="75">
      <c r="A226" s="1">
        <v>186102</v>
      </c>
      <c r="B226" t="str">
        <f t="shared" si="45"/>
        <v>1B69AR89609-97</v>
      </c>
      <c r="C226" s="6" t="str">
        <f t="shared" si="46"/>
        <v>HEALTHY WORKS: INNOVATIVE PUBLIC HEALTH
STRATEGIES TO PREVENT AND MANAGE DIABETES AND HEART DISEASE AND STROKE</v>
      </c>
      <c r="D226" s="6" t="str">
        <f t="shared" si="47"/>
        <v>MONTREAL HEART INSTITUTE</v>
      </c>
      <c r="E226">
        <f t="shared" si="48"/>
        <v>37594948</v>
      </c>
      <c r="F226" t="str">
        <f t="shared" si="49"/>
        <v>FDA</v>
      </c>
      <c r="G226" t="str">
        <f t="shared" si="50"/>
        <v>28-8723463</v>
      </c>
      <c r="H226">
        <f t="shared" ca="1" si="51"/>
        <v>2004643</v>
      </c>
      <c r="I226" t="str">
        <f t="shared" si="52"/>
        <v>Annual</v>
      </c>
      <c r="T226" s="50" t="s">
        <v>2011</v>
      </c>
      <c r="U226">
        <v>2645805</v>
      </c>
      <c r="V226" s="10" t="s">
        <v>370</v>
      </c>
      <c r="W226" s="10" t="s">
        <v>370</v>
      </c>
      <c r="Y226" s="1" t="s">
        <v>2012</v>
      </c>
      <c r="AI226" s="1">
        <v>186102</v>
      </c>
      <c r="AJ226" s="1" t="s">
        <v>804</v>
      </c>
      <c r="AK226" s="1" t="str">
        <f t="shared" si="53"/>
        <v/>
      </c>
      <c r="AL226" t="b">
        <f t="shared" si="54"/>
        <v>0</v>
      </c>
      <c r="AM226" s="49" t="str">
        <f t="shared" si="55"/>
        <v>Q</v>
      </c>
      <c r="AP226" s="10" t="s">
        <v>327</v>
      </c>
      <c r="AS226" t="s">
        <v>119</v>
      </c>
      <c r="AT226" s="6" t="s">
        <v>327</v>
      </c>
      <c r="AU226" s="6" t="str">
        <f t="shared" si="56"/>
        <v/>
      </c>
      <c r="AV226" s="6" t="s">
        <v>104</v>
      </c>
      <c r="AW226" s="6" t="str">
        <f t="shared" si="57"/>
        <v/>
      </c>
    </row>
    <row r="227" spans="1:49" ht="75">
      <c r="A227" s="1">
        <v>186102</v>
      </c>
      <c r="B227" t="str">
        <f t="shared" si="45"/>
        <v>1B69AR89609-97</v>
      </c>
      <c r="C227" s="6" t="str">
        <f t="shared" si="46"/>
        <v>HEALTHY WORKS: INNOVATIVE PUBLIC HEALTH
STRATEGIES TO PREVENT AND MANAGE DIABETES AND HEART DISEASE AND STROKE</v>
      </c>
      <c r="D227" s="6" t="str">
        <f t="shared" si="47"/>
        <v>MONTREAL HEART INSTITUTE</v>
      </c>
      <c r="E227">
        <f t="shared" si="48"/>
        <v>37594948</v>
      </c>
      <c r="F227" t="str">
        <f t="shared" si="49"/>
        <v>FDA</v>
      </c>
      <c r="G227" t="str">
        <f t="shared" si="50"/>
        <v>28-8723463</v>
      </c>
      <c r="H227">
        <f t="shared" ca="1" si="51"/>
        <v>2004643</v>
      </c>
      <c r="I227" t="str">
        <f t="shared" si="52"/>
        <v>Annual</v>
      </c>
      <c r="T227" s="54" t="s">
        <v>1956</v>
      </c>
      <c r="U227">
        <v>29848457</v>
      </c>
      <c r="V227" s="10" t="s">
        <v>378</v>
      </c>
      <c r="W227" s="10" t="s">
        <v>378</v>
      </c>
      <c r="Y227" s="1" t="s">
        <v>2013</v>
      </c>
      <c r="AI227" s="1">
        <v>186102</v>
      </c>
      <c r="AJ227" s="1" t="s">
        <v>804</v>
      </c>
      <c r="AK227" s="1" t="str">
        <f t="shared" si="53"/>
        <v/>
      </c>
      <c r="AL227" t="b">
        <f t="shared" si="54"/>
        <v>0</v>
      </c>
      <c r="AM227" s="49" t="str">
        <f t="shared" si="55"/>
        <v>Q</v>
      </c>
      <c r="AP227" s="10" t="s">
        <v>113</v>
      </c>
      <c r="AS227" t="s">
        <v>119</v>
      </c>
      <c r="AT227" s="6" t="s">
        <v>113</v>
      </c>
      <c r="AU227" s="6" t="str">
        <f t="shared" si="56"/>
        <v/>
      </c>
      <c r="AV227" s="6" t="s">
        <v>112</v>
      </c>
      <c r="AW227" s="6" t="str">
        <f t="shared" si="57"/>
        <v/>
      </c>
    </row>
    <row r="228" spans="1:49" ht="105">
      <c r="A228" s="1">
        <v>186284</v>
      </c>
      <c r="B228" t="str">
        <f t="shared" si="45"/>
        <v>3B25IR83588-86</v>
      </c>
      <c r="C228" s="6" t="str">
        <f t="shared" si="46"/>
        <v>PREVENTION AND SELF-MANAGEMENT OF HEART DISEASE, STROKE AND DIABETES</v>
      </c>
      <c r="D228" s="6" t="str">
        <f t="shared" si="47"/>
        <v>MOONLIGHT THERAPEUTICS, INC.</v>
      </c>
      <c r="E228">
        <f t="shared" si="48"/>
        <v>25562879</v>
      </c>
      <c r="F228" t="str">
        <f t="shared" si="49"/>
        <v>ACF</v>
      </c>
      <c r="G228" t="str">
        <f t="shared" si="50"/>
        <v>28-8723464</v>
      </c>
      <c r="H228">
        <f t="shared" ca="1" si="51"/>
        <v>2663728</v>
      </c>
      <c r="I228" t="str">
        <f t="shared" si="52"/>
        <v>Annual</v>
      </c>
      <c r="T228" s="59" t="s">
        <v>1972</v>
      </c>
      <c r="U228">
        <v>29848457</v>
      </c>
      <c r="V228" s="10" t="s">
        <v>385</v>
      </c>
      <c r="W228" s="10" t="s">
        <v>385</v>
      </c>
      <c r="Y228" s="1" t="s">
        <v>2014</v>
      </c>
      <c r="AI228" s="1">
        <v>186284</v>
      </c>
      <c r="AJ228" s="1" t="s">
        <v>119</v>
      </c>
      <c r="AK228" s="1" t="str">
        <f t="shared" si="53"/>
        <v/>
      </c>
      <c r="AL228" t="b">
        <f t="shared" si="54"/>
        <v>1</v>
      </c>
      <c r="AM228" s="49" t="str">
        <f t="shared" si="55"/>
        <v>Q</v>
      </c>
      <c r="AP228" s="10" t="s">
        <v>97</v>
      </c>
      <c r="AS228" t="s">
        <v>119</v>
      </c>
      <c r="AT228" s="6" t="s">
        <v>97</v>
      </c>
      <c r="AU228" s="6" t="str">
        <f t="shared" si="56"/>
        <v/>
      </c>
      <c r="AV228" s="6" t="s">
        <v>96</v>
      </c>
      <c r="AW228" s="6" t="str">
        <f t="shared" si="57"/>
        <v/>
      </c>
    </row>
    <row r="229" spans="1:49" ht="120">
      <c r="A229" s="1">
        <v>186284</v>
      </c>
      <c r="B229" t="str">
        <f t="shared" si="45"/>
        <v>3B25IR83588-86</v>
      </c>
      <c r="C229" s="6" t="str">
        <f t="shared" si="46"/>
        <v>PREVENTION AND SELF-MANAGEMENT OF HEART DISEASE, STROKE AND DIABETES</v>
      </c>
      <c r="D229" s="6" t="str">
        <f t="shared" si="47"/>
        <v>MOONLIGHT THERAPEUTICS, INC.</v>
      </c>
      <c r="E229">
        <f t="shared" si="48"/>
        <v>25562879</v>
      </c>
      <c r="F229" t="str">
        <f t="shared" si="49"/>
        <v>ACF</v>
      </c>
      <c r="G229" t="str">
        <f t="shared" si="50"/>
        <v>28-8723464</v>
      </c>
      <c r="H229">
        <f t="shared" ca="1" si="51"/>
        <v>2663728</v>
      </c>
      <c r="I229" t="str">
        <f t="shared" si="52"/>
        <v>Annual</v>
      </c>
      <c r="T229" s="54" t="s">
        <v>2015</v>
      </c>
      <c r="U229">
        <v>29848457</v>
      </c>
      <c r="V229" s="10" t="s">
        <v>401</v>
      </c>
      <c r="W229" s="10" t="s">
        <v>401</v>
      </c>
      <c r="Y229" s="1" t="s">
        <v>2016</v>
      </c>
      <c r="AI229" s="1">
        <v>186284</v>
      </c>
      <c r="AJ229" s="1" t="s">
        <v>119</v>
      </c>
      <c r="AK229" s="1" t="str">
        <f t="shared" si="53"/>
        <v/>
      </c>
      <c r="AL229" t="b">
        <f t="shared" si="54"/>
        <v>1</v>
      </c>
      <c r="AM229" s="49" t="str">
        <f t="shared" si="55"/>
        <v>Q</v>
      </c>
      <c r="AP229" s="10" t="s">
        <v>327</v>
      </c>
      <c r="AS229" t="s">
        <v>119</v>
      </c>
      <c r="AT229" s="6" t="s">
        <v>327</v>
      </c>
      <c r="AU229" s="6" t="str">
        <f t="shared" si="56"/>
        <v/>
      </c>
      <c r="AV229" s="6" t="s">
        <v>104</v>
      </c>
      <c r="AW229" s="6" t="str">
        <f t="shared" si="57"/>
        <v/>
      </c>
    </row>
    <row r="230" spans="1:49" ht="75">
      <c r="A230" s="1">
        <v>186284</v>
      </c>
      <c r="B230" t="str">
        <f t="shared" si="45"/>
        <v>3B25IR83588-86</v>
      </c>
      <c r="C230" s="6" t="str">
        <f t="shared" si="46"/>
        <v>PREVENTION AND SELF-MANAGEMENT OF HEART DISEASE, STROKE AND DIABETES</v>
      </c>
      <c r="D230" s="6" t="str">
        <f t="shared" si="47"/>
        <v>MOONLIGHT THERAPEUTICS, INC.</v>
      </c>
      <c r="E230">
        <f t="shared" si="48"/>
        <v>25562879</v>
      </c>
      <c r="F230" t="str">
        <f t="shared" si="49"/>
        <v>ACF</v>
      </c>
      <c r="G230" t="str">
        <f t="shared" si="50"/>
        <v>28-8723464</v>
      </c>
      <c r="H230">
        <f t="shared" ca="1" si="51"/>
        <v>2663728</v>
      </c>
      <c r="I230" t="str">
        <f t="shared" si="52"/>
        <v>Annual</v>
      </c>
      <c r="T230" s="57" t="s">
        <v>1938</v>
      </c>
      <c r="U230">
        <v>10029474</v>
      </c>
      <c r="V230" s="10" t="s">
        <v>408</v>
      </c>
      <c r="W230" s="10" t="s">
        <v>408</v>
      </c>
      <c r="Y230" s="1" t="s">
        <v>2017</v>
      </c>
      <c r="AI230" s="1">
        <v>186284</v>
      </c>
      <c r="AJ230" s="1" t="s">
        <v>119</v>
      </c>
      <c r="AK230" s="1" t="str">
        <f t="shared" si="53"/>
        <v/>
      </c>
      <c r="AL230" t="b">
        <f t="shared" si="54"/>
        <v>1</v>
      </c>
      <c r="AM230" s="49" t="str">
        <f t="shared" si="55"/>
        <v>Q</v>
      </c>
      <c r="AP230" s="10" t="s">
        <v>113</v>
      </c>
      <c r="AS230" t="s">
        <v>119</v>
      </c>
      <c r="AT230" s="6" t="s">
        <v>113</v>
      </c>
      <c r="AU230" s="6" t="str">
        <f t="shared" si="56"/>
        <v/>
      </c>
      <c r="AV230" s="6" t="s">
        <v>112</v>
      </c>
      <c r="AW230" s="6" t="str">
        <f t="shared" si="57"/>
        <v/>
      </c>
    </row>
    <row r="231" spans="1:49" ht="90">
      <c r="A231" s="1">
        <v>186904</v>
      </c>
      <c r="B231" t="str">
        <f t="shared" si="45"/>
        <v>7D52GT86985-13</v>
      </c>
      <c r="C231" s="6" t="str">
        <f t="shared" si="46"/>
        <v>ADVANCING CALIFORNIA S OPPORTUNITIES TO RENEW NATIVE HEALTH SYSTEMS (ACORNS)</v>
      </c>
      <c r="D231" s="6" t="str">
        <f t="shared" si="47"/>
        <v>MOREHOUSE COLLEGE</v>
      </c>
      <c r="E231">
        <f t="shared" si="48"/>
        <v>25562879</v>
      </c>
      <c r="F231" t="str">
        <f t="shared" si="49"/>
        <v>CDC</v>
      </c>
      <c r="G231" t="str">
        <f t="shared" si="50"/>
        <v>28-8723465</v>
      </c>
      <c r="H231">
        <f t="shared" ca="1" si="51"/>
        <v>2678163</v>
      </c>
      <c r="I231" t="str">
        <f t="shared" si="52"/>
        <v>Annual</v>
      </c>
      <c r="T231" s="52" t="s">
        <v>1980</v>
      </c>
      <c r="U231">
        <v>10029474</v>
      </c>
      <c r="V231" s="10" t="s">
        <v>415</v>
      </c>
      <c r="W231" s="10" t="s">
        <v>415</v>
      </c>
      <c r="Y231" s="1" t="s">
        <v>2018</v>
      </c>
      <c r="AI231" s="1">
        <v>186904</v>
      </c>
      <c r="AJ231" s="1" t="s">
        <v>119</v>
      </c>
      <c r="AK231" s="1" t="str">
        <f t="shared" si="53"/>
        <v/>
      </c>
      <c r="AL231" t="b">
        <f t="shared" si="54"/>
        <v>1</v>
      </c>
      <c r="AM231" s="49" t="str">
        <f t="shared" si="55"/>
        <v>Q</v>
      </c>
      <c r="AP231" s="10" t="s">
        <v>97</v>
      </c>
      <c r="AS231" t="s">
        <v>119</v>
      </c>
      <c r="AT231" s="6" t="s">
        <v>97</v>
      </c>
      <c r="AU231" s="6" t="str">
        <f t="shared" si="56"/>
        <v/>
      </c>
      <c r="AV231" s="6" t="s">
        <v>96</v>
      </c>
      <c r="AW231" s="6" t="str">
        <f t="shared" si="57"/>
        <v/>
      </c>
    </row>
    <row r="232" spans="1:49" ht="135">
      <c r="A232" s="1">
        <v>186904</v>
      </c>
      <c r="B232" t="str">
        <f t="shared" si="45"/>
        <v>7D52GT86985-13</v>
      </c>
      <c r="C232" s="6" t="str">
        <f t="shared" si="46"/>
        <v>ADVANCING CALIFORNIA S OPPORTUNITIES TO RENEW NATIVE HEALTH SYSTEMS (ACORNS)</v>
      </c>
      <c r="D232" s="6" t="str">
        <f t="shared" si="47"/>
        <v>MOREHOUSE COLLEGE</v>
      </c>
      <c r="E232">
        <f t="shared" si="48"/>
        <v>25562879</v>
      </c>
      <c r="F232" t="str">
        <f t="shared" si="49"/>
        <v>CDC</v>
      </c>
      <c r="G232" t="str">
        <f t="shared" si="50"/>
        <v>28-8723465</v>
      </c>
      <c r="H232">
        <f t="shared" ca="1" si="51"/>
        <v>2678163</v>
      </c>
      <c r="I232" t="str">
        <f t="shared" si="52"/>
        <v>Annual</v>
      </c>
      <c r="T232" s="54" t="s">
        <v>2019</v>
      </c>
      <c r="U232">
        <v>10029474</v>
      </c>
      <c r="V232" s="10" t="s">
        <v>422</v>
      </c>
      <c r="W232" s="10" t="s">
        <v>422</v>
      </c>
      <c r="Y232" s="1" t="s">
        <v>2020</v>
      </c>
      <c r="AI232" s="1">
        <v>186904</v>
      </c>
      <c r="AJ232" s="1" t="s">
        <v>119</v>
      </c>
      <c r="AK232" s="1" t="str">
        <f t="shared" si="53"/>
        <v/>
      </c>
      <c r="AL232" t="b">
        <f t="shared" si="54"/>
        <v>1</v>
      </c>
      <c r="AM232" s="49" t="str">
        <f t="shared" si="55"/>
        <v>Q</v>
      </c>
      <c r="AP232" s="10" t="s">
        <v>327</v>
      </c>
      <c r="AS232" t="s">
        <v>119</v>
      </c>
      <c r="AT232" s="6" t="s">
        <v>327</v>
      </c>
      <c r="AU232" s="6" t="str">
        <f t="shared" si="56"/>
        <v/>
      </c>
      <c r="AV232" s="6" t="s">
        <v>104</v>
      </c>
      <c r="AW232" s="6" t="str">
        <f t="shared" si="57"/>
        <v/>
      </c>
    </row>
    <row r="233" spans="1:49" ht="195">
      <c r="A233" s="1">
        <v>186904</v>
      </c>
      <c r="B233" t="str">
        <f t="shared" si="45"/>
        <v>7D52GT86985-13</v>
      </c>
      <c r="C233" s="6" t="str">
        <f t="shared" si="46"/>
        <v>ADVANCING CALIFORNIA S OPPORTUNITIES TO RENEW NATIVE HEALTH SYSTEMS (ACORNS)</v>
      </c>
      <c r="D233" s="6" t="str">
        <f t="shared" si="47"/>
        <v>MOREHOUSE COLLEGE</v>
      </c>
      <c r="E233">
        <f t="shared" si="48"/>
        <v>25562879</v>
      </c>
      <c r="F233" t="str">
        <f t="shared" si="49"/>
        <v>CDC</v>
      </c>
      <c r="G233" t="str">
        <f t="shared" si="50"/>
        <v>28-8723465</v>
      </c>
      <c r="H233">
        <f t="shared" ca="1" si="51"/>
        <v>2678163</v>
      </c>
      <c r="I233" t="str">
        <f t="shared" si="52"/>
        <v>Annual</v>
      </c>
      <c r="T233" s="54" t="s">
        <v>1960</v>
      </c>
      <c r="U233">
        <v>39482949</v>
      </c>
      <c r="V233" s="10" t="s">
        <v>433</v>
      </c>
      <c r="W233" s="10" t="s">
        <v>433</v>
      </c>
      <c r="Y233" s="1" t="s">
        <v>2021</v>
      </c>
      <c r="AI233" s="1">
        <v>186904</v>
      </c>
      <c r="AJ233" s="1" t="s">
        <v>119</v>
      </c>
      <c r="AK233" s="1" t="str">
        <f t="shared" si="53"/>
        <v/>
      </c>
      <c r="AL233" t="b">
        <f t="shared" si="54"/>
        <v>1</v>
      </c>
      <c r="AM233" s="49" t="str">
        <f t="shared" si="55"/>
        <v>Q</v>
      </c>
      <c r="AP233" s="10" t="s">
        <v>113</v>
      </c>
      <c r="AS233" t="s">
        <v>119</v>
      </c>
      <c r="AT233" s="6" t="s">
        <v>113</v>
      </c>
      <c r="AU233" s="6" t="str">
        <f t="shared" si="56"/>
        <v/>
      </c>
      <c r="AV233" s="6" t="s">
        <v>112</v>
      </c>
      <c r="AW233" s="6" t="str">
        <f t="shared" si="57"/>
        <v/>
      </c>
    </row>
    <row r="234" spans="1:49" ht="150">
      <c r="A234" s="1">
        <v>186904</v>
      </c>
      <c r="B234" t="str">
        <f t="shared" si="45"/>
        <v>7D52GT86985-13</v>
      </c>
      <c r="C234" s="6" t="str">
        <f t="shared" si="46"/>
        <v>ADVANCING CALIFORNIA S OPPORTUNITIES TO RENEW NATIVE HEALTH SYSTEMS (ACORNS)</v>
      </c>
      <c r="D234" s="6" t="str">
        <f t="shared" si="47"/>
        <v>MOREHOUSE COLLEGE</v>
      </c>
      <c r="E234">
        <f t="shared" si="48"/>
        <v>25562879</v>
      </c>
      <c r="F234" t="str">
        <f t="shared" si="49"/>
        <v>CDC</v>
      </c>
      <c r="G234" t="str">
        <f t="shared" si="50"/>
        <v>28-8723465</v>
      </c>
      <c r="H234">
        <f t="shared" ca="1" si="51"/>
        <v>2678163</v>
      </c>
      <c r="I234" t="str">
        <f t="shared" si="52"/>
        <v>Annual</v>
      </c>
      <c r="T234" s="61" t="s">
        <v>2022</v>
      </c>
      <c r="U234">
        <v>39482949</v>
      </c>
      <c r="V234" s="10" t="s">
        <v>442</v>
      </c>
      <c r="W234" s="10" t="s">
        <v>442</v>
      </c>
      <c r="Y234" s="1" t="s">
        <v>2023</v>
      </c>
      <c r="AI234" s="1">
        <v>186904</v>
      </c>
      <c r="AJ234" s="1" t="s">
        <v>119</v>
      </c>
      <c r="AK234" s="1" t="str">
        <f t="shared" si="53"/>
        <v/>
      </c>
      <c r="AL234" t="b">
        <f t="shared" si="54"/>
        <v>1</v>
      </c>
      <c r="AM234" s="49" t="str">
        <f t="shared" si="55"/>
        <v>Q</v>
      </c>
      <c r="AP234" s="10"/>
      <c r="AS234" t="s">
        <v>119</v>
      </c>
      <c r="AT234" s="6" t="s">
        <v>812</v>
      </c>
      <c r="AU234" s="6" t="str">
        <f t="shared" si="56"/>
        <v/>
      </c>
      <c r="AV234" s="6" t="s">
        <v>811</v>
      </c>
      <c r="AW234" s="6" t="str">
        <f t="shared" si="57"/>
        <v/>
      </c>
    </row>
    <row r="235" spans="1:49" ht="210">
      <c r="A235" s="1">
        <v>187414</v>
      </c>
      <c r="B235" t="str">
        <f t="shared" si="45"/>
        <v>5D75GT86984-53</v>
      </c>
      <c r="C235" s="6" t="str">
        <f t="shared" si="46"/>
        <v>CATEGORY B: PUBLIC HEALTH LAWYERS AND THEIR CLIENTS</v>
      </c>
      <c r="D235" s="6" t="str">
        <f t="shared" si="47"/>
        <v>MOREHOUSE SCHOOL OF MEDICINE</v>
      </c>
      <c r="E235">
        <f t="shared" si="48"/>
        <v>25562879</v>
      </c>
      <c r="F235" t="str">
        <f t="shared" si="49"/>
        <v>NIH</v>
      </c>
      <c r="G235" t="str">
        <f t="shared" si="50"/>
        <v>28-8723466</v>
      </c>
      <c r="H235">
        <f t="shared" ca="1" si="51"/>
        <v>2592842</v>
      </c>
      <c r="I235" t="str">
        <f t="shared" si="52"/>
        <v>Annual</v>
      </c>
      <c r="T235" s="52" t="s">
        <v>1937</v>
      </c>
      <c r="U235">
        <v>39482949</v>
      </c>
      <c r="V235" s="10" t="s">
        <v>454</v>
      </c>
      <c r="W235" s="10" t="s">
        <v>454</v>
      </c>
      <c r="Y235" s="1" t="s">
        <v>2024</v>
      </c>
      <c r="AI235" s="1">
        <v>187414</v>
      </c>
      <c r="AJ235" s="1" t="s">
        <v>119</v>
      </c>
      <c r="AK235" s="1" t="str">
        <f t="shared" si="53"/>
        <v/>
      </c>
      <c r="AL235" t="b">
        <f t="shared" si="54"/>
        <v>1</v>
      </c>
      <c r="AM235" s="49" t="str">
        <f t="shared" si="55"/>
        <v>Q</v>
      </c>
      <c r="AP235" s="10" t="s">
        <v>97</v>
      </c>
      <c r="AS235" t="s">
        <v>119</v>
      </c>
      <c r="AT235" s="6" t="s">
        <v>97</v>
      </c>
      <c r="AU235" s="6" t="str">
        <f t="shared" si="56"/>
        <v/>
      </c>
      <c r="AV235" s="6" t="s">
        <v>96</v>
      </c>
      <c r="AW235" s="6" t="str">
        <f t="shared" si="57"/>
        <v/>
      </c>
    </row>
    <row r="236" spans="1:49" ht="195">
      <c r="A236" s="1">
        <v>187414</v>
      </c>
      <c r="B236" t="str">
        <f t="shared" si="45"/>
        <v>5D75GT86984-53</v>
      </c>
      <c r="C236" s="6" t="str">
        <f t="shared" si="46"/>
        <v>CATEGORY B: PUBLIC HEALTH LAWYERS AND THEIR CLIENTS</v>
      </c>
      <c r="D236" s="6" t="str">
        <f t="shared" si="47"/>
        <v>MOREHOUSE SCHOOL OF MEDICINE</v>
      </c>
      <c r="E236">
        <f t="shared" si="48"/>
        <v>25562879</v>
      </c>
      <c r="F236" t="str">
        <f t="shared" si="49"/>
        <v>NIH</v>
      </c>
      <c r="G236" t="str">
        <f t="shared" si="50"/>
        <v>28-8723466</v>
      </c>
      <c r="H236">
        <f t="shared" ca="1" si="51"/>
        <v>2592842</v>
      </c>
      <c r="I236" t="str">
        <f t="shared" si="52"/>
        <v>Annual</v>
      </c>
      <c r="T236" s="56" t="s">
        <v>1850</v>
      </c>
      <c r="U236">
        <v>30289048</v>
      </c>
      <c r="V236" s="10" t="s">
        <v>465</v>
      </c>
      <c r="W236" s="10" t="s">
        <v>465</v>
      </c>
      <c r="Y236" s="1" t="s">
        <v>2025</v>
      </c>
      <c r="AI236" s="1">
        <v>187414</v>
      </c>
      <c r="AJ236" s="1" t="s">
        <v>119</v>
      </c>
      <c r="AK236" s="1" t="str">
        <f t="shared" si="53"/>
        <v/>
      </c>
      <c r="AL236" t="b">
        <f t="shared" si="54"/>
        <v>1</v>
      </c>
      <c r="AM236" s="49" t="str">
        <f t="shared" si="55"/>
        <v>Q</v>
      </c>
      <c r="AP236" s="10" t="s">
        <v>327</v>
      </c>
      <c r="AS236" t="s">
        <v>119</v>
      </c>
      <c r="AT236" s="6" t="s">
        <v>327</v>
      </c>
      <c r="AU236" s="6" t="str">
        <f t="shared" si="56"/>
        <v/>
      </c>
      <c r="AV236" s="6" t="s">
        <v>104</v>
      </c>
      <c r="AW236" s="6" t="str">
        <f t="shared" si="57"/>
        <v/>
      </c>
    </row>
    <row r="237" spans="1:49" ht="195">
      <c r="A237" s="1">
        <v>187414</v>
      </c>
      <c r="B237" t="str">
        <f t="shared" si="45"/>
        <v>5D75GT86984-53</v>
      </c>
      <c r="C237" s="6" t="str">
        <f t="shared" si="46"/>
        <v>CATEGORY B: PUBLIC HEALTH LAWYERS AND THEIR CLIENTS</v>
      </c>
      <c r="D237" s="6" t="str">
        <f t="shared" si="47"/>
        <v>MOREHOUSE SCHOOL OF MEDICINE</v>
      </c>
      <c r="E237">
        <f t="shared" si="48"/>
        <v>25562879</v>
      </c>
      <c r="F237" t="str">
        <f t="shared" si="49"/>
        <v>NIH</v>
      </c>
      <c r="G237" t="str">
        <f t="shared" si="50"/>
        <v>28-8723466</v>
      </c>
      <c r="H237">
        <f t="shared" ca="1" si="51"/>
        <v>2592842</v>
      </c>
      <c r="I237" t="str">
        <f t="shared" si="52"/>
        <v>Annual</v>
      </c>
      <c r="T237" s="52" t="s">
        <v>2022</v>
      </c>
      <c r="U237">
        <v>30289048</v>
      </c>
      <c r="V237" s="10" t="s">
        <v>477</v>
      </c>
      <c r="W237" s="10" t="s">
        <v>477</v>
      </c>
      <c r="Y237" s="1" t="s">
        <v>2026</v>
      </c>
      <c r="AI237" s="1">
        <v>187414</v>
      </c>
      <c r="AJ237" s="1" t="s">
        <v>119</v>
      </c>
      <c r="AK237" s="1" t="str">
        <f t="shared" si="53"/>
        <v/>
      </c>
      <c r="AL237" t="b">
        <f t="shared" si="54"/>
        <v>1</v>
      </c>
      <c r="AM237" s="49" t="str">
        <f t="shared" si="55"/>
        <v>Q</v>
      </c>
      <c r="AP237" s="10" t="s">
        <v>113</v>
      </c>
      <c r="AS237" t="s">
        <v>119</v>
      </c>
      <c r="AT237" s="6" t="s">
        <v>113</v>
      </c>
      <c r="AU237" s="6" t="str">
        <f t="shared" si="56"/>
        <v/>
      </c>
      <c r="AV237" s="6" t="s">
        <v>112</v>
      </c>
      <c r="AW237" s="6" t="str">
        <f t="shared" si="57"/>
        <v/>
      </c>
    </row>
    <row r="238" spans="1:49" ht="135">
      <c r="A238" s="1">
        <v>187414</v>
      </c>
      <c r="B238" t="str">
        <f t="shared" si="45"/>
        <v>5D75GT86984-53</v>
      </c>
      <c r="C238" s="6" t="str">
        <f t="shared" si="46"/>
        <v>CATEGORY B: PUBLIC HEALTH LAWYERS AND THEIR CLIENTS</v>
      </c>
      <c r="D238" s="6" t="str">
        <f t="shared" si="47"/>
        <v>MOREHOUSE SCHOOL OF MEDICINE</v>
      </c>
      <c r="E238">
        <f t="shared" si="48"/>
        <v>25562879</v>
      </c>
      <c r="F238" t="str">
        <f t="shared" si="49"/>
        <v>NIH</v>
      </c>
      <c r="G238" t="str">
        <f t="shared" si="50"/>
        <v>28-8723466</v>
      </c>
      <c r="H238">
        <f t="shared" ca="1" si="51"/>
        <v>2592842</v>
      </c>
      <c r="I238" t="str">
        <f t="shared" si="52"/>
        <v>Annual</v>
      </c>
      <c r="T238" s="57" t="s">
        <v>1849</v>
      </c>
      <c r="U238">
        <v>30289048</v>
      </c>
      <c r="V238" s="10" t="s">
        <v>489</v>
      </c>
      <c r="W238" s="10" t="s">
        <v>489</v>
      </c>
      <c r="Y238" s="1" t="s">
        <v>2027</v>
      </c>
      <c r="AI238" s="1">
        <v>187414</v>
      </c>
      <c r="AJ238" s="1" t="s">
        <v>119</v>
      </c>
      <c r="AK238" s="1" t="str">
        <f t="shared" si="53"/>
        <v/>
      </c>
      <c r="AL238" t="b">
        <f t="shared" si="54"/>
        <v>1</v>
      </c>
      <c r="AM238" s="49" t="str">
        <f t="shared" si="55"/>
        <v>Q</v>
      </c>
      <c r="AP238" s="10"/>
      <c r="AS238" t="s">
        <v>119</v>
      </c>
      <c r="AT238" s="6" t="s">
        <v>812</v>
      </c>
      <c r="AU238" s="6" t="str">
        <f t="shared" si="56"/>
        <v/>
      </c>
      <c r="AV238" s="6" t="s">
        <v>811</v>
      </c>
      <c r="AW238" s="6" t="str">
        <f t="shared" si="57"/>
        <v/>
      </c>
    </row>
    <row r="239" spans="1:49" ht="180">
      <c r="A239" s="1">
        <v>187440</v>
      </c>
      <c r="B239" t="str">
        <f t="shared" si="45"/>
        <v>9B40IR89239-22</v>
      </c>
      <c r="C239" s="6" t="str">
        <f t="shared" si="46"/>
        <v>PINOLEVILLE POMO NATION GHWIC PROJECT</v>
      </c>
      <c r="D239" s="6" t="str">
        <f t="shared" si="47"/>
        <v>MORGAN STATE UNIVERSITY</v>
      </c>
      <c r="E239">
        <f t="shared" si="48"/>
        <v>25562879</v>
      </c>
      <c r="F239" t="str">
        <f t="shared" si="49"/>
        <v>FDA</v>
      </c>
      <c r="G239" t="str">
        <f t="shared" si="50"/>
        <v>28-8723467</v>
      </c>
      <c r="H239">
        <f t="shared" ca="1" si="51"/>
        <v>2795735</v>
      </c>
      <c r="I239" t="str">
        <f t="shared" si="52"/>
        <v>Annual</v>
      </c>
      <c r="T239" s="52" t="s">
        <v>1937</v>
      </c>
      <c r="U239">
        <v>30289048</v>
      </c>
      <c r="V239" s="10" t="s">
        <v>498</v>
      </c>
      <c r="W239" s="10" t="s">
        <v>498</v>
      </c>
      <c r="Y239" s="1" t="s">
        <v>2028</v>
      </c>
      <c r="AI239" s="1">
        <v>187440</v>
      </c>
      <c r="AJ239" s="1" t="s">
        <v>119</v>
      </c>
      <c r="AK239" s="1" t="str">
        <f t="shared" si="53"/>
        <v/>
      </c>
      <c r="AL239" t="b">
        <f t="shared" si="54"/>
        <v>1</v>
      </c>
      <c r="AM239" s="49" t="str">
        <f t="shared" si="55"/>
        <v>Q</v>
      </c>
      <c r="AP239" s="10" t="s">
        <v>97</v>
      </c>
      <c r="AS239" t="s">
        <v>119</v>
      </c>
      <c r="AT239" s="6" t="s">
        <v>97</v>
      </c>
      <c r="AU239" s="6" t="str">
        <f t="shared" si="56"/>
        <v/>
      </c>
      <c r="AV239" s="6" t="s">
        <v>96</v>
      </c>
      <c r="AW239" s="6" t="str">
        <f t="shared" si="57"/>
        <v/>
      </c>
    </row>
    <row r="240" spans="1:49" ht="150">
      <c r="A240" s="1">
        <v>187440</v>
      </c>
      <c r="B240" t="str">
        <f t="shared" si="45"/>
        <v>9B40IR89239-22</v>
      </c>
      <c r="C240" s="6" t="str">
        <f t="shared" si="46"/>
        <v>PINOLEVILLE POMO NATION GHWIC PROJECT</v>
      </c>
      <c r="D240" s="6" t="str">
        <f t="shared" si="47"/>
        <v>MORGAN STATE UNIVERSITY</v>
      </c>
      <c r="E240">
        <f t="shared" si="48"/>
        <v>25562879</v>
      </c>
      <c r="F240" t="str">
        <f t="shared" si="49"/>
        <v>FDA</v>
      </c>
      <c r="G240" t="str">
        <f t="shared" si="50"/>
        <v>28-8723467</v>
      </c>
      <c r="H240">
        <f t="shared" ca="1" si="51"/>
        <v>2795735</v>
      </c>
      <c r="I240" t="str">
        <f t="shared" si="52"/>
        <v>Annual</v>
      </c>
      <c r="T240" s="56" t="s">
        <v>1850</v>
      </c>
      <c r="U240">
        <v>33772235</v>
      </c>
      <c r="V240" s="10" t="s">
        <v>506</v>
      </c>
      <c r="W240" s="10" t="s">
        <v>506</v>
      </c>
      <c r="Y240" s="1" t="s">
        <v>2029</v>
      </c>
      <c r="AI240" s="1">
        <v>187440</v>
      </c>
      <c r="AJ240" s="1" t="s">
        <v>119</v>
      </c>
      <c r="AK240" s="1" t="str">
        <f t="shared" si="53"/>
        <v/>
      </c>
      <c r="AL240" t="b">
        <f t="shared" si="54"/>
        <v>1</v>
      </c>
      <c r="AM240" s="49" t="str">
        <f t="shared" si="55"/>
        <v>Q</v>
      </c>
      <c r="AP240" s="10" t="s">
        <v>327</v>
      </c>
      <c r="AS240" t="s">
        <v>119</v>
      </c>
      <c r="AT240" s="6" t="s">
        <v>327</v>
      </c>
      <c r="AU240" s="6" t="str">
        <f t="shared" si="56"/>
        <v/>
      </c>
      <c r="AV240" s="6" t="s">
        <v>104</v>
      </c>
      <c r="AW240" s="6" t="str">
        <f t="shared" si="57"/>
        <v/>
      </c>
    </row>
    <row r="241" spans="1:49" ht="285">
      <c r="A241" s="1">
        <v>187440</v>
      </c>
      <c r="B241" t="str">
        <f t="shared" si="45"/>
        <v>9B40IR89239-22</v>
      </c>
      <c r="C241" s="6" t="str">
        <f t="shared" si="46"/>
        <v>PINOLEVILLE POMO NATION GHWIC PROJECT</v>
      </c>
      <c r="D241" s="6" t="str">
        <f t="shared" si="47"/>
        <v>MORGAN STATE UNIVERSITY</v>
      </c>
      <c r="E241">
        <f t="shared" si="48"/>
        <v>25562879</v>
      </c>
      <c r="F241" t="str">
        <f t="shared" si="49"/>
        <v>FDA</v>
      </c>
      <c r="G241" t="str">
        <f t="shared" si="50"/>
        <v>28-8723467</v>
      </c>
      <c r="H241">
        <f t="shared" ca="1" si="51"/>
        <v>2795735</v>
      </c>
      <c r="I241" t="str">
        <f t="shared" si="52"/>
        <v>Annual</v>
      </c>
      <c r="T241" s="52" t="s">
        <v>2022</v>
      </c>
      <c r="U241">
        <v>33772235</v>
      </c>
      <c r="V241" s="10" t="s">
        <v>515</v>
      </c>
      <c r="W241" s="10" t="s">
        <v>515</v>
      </c>
      <c r="Y241" s="1" t="s">
        <v>2030</v>
      </c>
      <c r="AI241" s="1">
        <v>187440</v>
      </c>
      <c r="AJ241" s="1" t="s">
        <v>119</v>
      </c>
      <c r="AK241" s="1" t="str">
        <f t="shared" si="53"/>
        <v/>
      </c>
      <c r="AL241" t="b">
        <f t="shared" si="54"/>
        <v>1</v>
      </c>
      <c r="AM241" s="49" t="str">
        <f t="shared" si="55"/>
        <v>Q</v>
      </c>
      <c r="AP241" s="10" t="s">
        <v>113</v>
      </c>
      <c r="AS241" t="s">
        <v>119</v>
      </c>
      <c r="AT241" s="6" t="s">
        <v>113</v>
      </c>
      <c r="AU241" s="6" t="str">
        <f t="shared" si="56"/>
        <v/>
      </c>
      <c r="AV241" s="6" t="s">
        <v>112</v>
      </c>
      <c r="AW241" s="6" t="str">
        <f t="shared" si="57"/>
        <v/>
      </c>
    </row>
    <row r="242" spans="1:49" ht="180">
      <c r="A242" s="1">
        <v>188077</v>
      </c>
      <c r="B242" t="str">
        <f t="shared" si="45"/>
        <v>6B44ER89114-20</v>
      </c>
      <c r="C242" s="6" t="str">
        <f t="shared" si="46"/>
        <v>PACIFIC ISLANDER - DIABETES PREVENTION PROGRAM (PI-DPP)</v>
      </c>
      <c r="D242" s="6" t="str">
        <f t="shared" si="47"/>
        <v>MORGRIDGE INSTITUTE FOR RESEARCH, INC.</v>
      </c>
      <c r="E242">
        <f t="shared" si="48"/>
        <v>15959752</v>
      </c>
      <c r="F242" t="str">
        <f t="shared" si="49"/>
        <v>ACF</v>
      </c>
      <c r="G242" t="str">
        <f t="shared" si="50"/>
        <v>28-8723468</v>
      </c>
      <c r="H242">
        <f t="shared" ca="1" si="51"/>
        <v>2736160</v>
      </c>
      <c r="I242" t="str">
        <f t="shared" si="52"/>
        <v>Annual</v>
      </c>
      <c r="T242" s="54" t="s">
        <v>2031</v>
      </c>
      <c r="U242">
        <v>33772235</v>
      </c>
      <c r="V242" s="10" t="s">
        <v>524</v>
      </c>
      <c r="W242" s="10" t="s">
        <v>524</v>
      </c>
      <c r="Y242" s="1" t="s">
        <v>2032</v>
      </c>
      <c r="AI242" s="1">
        <v>188077</v>
      </c>
      <c r="AJ242" s="1" t="s">
        <v>119</v>
      </c>
      <c r="AK242" s="1" t="str">
        <f t="shared" si="53"/>
        <v/>
      </c>
      <c r="AL242" t="b">
        <f t="shared" si="54"/>
        <v>1</v>
      </c>
      <c r="AM242" s="49" t="str">
        <f t="shared" si="55"/>
        <v>Q</v>
      </c>
      <c r="AP242" s="10" t="s">
        <v>97</v>
      </c>
      <c r="AS242" t="s">
        <v>119</v>
      </c>
      <c r="AT242" s="6" t="s">
        <v>97</v>
      </c>
      <c r="AU242" s="6" t="str">
        <f t="shared" si="56"/>
        <v/>
      </c>
      <c r="AV242" s="6" t="s">
        <v>96</v>
      </c>
      <c r="AW242" s="6" t="str">
        <f t="shared" si="57"/>
        <v/>
      </c>
    </row>
    <row r="243" spans="1:49" ht="135">
      <c r="A243" s="1">
        <v>188077</v>
      </c>
      <c r="B243" t="str">
        <f t="shared" si="45"/>
        <v>6B44ER89114-20</v>
      </c>
      <c r="C243" s="6" t="str">
        <f t="shared" si="46"/>
        <v>PACIFIC ISLANDER - DIABETES PREVENTION PROGRAM (PI-DPP)</v>
      </c>
      <c r="D243" s="6" t="str">
        <f t="shared" si="47"/>
        <v>MORGRIDGE INSTITUTE FOR RESEARCH, INC.</v>
      </c>
      <c r="E243">
        <f t="shared" si="48"/>
        <v>15959752</v>
      </c>
      <c r="F243" t="str">
        <f t="shared" si="49"/>
        <v>ACF</v>
      </c>
      <c r="G243" t="str">
        <f t="shared" si="50"/>
        <v>28-8723468</v>
      </c>
      <c r="H243">
        <f t="shared" ca="1" si="51"/>
        <v>2736160</v>
      </c>
      <c r="I243" t="str">
        <f t="shared" si="52"/>
        <v>Annual</v>
      </c>
      <c r="T243" s="52" t="s">
        <v>1937</v>
      </c>
      <c r="U243">
        <v>539119</v>
      </c>
      <c r="V243" s="10" t="s">
        <v>531</v>
      </c>
      <c r="W243" s="10" t="s">
        <v>531</v>
      </c>
      <c r="Y243" s="1" t="s">
        <v>2033</v>
      </c>
      <c r="AI243" s="1">
        <v>188077</v>
      </c>
      <c r="AJ243" s="1" t="s">
        <v>119</v>
      </c>
      <c r="AK243" s="1" t="str">
        <f t="shared" si="53"/>
        <v/>
      </c>
      <c r="AL243" t="b">
        <f t="shared" si="54"/>
        <v>1</v>
      </c>
      <c r="AM243" s="49" t="str">
        <f t="shared" si="55"/>
        <v>Q</v>
      </c>
      <c r="AP243" s="10" t="s">
        <v>327</v>
      </c>
      <c r="AS243" t="s">
        <v>119</v>
      </c>
      <c r="AT243" s="6" t="s">
        <v>327</v>
      </c>
      <c r="AU243" s="6" t="str">
        <f t="shared" si="56"/>
        <v/>
      </c>
      <c r="AV243" s="6" t="s">
        <v>104</v>
      </c>
      <c r="AW243" s="6" t="str">
        <f t="shared" si="57"/>
        <v/>
      </c>
    </row>
    <row r="244" spans="1:49" ht="150">
      <c r="A244" s="1">
        <v>188077</v>
      </c>
      <c r="B244" t="str">
        <f t="shared" si="45"/>
        <v>6B44ER89114-20</v>
      </c>
      <c r="C244" s="6" t="str">
        <f t="shared" si="46"/>
        <v>PACIFIC ISLANDER - DIABETES PREVENTION PROGRAM (PI-DPP)</v>
      </c>
      <c r="D244" s="6" t="str">
        <f t="shared" si="47"/>
        <v>MORGRIDGE INSTITUTE FOR RESEARCH, INC.</v>
      </c>
      <c r="E244">
        <f t="shared" si="48"/>
        <v>15959752</v>
      </c>
      <c r="F244" t="str">
        <f t="shared" si="49"/>
        <v>ACF</v>
      </c>
      <c r="G244" t="str">
        <f t="shared" si="50"/>
        <v>28-8723468</v>
      </c>
      <c r="H244">
        <f t="shared" ca="1" si="51"/>
        <v>2736160</v>
      </c>
      <c r="I244" t="str">
        <f t="shared" si="52"/>
        <v>Annual</v>
      </c>
      <c r="T244" s="56" t="s">
        <v>1850</v>
      </c>
      <c r="U244">
        <v>539119</v>
      </c>
      <c r="V244" s="10" t="s">
        <v>546</v>
      </c>
      <c r="W244" s="10" t="s">
        <v>546</v>
      </c>
      <c r="Y244" s="1" t="s">
        <v>2034</v>
      </c>
      <c r="AI244" s="1">
        <v>188077</v>
      </c>
      <c r="AJ244" s="1" t="s">
        <v>119</v>
      </c>
      <c r="AK244" s="1" t="str">
        <f t="shared" si="53"/>
        <v/>
      </c>
      <c r="AL244" t="b">
        <f t="shared" si="54"/>
        <v>1</v>
      </c>
      <c r="AM244" s="49" t="str">
        <f t="shared" si="55"/>
        <v>Q</v>
      </c>
      <c r="AP244" s="10"/>
      <c r="AS244" t="s">
        <v>119</v>
      </c>
      <c r="AT244" s="6" t="s">
        <v>812</v>
      </c>
      <c r="AU244" s="6" t="str">
        <f t="shared" si="56"/>
        <v/>
      </c>
      <c r="AV244" s="6" t="s">
        <v>811</v>
      </c>
      <c r="AW244" s="6" t="str">
        <f t="shared" si="57"/>
        <v/>
      </c>
    </row>
    <row r="245" spans="1:49" ht="90">
      <c r="A245" s="1">
        <v>188543</v>
      </c>
      <c r="B245" t="str">
        <f t="shared" si="45"/>
        <v>2B94CR89539-33</v>
      </c>
      <c r="C245" s="6" t="str">
        <f t="shared" si="46"/>
        <v>EPIDEMIOLOGY OF LUPUS:  LONGITUDINAL STUDIES IN POPULATION-BASED COHORTS - 2019</v>
      </c>
      <c r="D245" s="6" t="str">
        <f t="shared" si="47"/>
        <v>MOTHER'S MILK IS BEST, INC.</v>
      </c>
      <c r="E245">
        <f t="shared" si="48"/>
        <v>15959752</v>
      </c>
      <c r="F245" t="str">
        <f t="shared" si="49"/>
        <v>CDC</v>
      </c>
      <c r="G245" t="str">
        <f t="shared" si="50"/>
        <v>28-8723469</v>
      </c>
      <c r="H245">
        <f t="shared" ca="1" si="51"/>
        <v>2840285</v>
      </c>
      <c r="I245" t="str">
        <f t="shared" si="52"/>
        <v>Annual</v>
      </c>
      <c r="T245" s="62" t="s">
        <v>2035</v>
      </c>
      <c r="U245">
        <v>539119</v>
      </c>
      <c r="V245" s="10" t="s">
        <v>561</v>
      </c>
      <c r="W245" s="10" t="s">
        <v>561</v>
      </c>
      <c r="Y245" s="1" t="s">
        <v>2036</v>
      </c>
      <c r="AI245" s="1">
        <v>188543</v>
      </c>
      <c r="AJ245" s="1" t="s">
        <v>119</v>
      </c>
      <c r="AK245" s="1" t="str">
        <f t="shared" si="53"/>
        <v/>
      </c>
      <c r="AL245" t="b">
        <f t="shared" si="54"/>
        <v>1</v>
      </c>
      <c r="AM245" s="49" t="str">
        <f t="shared" si="55"/>
        <v>Q</v>
      </c>
      <c r="AP245" s="10" t="s">
        <v>97</v>
      </c>
      <c r="AS245" t="s">
        <v>119</v>
      </c>
      <c r="AT245" s="6" t="s">
        <v>97</v>
      </c>
      <c r="AU245" s="6" t="str">
        <f t="shared" si="56"/>
        <v/>
      </c>
      <c r="AV245" s="6" t="s">
        <v>96</v>
      </c>
      <c r="AW245" s="6" t="str">
        <f t="shared" si="57"/>
        <v/>
      </c>
    </row>
    <row r="246" spans="1:49" ht="75">
      <c r="A246" s="1">
        <v>188543</v>
      </c>
      <c r="B246" t="str">
        <f t="shared" si="45"/>
        <v>2B94CR89539-33</v>
      </c>
      <c r="C246" s="6" t="str">
        <f t="shared" si="46"/>
        <v>EPIDEMIOLOGY OF LUPUS:  LONGITUDINAL STUDIES IN POPULATION-BASED COHORTS - 2019</v>
      </c>
      <c r="D246" s="6" t="str">
        <f t="shared" si="47"/>
        <v>MOTHER'S MILK IS BEST, INC.</v>
      </c>
      <c r="E246">
        <f t="shared" si="48"/>
        <v>15959752</v>
      </c>
      <c r="F246" t="str">
        <f t="shared" si="49"/>
        <v>CDC</v>
      </c>
      <c r="G246" t="str">
        <f t="shared" si="50"/>
        <v>28-8723469</v>
      </c>
      <c r="H246">
        <f t="shared" ca="1" si="51"/>
        <v>2840285</v>
      </c>
      <c r="I246" t="str">
        <f t="shared" si="52"/>
        <v>Annual</v>
      </c>
      <c r="T246" s="57" t="s">
        <v>2037</v>
      </c>
      <c r="U246">
        <v>539119</v>
      </c>
      <c r="V246" s="10" t="s">
        <v>571</v>
      </c>
      <c r="W246" s="10" t="s">
        <v>571</v>
      </c>
      <c r="Y246" s="1" t="s">
        <v>2038</v>
      </c>
      <c r="AI246" s="1">
        <v>188543</v>
      </c>
      <c r="AJ246" s="1" t="s">
        <v>119</v>
      </c>
      <c r="AK246" s="1" t="str">
        <f t="shared" si="53"/>
        <v/>
      </c>
      <c r="AL246" t="b">
        <f t="shared" si="54"/>
        <v>1</v>
      </c>
      <c r="AM246" s="49" t="str">
        <f t="shared" si="55"/>
        <v>Q</v>
      </c>
      <c r="AP246" s="10" t="s">
        <v>327</v>
      </c>
      <c r="AS246" t="s">
        <v>119</v>
      </c>
      <c r="AT246" s="6" t="s">
        <v>327</v>
      </c>
      <c r="AU246" s="6" t="str">
        <f t="shared" si="56"/>
        <v/>
      </c>
      <c r="AV246" s="6" t="s">
        <v>104</v>
      </c>
      <c r="AW246" s="6" t="str">
        <f t="shared" si="57"/>
        <v/>
      </c>
    </row>
    <row r="247" spans="1:49" ht="90">
      <c r="A247" s="1">
        <v>194098</v>
      </c>
      <c r="B247" t="str">
        <f t="shared" si="45"/>
        <v>3B65DR83224-52</v>
      </c>
      <c r="C247" s="6" t="str">
        <f t="shared" si="46"/>
        <v>CALIFORNIA STATE PHYSICAL ACTIVITY &amp; NUTRITION (CALSPAN) PROGRAM</v>
      </c>
      <c r="D247" s="6" t="str">
        <f t="shared" si="47"/>
        <v>MOUNT DESERT ISLAND BIOLOGICAL LAB</v>
      </c>
      <c r="E247">
        <f t="shared" si="48"/>
        <v>15959752</v>
      </c>
      <c r="F247" t="str">
        <f t="shared" si="49"/>
        <v>NIH</v>
      </c>
      <c r="G247" t="str">
        <f t="shared" si="50"/>
        <v>28-8723470</v>
      </c>
      <c r="H247">
        <f t="shared" ca="1" si="51"/>
        <v>2017934</v>
      </c>
      <c r="I247" t="str">
        <f t="shared" si="52"/>
        <v>Annual</v>
      </c>
      <c r="T247" s="54" t="s">
        <v>2039</v>
      </c>
      <c r="U247">
        <v>12704955</v>
      </c>
      <c r="V247" s="10" t="s">
        <v>581</v>
      </c>
      <c r="W247" s="10" t="s">
        <v>581</v>
      </c>
      <c r="Y247" s="1" t="s">
        <v>2040</v>
      </c>
      <c r="AI247" s="1">
        <v>194098</v>
      </c>
      <c r="AJ247" s="1" t="s">
        <v>119</v>
      </c>
      <c r="AK247" s="1" t="str">
        <f t="shared" si="53"/>
        <v/>
      </c>
      <c r="AL247" t="b">
        <f t="shared" si="54"/>
        <v>1</v>
      </c>
      <c r="AM247" s="49" t="str">
        <f t="shared" si="55"/>
        <v>Q</v>
      </c>
      <c r="AP247" s="10" t="s">
        <v>97</v>
      </c>
      <c r="AS247" t="s">
        <v>119</v>
      </c>
      <c r="AT247" s="6" t="s">
        <v>97</v>
      </c>
      <c r="AU247" s="6" t="str">
        <f t="shared" si="56"/>
        <v/>
      </c>
      <c r="AV247" s="6" t="s">
        <v>96</v>
      </c>
      <c r="AW247" s="6" t="str">
        <f t="shared" si="57"/>
        <v/>
      </c>
    </row>
    <row r="248" spans="1:49" ht="75">
      <c r="A248" s="1">
        <v>194098</v>
      </c>
      <c r="B248" t="str">
        <f t="shared" si="45"/>
        <v>3B65DR83224-52</v>
      </c>
      <c r="C248" s="6" t="str">
        <f t="shared" si="46"/>
        <v>CALIFORNIA STATE PHYSICAL ACTIVITY &amp; NUTRITION (CALSPAN) PROGRAM</v>
      </c>
      <c r="D248" s="6" t="str">
        <f t="shared" si="47"/>
        <v>MOUNT DESERT ISLAND BIOLOGICAL LAB</v>
      </c>
      <c r="E248">
        <f t="shared" si="48"/>
        <v>15959752</v>
      </c>
      <c r="F248" t="str">
        <f t="shared" si="49"/>
        <v>NIH</v>
      </c>
      <c r="G248" t="str">
        <f t="shared" si="50"/>
        <v>28-8723470</v>
      </c>
      <c r="H248">
        <f t="shared" ca="1" si="51"/>
        <v>2017934</v>
      </c>
      <c r="I248" t="str">
        <f t="shared" si="52"/>
        <v>Annual</v>
      </c>
      <c r="T248" s="53" t="s">
        <v>2041</v>
      </c>
      <c r="U248">
        <v>12704955</v>
      </c>
      <c r="V248" s="10" t="s">
        <v>593</v>
      </c>
      <c r="W248" s="10" t="s">
        <v>593</v>
      </c>
      <c r="Y248" s="1" t="s">
        <v>2042</v>
      </c>
      <c r="AI248" s="1">
        <v>194098</v>
      </c>
      <c r="AJ248" s="1" t="s">
        <v>119</v>
      </c>
      <c r="AK248" s="1" t="str">
        <f t="shared" si="53"/>
        <v/>
      </c>
      <c r="AL248" t="b">
        <f t="shared" si="54"/>
        <v>1</v>
      </c>
      <c r="AM248" s="49" t="str">
        <f t="shared" si="55"/>
        <v>Q</v>
      </c>
      <c r="AP248" s="10" t="s">
        <v>327</v>
      </c>
      <c r="AS248" t="s">
        <v>119</v>
      </c>
      <c r="AT248" s="6" t="s">
        <v>327</v>
      </c>
      <c r="AU248" s="6" t="str">
        <f t="shared" si="56"/>
        <v/>
      </c>
      <c r="AV248" s="6" t="s">
        <v>104</v>
      </c>
      <c r="AW248" s="6" t="str">
        <f t="shared" si="57"/>
        <v/>
      </c>
    </row>
    <row r="249" spans="1:49" ht="45">
      <c r="A249" s="1">
        <v>194098</v>
      </c>
      <c r="B249" t="str">
        <f t="shared" si="45"/>
        <v>3B65DR83224-52</v>
      </c>
      <c r="C249" s="6" t="str">
        <f t="shared" si="46"/>
        <v>CALIFORNIA STATE PHYSICAL ACTIVITY &amp; NUTRITION (CALSPAN) PROGRAM</v>
      </c>
      <c r="D249" s="6" t="str">
        <f t="shared" si="47"/>
        <v>MOUNT DESERT ISLAND BIOLOGICAL LAB</v>
      </c>
      <c r="E249">
        <f t="shared" si="48"/>
        <v>15959752</v>
      </c>
      <c r="F249" t="str">
        <f t="shared" si="49"/>
        <v>NIH</v>
      </c>
      <c r="G249" t="str">
        <f t="shared" si="50"/>
        <v>28-8723470</v>
      </c>
      <c r="H249">
        <f t="shared" ca="1" si="51"/>
        <v>2017934</v>
      </c>
      <c r="I249" t="str">
        <f t="shared" si="52"/>
        <v>Annual</v>
      </c>
      <c r="T249" s="52" t="s">
        <v>2043</v>
      </c>
      <c r="U249">
        <v>12704955</v>
      </c>
      <c r="V249" s="10" t="s">
        <v>601</v>
      </c>
      <c r="W249" s="10" t="s">
        <v>601</v>
      </c>
      <c r="Y249" s="1" t="s">
        <v>2044</v>
      </c>
      <c r="AI249" s="1">
        <v>194098</v>
      </c>
      <c r="AJ249" s="1" t="s">
        <v>119</v>
      </c>
      <c r="AK249" s="1" t="str">
        <f t="shared" si="53"/>
        <v/>
      </c>
      <c r="AL249" t="b">
        <f t="shared" si="54"/>
        <v>1</v>
      </c>
      <c r="AM249" s="49" t="str">
        <f t="shared" si="55"/>
        <v>Q</v>
      </c>
      <c r="AP249" s="10"/>
      <c r="AS249" t="s">
        <v>119</v>
      </c>
      <c r="AT249" s="6" t="s">
        <v>812</v>
      </c>
      <c r="AU249" s="6" t="str">
        <f t="shared" si="56"/>
        <v/>
      </c>
      <c r="AV249" s="6" t="s">
        <v>811</v>
      </c>
      <c r="AW249" s="6" t="str">
        <f t="shared" si="57"/>
        <v/>
      </c>
    </row>
    <row r="250" spans="1:49" ht="150">
      <c r="A250" s="1">
        <v>194589</v>
      </c>
      <c r="B250" t="str">
        <f t="shared" si="45"/>
        <v>5C59FS86250-77</v>
      </c>
      <c r="C250" s="6" t="str">
        <f t="shared" si="46"/>
        <v>LAUSD IS APPLYING FOR COMPONENT 1: SCHOOL- BASED SURVEILLANCE, AND COMPONENT 1: SCHOOL-BASED HIV/STD PREVENTION IN ORDER TO REDUCE HIV AND STD INFECTIONS AMONG
ADOLESCENTS AS WELL AS TEEN PREGNANCY.</v>
      </c>
      <c r="D250" s="6" t="str">
        <f t="shared" si="47"/>
        <v>MOUNT HOLYOKE COLLEGE</v>
      </c>
      <c r="E250">
        <f t="shared" si="48"/>
        <v>15959752</v>
      </c>
      <c r="F250" t="str">
        <f t="shared" si="49"/>
        <v>FDA</v>
      </c>
      <c r="G250" t="str">
        <f t="shared" si="50"/>
        <v>28-8723471</v>
      </c>
      <c r="H250">
        <f t="shared" ca="1" si="51"/>
        <v>2607614</v>
      </c>
      <c r="I250" t="str">
        <f t="shared" si="52"/>
        <v>Annual</v>
      </c>
      <c r="T250" s="53" t="s">
        <v>2045</v>
      </c>
      <c r="U250">
        <v>29643213</v>
      </c>
      <c r="V250" s="10" t="s">
        <v>609</v>
      </c>
      <c r="W250" s="10" t="s">
        <v>609</v>
      </c>
      <c r="Y250" s="1" t="s">
        <v>2046</v>
      </c>
      <c r="AI250" s="1">
        <v>194589</v>
      </c>
      <c r="AJ250" s="1" t="s">
        <v>119</v>
      </c>
      <c r="AK250" s="1" t="str">
        <f t="shared" si="53"/>
        <v/>
      </c>
      <c r="AL250" t="b">
        <f t="shared" si="54"/>
        <v>1</v>
      </c>
      <c r="AM250" s="49" t="str">
        <f t="shared" si="55"/>
        <v>Q</v>
      </c>
      <c r="AP250" s="10" t="s">
        <v>97</v>
      </c>
      <c r="AS250" t="s">
        <v>119</v>
      </c>
      <c r="AT250" s="6" t="s">
        <v>97</v>
      </c>
      <c r="AU250" s="6" t="str">
        <f t="shared" si="56"/>
        <v/>
      </c>
      <c r="AV250" s="6" t="s">
        <v>96</v>
      </c>
      <c r="AW250" s="6" t="str">
        <f t="shared" si="57"/>
        <v/>
      </c>
    </row>
    <row r="251" spans="1:49" ht="150">
      <c r="A251" s="1">
        <v>194589</v>
      </c>
      <c r="B251" t="str">
        <f t="shared" si="45"/>
        <v>5C59FS86250-77</v>
      </c>
      <c r="C251" s="6" t="str">
        <f t="shared" si="46"/>
        <v>LAUSD IS APPLYING FOR COMPONENT 1: SCHOOL- BASED SURVEILLANCE, AND COMPONENT 1: SCHOOL-BASED HIV/STD PREVENTION IN ORDER TO REDUCE HIV AND STD INFECTIONS AMONG
ADOLESCENTS AS WELL AS TEEN PREGNANCY.</v>
      </c>
      <c r="D251" s="6" t="str">
        <f t="shared" si="47"/>
        <v>MOUNT HOLYOKE COLLEGE</v>
      </c>
      <c r="E251">
        <f t="shared" si="48"/>
        <v>15959752</v>
      </c>
      <c r="F251" t="str">
        <f t="shared" si="49"/>
        <v>FDA</v>
      </c>
      <c r="G251" t="str">
        <f t="shared" si="50"/>
        <v>28-8723471</v>
      </c>
      <c r="H251">
        <f t="shared" ca="1" si="51"/>
        <v>2607614</v>
      </c>
      <c r="I251" t="str">
        <f t="shared" si="52"/>
        <v>Annual</v>
      </c>
      <c r="T251" s="57" t="s">
        <v>2047</v>
      </c>
      <c r="U251">
        <v>29643213</v>
      </c>
      <c r="V251" s="10" t="s">
        <v>616</v>
      </c>
      <c r="W251" s="10" t="s">
        <v>616</v>
      </c>
      <c r="Y251" s="1" t="s">
        <v>2048</v>
      </c>
      <c r="AI251" s="1">
        <v>194589</v>
      </c>
      <c r="AJ251" s="1" t="s">
        <v>119</v>
      </c>
      <c r="AK251" s="1" t="str">
        <f t="shared" si="53"/>
        <v/>
      </c>
      <c r="AL251" t="b">
        <f t="shared" si="54"/>
        <v>1</v>
      </c>
      <c r="AM251" s="49" t="str">
        <f t="shared" si="55"/>
        <v>Q</v>
      </c>
      <c r="AP251" s="10" t="s">
        <v>327</v>
      </c>
      <c r="AS251" t="s">
        <v>119</v>
      </c>
      <c r="AT251" s="6" t="s">
        <v>327</v>
      </c>
      <c r="AU251" s="6" t="str">
        <f t="shared" si="56"/>
        <v/>
      </c>
      <c r="AV251" s="6" t="s">
        <v>104</v>
      </c>
      <c r="AW251" s="6" t="str">
        <f t="shared" si="57"/>
        <v/>
      </c>
    </row>
    <row r="252" spans="1:49" ht="150">
      <c r="A252" s="1">
        <v>194589</v>
      </c>
      <c r="B252" t="str">
        <f t="shared" si="45"/>
        <v>5C59FS86250-77</v>
      </c>
      <c r="C252" s="6" t="str">
        <f t="shared" si="46"/>
        <v>LAUSD IS APPLYING FOR COMPONENT 1: SCHOOL- BASED SURVEILLANCE, AND COMPONENT 1: SCHOOL-BASED HIV/STD PREVENTION IN ORDER TO REDUCE HIV AND STD INFECTIONS AMONG
ADOLESCENTS AS WELL AS TEEN PREGNANCY.</v>
      </c>
      <c r="D252" s="6" t="str">
        <f t="shared" si="47"/>
        <v>MOUNT HOLYOKE COLLEGE</v>
      </c>
      <c r="E252">
        <f t="shared" si="48"/>
        <v>15959752</v>
      </c>
      <c r="F252" t="str">
        <f t="shared" si="49"/>
        <v>FDA</v>
      </c>
      <c r="G252" t="str">
        <f t="shared" si="50"/>
        <v>28-8723471</v>
      </c>
      <c r="H252">
        <f t="shared" ca="1" si="51"/>
        <v>2607614</v>
      </c>
      <c r="I252" t="str">
        <f t="shared" si="52"/>
        <v>Annual</v>
      </c>
      <c r="T252" s="54" t="s">
        <v>2049</v>
      </c>
      <c r="U252">
        <v>29643213</v>
      </c>
      <c r="V252" s="10" t="s">
        <v>624</v>
      </c>
      <c r="W252" s="10" t="s">
        <v>624</v>
      </c>
      <c r="Y252" s="1" t="s">
        <v>2050</v>
      </c>
      <c r="AI252" s="1">
        <v>194589</v>
      </c>
      <c r="AJ252" s="1" t="s">
        <v>119</v>
      </c>
      <c r="AK252" s="1" t="str">
        <f t="shared" si="53"/>
        <v/>
      </c>
      <c r="AL252" t="b">
        <f t="shared" si="54"/>
        <v>1</v>
      </c>
      <c r="AM252" s="49" t="str">
        <f t="shared" si="55"/>
        <v>Q</v>
      </c>
      <c r="AP252" s="10" t="s">
        <v>113</v>
      </c>
      <c r="AS252" t="s">
        <v>119</v>
      </c>
      <c r="AT252" s="6" t="s">
        <v>113</v>
      </c>
      <c r="AU252" s="6" t="str">
        <f t="shared" si="56"/>
        <v/>
      </c>
      <c r="AV252" s="6" t="s">
        <v>112</v>
      </c>
      <c r="AW252" s="6" t="str">
        <f t="shared" si="57"/>
        <v/>
      </c>
    </row>
    <row r="253" spans="1:49" ht="105">
      <c r="A253" s="1">
        <v>194597</v>
      </c>
      <c r="B253" t="str">
        <f t="shared" si="45"/>
        <v>6C64HS87176-58</v>
      </c>
      <c r="C253" s="6" t="str">
        <f t="shared" si="46"/>
        <v>UCSF PREVENTION RESEARCH CENTER</v>
      </c>
      <c r="D253" s="6" t="str">
        <f t="shared" si="47"/>
        <v>MSM PROTEIN TECHNOLOGIES, INC</v>
      </c>
      <c r="E253">
        <f t="shared" si="48"/>
        <v>10004702</v>
      </c>
      <c r="F253" t="str">
        <f t="shared" si="49"/>
        <v>ACF</v>
      </c>
      <c r="G253" t="str">
        <f t="shared" si="50"/>
        <v>28-8723472</v>
      </c>
      <c r="H253">
        <f t="shared" ca="1" si="51"/>
        <v>2306950</v>
      </c>
      <c r="I253" t="str">
        <f t="shared" si="52"/>
        <v>Annual</v>
      </c>
      <c r="T253" s="56" t="s">
        <v>2051</v>
      </c>
      <c r="U253">
        <v>29643213</v>
      </c>
      <c r="V253" s="10" t="s">
        <v>632</v>
      </c>
      <c r="W253" s="10" t="s">
        <v>632</v>
      </c>
      <c r="Y253" s="1" t="s">
        <v>2052</v>
      </c>
      <c r="AI253" s="1">
        <v>194597</v>
      </c>
      <c r="AJ253" s="1" t="s">
        <v>119</v>
      </c>
      <c r="AK253" s="1" t="str">
        <f t="shared" si="53"/>
        <v/>
      </c>
      <c r="AL253" t="b">
        <f t="shared" si="54"/>
        <v>1</v>
      </c>
      <c r="AM253" s="49" t="str">
        <f t="shared" si="55"/>
        <v>Q</v>
      </c>
      <c r="AP253" s="10" t="s">
        <v>97</v>
      </c>
      <c r="AS253" t="s">
        <v>119</v>
      </c>
      <c r="AT253" s="6" t="s">
        <v>97</v>
      </c>
      <c r="AU253" s="6" t="str">
        <f t="shared" si="56"/>
        <v/>
      </c>
      <c r="AV253" s="6" t="s">
        <v>96</v>
      </c>
      <c r="AW253" s="6" t="str">
        <f t="shared" si="57"/>
        <v/>
      </c>
    </row>
    <row r="254" spans="1:49" ht="75">
      <c r="A254" s="1">
        <v>194597</v>
      </c>
      <c r="B254" t="str">
        <f t="shared" si="45"/>
        <v>6C64HS87176-58</v>
      </c>
      <c r="C254" s="6" t="str">
        <f t="shared" si="46"/>
        <v>UCSF PREVENTION RESEARCH CENTER</v>
      </c>
      <c r="D254" s="6" t="str">
        <f t="shared" si="47"/>
        <v>MSM PROTEIN TECHNOLOGIES, INC</v>
      </c>
      <c r="E254">
        <f t="shared" si="48"/>
        <v>10004702</v>
      </c>
      <c r="F254" t="str">
        <f t="shared" si="49"/>
        <v>ACF</v>
      </c>
      <c r="G254" t="str">
        <f t="shared" si="50"/>
        <v>28-8723472</v>
      </c>
      <c r="H254">
        <f t="shared" ca="1" si="51"/>
        <v>2306950</v>
      </c>
      <c r="I254" t="str">
        <f t="shared" si="52"/>
        <v>Annual</v>
      </c>
      <c r="T254" s="53" t="s">
        <v>1844</v>
      </c>
      <c r="U254">
        <v>37044308</v>
      </c>
      <c r="V254" s="10" t="s">
        <v>642</v>
      </c>
      <c r="W254" s="10" t="s">
        <v>642</v>
      </c>
      <c r="Y254" s="1" t="s">
        <v>2053</v>
      </c>
      <c r="AI254" s="1">
        <v>194597</v>
      </c>
      <c r="AJ254" s="1" t="s">
        <v>119</v>
      </c>
      <c r="AK254" s="1" t="str">
        <f t="shared" si="53"/>
        <v/>
      </c>
      <c r="AL254" t="b">
        <f t="shared" si="54"/>
        <v>1</v>
      </c>
      <c r="AM254" s="49" t="str">
        <f t="shared" si="55"/>
        <v>Q</v>
      </c>
      <c r="AP254" s="10" t="s">
        <v>327</v>
      </c>
      <c r="AS254" t="s">
        <v>119</v>
      </c>
      <c r="AT254" s="6" t="s">
        <v>327</v>
      </c>
      <c r="AU254" s="6" t="str">
        <f t="shared" si="56"/>
        <v/>
      </c>
      <c r="AV254" s="6" t="s">
        <v>104</v>
      </c>
      <c r="AW254" s="6" t="str">
        <f t="shared" si="57"/>
        <v/>
      </c>
    </row>
    <row r="255" spans="1:49" ht="90">
      <c r="A255" s="1">
        <v>194599</v>
      </c>
      <c r="B255" t="str">
        <f t="shared" si="45"/>
        <v>6D84AT89365-47</v>
      </c>
      <c r="C255" s="6" t="str">
        <f t="shared" si="46"/>
        <v>ADVANCING CALIFORNIA S OPPORTUNITIES TO RENEW NATIVE HEALTH SYSTEMS (ACORNS)</v>
      </c>
      <c r="D255" s="6" t="str">
        <f t="shared" si="47"/>
        <v>MU THERAPEUTICS, INC.</v>
      </c>
      <c r="E255">
        <f t="shared" si="48"/>
        <v>10004702</v>
      </c>
      <c r="F255" t="str">
        <f t="shared" si="49"/>
        <v>CDC</v>
      </c>
      <c r="G255" t="str">
        <f t="shared" si="50"/>
        <v>28-8723473</v>
      </c>
      <c r="H255">
        <f t="shared" ca="1" si="51"/>
        <v>2661330</v>
      </c>
      <c r="I255" t="str">
        <f t="shared" si="52"/>
        <v>Annual</v>
      </c>
      <c r="T255" s="53" t="s">
        <v>2041</v>
      </c>
      <c r="U255">
        <v>37044308</v>
      </c>
      <c r="V255" s="10" t="s">
        <v>649</v>
      </c>
      <c r="W255" s="10" t="s">
        <v>649</v>
      </c>
      <c r="Y255" s="1" t="s">
        <v>2054</v>
      </c>
      <c r="AI255" s="1">
        <v>194599</v>
      </c>
      <c r="AJ255" s="1" t="s">
        <v>119</v>
      </c>
      <c r="AK255" s="1" t="str">
        <f t="shared" si="53"/>
        <v/>
      </c>
      <c r="AL255" t="b">
        <f t="shared" si="54"/>
        <v>1</v>
      </c>
      <c r="AM255" s="49" t="str">
        <f t="shared" si="55"/>
        <v>Q</v>
      </c>
      <c r="AP255" s="10" t="s">
        <v>97</v>
      </c>
      <c r="AS255" t="s">
        <v>119</v>
      </c>
      <c r="AT255" s="6" t="s">
        <v>97</v>
      </c>
      <c r="AU255" s="6" t="str">
        <f t="shared" si="56"/>
        <v/>
      </c>
      <c r="AV255" s="6" t="s">
        <v>96</v>
      </c>
      <c r="AW255" s="6" t="str">
        <f t="shared" si="57"/>
        <v/>
      </c>
    </row>
    <row r="256" spans="1:49" ht="75">
      <c r="A256" s="1">
        <v>194599</v>
      </c>
      <c r="B256" t="str">
        <f t="shared" si="45"/>
        <v>6D84AT89365-47</v>
      </c>
      <c r="C256" s="6" t="str">
        <f t="shared" si="46"/>
        <v>ADVANCING CALIFORNIA S OPPORTUNITIES TO RENEW NATIVE HEALTH SYSTEMS (ACORNS)</v>
      </c>
      <c r="D256" s="6" t="str">
        <f t="shared" si="47"/>
        <v>MU THERAPEUTICS, INC.</v>
      </c>
      <c r="E256">
        <f t="shared" si="48"/>
        <v>10004702</v>
      </c>
      <c r="F256" t="str">
        <f t="shared" si="49"/>
        <v>CDC</v>
      </c>
      <c r="G256" t="str">
        <f t="shared" si="50"/>
        <v>28-8723473</v>
      </c>
      <c r="H256">
        <f t="shared" ca="1" si="51"/>
        <v>2661330</v>
      </c>
      <c r="I256" t="str">
        <f t="shared" si="52"/>
        <v>Annual</v>
      </c>
      <c r="T256" s="62" t="s">
        <v>2055</v>
      </c>
      <c r="U256">
        <v>37044308</v>
      </c>
      <c r="V256" s="10" t="s">
        <v>656</v>
      </c>
      <c r="W256" s="10" t="s">
        <v>656</v>
      </c>
      <c r="Y256" s="1" t="s">
        <v>2056</v>
      </c>
      <c r="AI256" s="1">
        <v>194599</v>
      </c>
      <c r="AJ256" s="1" t="s">
        <v>119</v>
      </c>
      <c r="AK256" s="1" t="str">
        <f t="shared" si="53"/>
        <v/>
      </c>
      <c r="AL256" t="b">
        <f t="shared" si="54"/>
        <v>1</v>
      </c>
      <c r="AM256" s="49" t="str">
        <f t="shared" si="55"/>
        <v>Q</v>
      </c>
      <c r="AP256" s="10" t="s">
        <v>327</v>
      </c>
      <c r="AS256" t="s">
        <v>119</v>
      </c>
      <c r="AT256" s="6" t="s">
        <v>327</v>
      </c>
      <c r="AU256" s="6" t="str">
        <f t="shared" si="56"/>
        <v/>
      </c>
      <c r="AV256" s="6" t="s">
        <v>104</v>
      </c>
      <c r="AW256" s="6" t="str">
        <f t="shared" si="57"/>
        <v/>
      </c>
    </row>
    <row r="257" spans="1:49" ht="90">
      <c r="A257" s="1">
        <v>194600</v>
      </c>
      <c r="B257" t="str">
        <f t="shared" si="45"/>
        <v>9D24FT89526-50</v>
      </c>
      <c r="C257" s="6" t="str">
        <f t="shared" si="46"/>
        <v>PINOLEVILLE POMO NATION GHWIC PROJECT</v>
      </c>
      <c r="D257" s="6" t="str">
        <f t="shared" si="47"/>
        <v>MUCOMMUNE, LLC</v>
      </c>
      <c r="E257">
        <f t="shared" si="48"/>
        <v>10004702</v>
      </c>
      <c r="F257" t="str">
        <f t="shared" si="49"/>
        <v>NIH</v>
      </c>
      <c r="G257" t="str">
        <f t="shared" si="50"/>
        <v>28-8723474</v>
      </c>
      <c r="H257">
        <f t="shared" ca="1" si="51"/>
        <v>2139062</v>
      </c>
      <c r="I257" t="str">
        <f t="shared" si="52"/>
        <v>Annual</v>
      </c>
      <c r="T257" s="64" t="s">
        <v>2057</v>
      </c>
      <c r="U257">
        <v>23221156</v>
      </c>
      <c r="V257" s="10" t="s">
        <v>663</v>
      </c>
      <c r="W257" s="10" t="s">
        <v>663</v>
      </c>
      <c r="Y257" s="1" t="s">
        <v>2058</v>
      </c>
      <c r="AI257" s="1">
        <v>194600</v>
      </c>
      <c r="AJ257" s="1" t="s">
        <v>119</v>
      </c>
      <c r="AK257" s="1" t="str">
        <f t="shared" si="53"/>
        <v/>
      </c>
      <c r="AL257" t="b">
        <f t="shared" si="54"/>
        <v>1</v>
      </c>
      <c r="AM257" s="49" t="str">
        <f t="shared" si="55"/>
        <v>Q</v>
      </c>
      <c r="AP257" s="10" t="s">
        <v>97</v>
      </c>
      <c r="AS257" t="s">
        <v>119</v>
      </c>
      <c r="AT257" s="6" t="s">
        <v>97</v>
      </c>
      <c r="AU257" s="6" t="str">
        <f t="shared" si="56"/>
        <v/>
      </c>
      <c r="AV257" s="6" t="s">
        <v>96</v>
      </c>
      <c r="AW257" s="6" t="str">
        <f t="shared" si="57"/>
        <v/>
      </c>
    </row>
    <row r="258" spans="1:49" ht="75">
      <c r="A258" s="1">
        <v>194600</v>
      </c>
      <c r="B258" t="str">
        <f t="shared" si="45"/>
        <v>9D24FT89526-50</v>
      </c>
      <c r="C258" s="6" t="str">
        <f t="shared" si="46"/>
        <v>PINOLEVILLE POMO NATION GHWIC PROJECT</v>
      </c>
      <c r="D258" s="6" t="str">
        <f t="shared" si="47"/>
        <v>MUCOMMUNE, LLC</v>
      </c>
      <c r="E258">
        <f t="shared" si="48"/>
        <v>10004702</v>
      </c>
      <c r="F258" t="str">
        <f t="shared" si="49"/>
        <v>NIH</v>
      </c>
      <c r="G258" t="str">
        <f t="shared" si="50"/>
        <v>28-8723474</v>
      </c>
      <c r="H258">
        <f t="shared" ca="1" si="51"/>
        <v>2139062</v>
      </c>
      <c r="I258" t="str">
        <f t="shared" si="52"/>
        <v>Annual</v>
      </c>
      <c r="T258" s="54" t="s">
        <v>2059</v>
      </c>
      <c r="U258">
        <v>23221156</v>
      </c>
      <c r="V258" s="10" t="s">
        <v>678</v>
      </c>
      <c r="W258" s="10" t="s">
        <v>678</v>
      </c>
      <c r="Y258" s="1" t="s">
        <v>2060</v>
      </c>
      <c r="AI258" s="1">
        <v>194600</v>
      </c>
      <c r="AJ258" s="1" t="s">
        <v>119</v>
      </c>
      <c r="AK258" s="1" t="str">
        <f t="shared" si="53"/>
        <v/>
      </c>
      <c r="AL258" t="b">
        <f t="shared" si="54"/>
        <v>1</v>
      </c>
      <c r="AM258" s="49" t="str">
        <f t="shared" si="55"/>
        <v>Q</v>
      </c>
      <c r="AP258" s="10" t="s">
        <v>327</v>
      </c>
      <c r="AS258" t="s">
        <v>119</v>
      </c>
      <c r="AT258" s="6" t="s">
        <v>327</v>
      </c>
      <c r="AU258" s="6" t="str">
        <f t="shared" si="56"/>
        <v/>
      </c>
      <c r="AV258" s="6" t="s">
        <v>104</v>
      </c>
      <c r="AW258" s="6" t="str">
        <f t="shared" si="57"/>
        <v/>
      </c>
    </row>
    <row r="259" spans="1:49" ht="75">
      <c r="A259" s="1">
        <v>194600</v>
      </c>
      <c r="B259" t="str">
        <f t="shared" ref="B259:B322" si="58">VLOOKUP(A259,$N$2:$Q$206,4,FALSE)</f>
        <v>9D24FT89526-50</v>
      </c>
      <c r="C259" s="6" t="str">
        <f t="shared" ref="C259:C322" si="59">VLOOKUP(A259,$N$2:$T$206,7,FALSE)</f>
        <v>PINOLEVILLE POMO NATION GHWIC PROJECT</v>
      </c>
      <c r="D259" s="6" t="str">
        <f t="shared" ref="D259:D322" si="60">VLOOKUP(A259,$N$2:$W$206,10,FALSE)</f>
        <v>MUCOMMUNE, LLC</v>
      </c>
      <c r="E259">
        <f t="shared" ref="E259:E322" si="61">VLOOKUP(A259,$N$2:$U$206,8,FALSE)</f>
        <v>10004702</v>
      </c>
      <c r="F259" t="str">
        <f t="shared" ref="F259:F322" si="62">VLOOKUP(A259,$N$2:$X$206,11,FALSE)</f>
        <v>NIH</v>
      </c>
      <c r="G259" t="str">
        <f t="shared" ref="G259:G322" si="63">VLOOKUP(A259,$N$2:$Y$206,12,FALSE)</f>
        <v>28-8723474</v>
      </c>
      <c r="H259">
        <f t="shared" ref="H259:H322" ca="1" si="64">VLOOKUP(A259,$N$2:$AA$206,14,FALSE)</f>
        <v>2139062</v>
      </c>
      <c r="I259" t="str">
        <f t="shared" ref="I259:I322" si="65">VLOOKUP(A259,$N$2:$AB$206,15,FALSE)</f>
        <v>Annual</v>
      </c>
      <c r="T259" s="56" t="s">
        <v>2061</v>
      </c>
      <c r="U259">
        <v>23221156</v>
      </c>
      <c r="V259" s="10" t="s">
        <v>686</v>
      </c>
      <c r="W259" s="10" t="s">
        <v>686</v>
      </c>
      <c r="Y259" s="1" t="s">
        <v>2062</v>
      </c>
      <c r="AI259" s="1">
        <v>194600</v>
      </c>
      <c r="AJ259" s="1" t="s">
        <v>119</v>
      </c>
      <c r="AK259" s="1" t="str">
        <f t="shared" ref="AK259:AK322" si="66">IF(ISNUMBER(SEARCH("C",AJ259)),"Y","")</f>
        <v/>
      </c>
      <c r="AL259" t="b">
        <f t="shared" ref="AL259:AL322" si="67">OR(LEN(AJ259)=0, ISBLANK(AJ259))</f>
        <v>1</v>
      </c>
      <c r="AM259" s="49" t="str">
        <f t="shared" ref="AM259:AM322" si="68">IF(ISNUMBER(SEARCH("C",AJ259)),"A",IF(ISNUMBER(SEARCH("B",AJ259)),"Q",IF(ISNUMBER(SEARCH("FALSE",AL259)),"Q","Q")))</f>
        <v>Q</v>
      </c>
      <c r="AP259" s="10" t="s">
        <v>113</v>
      </c>
      <c r="AS259" t="s">
        <v>119</v>
      </c>
      <c r="AT259" s="6" t="s">
        <v>113</v>
      </c>
      <c r="AU259" s="6" t="str">
        <f t="shared" ref="AU259:AU322" si="69">IF(LEN(AS259)&gt;0, AT259,"")</f>
        <v/>
      </c>
      <c r="AV259" s="6" t="s">
        <v>112</v>
      </c>
      <c r="AW259" s="6" t="str">
        <f t="shared" ref="AW259:AW322" si="70">IF(LEN(AS259)&gt;0, AV259,"")</f>
        <v/>
      </c>
    </row>
    <row r="260" spans="1:49" ht="90">
      <c r="A260" s="1">
        <v>194609</v>
      </c>
      <c r="B260" t="str">
        <f t="shared" si="58"/>
        <v>7B50CR90191-30</v>
      </c>
      <c r="C260" s="6" t="str">
        <f t="shared" si="59"/>
        <v>UCSF PREVENTION RESEARCH CENTER</v>
      </c>
      <c r="D260" s="6" t="str">
        <f t="shared" si="60"/>
        <v>MUHIMBILI UNIVERSITY/ ALLIED HLTH SCIS</v>
      </c>
      <c r="E260">
        <f t="shared" si="61"/>
        <v>11008311</v>
      </c>
      <c r="F260" t="str">
        <f t="shared" si="62"/>
        <v>FDA</v>
      </c>
      <c r="G260" t="str">
        <f t="shared" si="63"/>
        <v>28-8723475</v>
      </c>
      <c r="H260">
        <f t="shared" ca="1" si="64"/>
        <v>2105697</v>
      </c>
      <c r="I260" t="str">
        <f t="shared" si="65"/>
        <v>Annual</v>
      </c>
      <c r="T260" s="57" t="s">
        <v>1849</v>
      </c>
      <c r="U260">
        <v>6401688</v>
      </c>
      <c r="V260" s="10" t="s">
        <v>697</v>
      </c>
      <c r="W260" s="10" t="s">
        <v>697</v>
      </c>
      <c r="Y260" s="1" t="s">
        <v>2063</v>
      </c>
      <c r="AI260" s="1">
        <v>194609</v>
      </c>
      <c r="AJ260" s="1" t="s">
        <v>119</v>
      </c>
      <c r="AK260" s="1" t="str">
        <f t="shared" si="66"/>
        <v/>
      </c>
      <c r="AL260" t="b">
        <f t="shared" si="67"/>
        <v>1</v>
      </c>
      <c r="AM260" s="49" t="str">
        <f t="shared" si="68"/>
        <v>Q</v>
      </c>
      <c r="AP260" s="10" t="s">
        <v>97</v>
      </c>
      <c r="AS260" t="s">
        <v>119</v>
      </c>
      <c r="AT260" s="6" t="s">
        <v>97</v>
      </c>
      <c r="AU260" s="6" t="str">
        <f t="shared" si="69"/>
        <v/>
      </c>
      <c r="AV260" s="6" t="s">
        <v>96</v>
      </c>
      <c r="AW260" s="6" t="str">
        <f t="shared" si="70"/>
        <v/>
      </c>
    </row>
    <row r="261" spans="1:49" ht="75">
      <c r="A261" s="1">
        <v>194609</v>
      </c>
      <c r="B261" t="str">
        <f t="shared" si="58"/>
        <v>7B50CR90191-30</v>
      </c>
      <c r="C261" s="6" t="str">
        <f t="shared" si="59"/>
        <v>UCSF PREVENTION RESEARCH CENTER</v>
      </c>
      <c r="D261" s="6" t="str">
        <f t="shared" si="60"/>
        <v>MUHIMBILI UNIVERSITY/ ALLIED HLTH SCIS</v>
      </c>
      <c r="E261">
        <f t="shared" si="61"/>
        <v>11008311</v>
      </c>
      <c r="F261" t="str">
        <f t="shared" si="62"/>
        <v>FDA</v>
      </c>
      <c r="G261" t="str">
        <f t="shared" si="63"/>
        <v>28-8723475</v>
      </c>
      <c r="H261">
        <f t="shared" ca="1" si="64"/>
        <v>2105697</v>
      </c>
      <c r="I261" t="str">
        <f t="shared" si="65"/>
        <v>Annual</v>
      </c>
      <c r="T261" s="52" t="s">
        <v>1937</v>
      </c>
      <c r="U261">
        <v>6401688</v>
      </c>
      <c r="V261" s="10" t="s">
        <v>706</v>
      </c>
      <c r="W261" s="10" t="s">
        <v>706</v>
      </c>
      <c r="Y261" s="1" t="s">
        <v>2064</v>
      </c>
      <c r="AI261" s="1">
        <v>194609</v>
      </c>
      <c r="AJ261" s="1" t="s">
        <v>119</v>
      </c>
      <c r="AK261" s="1" t="str">
        <f t="shared" si="66"/>
        <v/>
      </c>
      <c r="AL261" t="b">
        <f t="shared" si="67"/>
        <v>1</v>
      </c>
      <c r="AM261" s="49" t="str">
        <f t="shared" si="68"/>
        <v>Q</v>
      </c>
      <c r="AP261" s="10" t="s">
        <v>327</v>
      </c>
      <c r="AS261" t="s">
        <v>119</v>
      </c>
      <c r="AT261" s="6" t="s">
        <v>327</v>
      </c>
      <c r="AU261" s="6" t="str">
        <f t="shared" si="69"/>
        <v/>
      </c>
      <c r="AV261" s="6" t="s">
        <v>104</v>
      </c>
      <c r="AW261" s="6" t="str">
        <f t="shared" si="70"/>
        <v/>
      </c>
    </row>
    <row r="262" spans="1:49" ht="90">
      <c r="A262" s="1">
        <v>194631</v>
      </c>
      <c r="B262" t="str">
        <f t="shared" si="58"/>
        <v>8B13IR90159-19</v>
      </c>
      <c r="C262" s="6" t="str">
        <f t="shared" si="59"/>
        <v>TRIBAL PRACTICES FOR WELLNESS IN INDIAN COUNTRY</v>
      </c>
      <c r="D262" s="6" t="str">
        <f t="shared" si="60"/>
        <v>MU-JHU CARE</v>
      </c>
      <c r="E262">
        <f t="shared" si="61"/>
        <v>11008311</v>
      </c>
      <c r="F262" t="str">
        <f t="shared" si="62"/>
        <v>ACF</v>
      </c>
      <c r="G262" t="str">
        <f t="shared" si="63"/>
        <v>28-8723476</v>
      </c>
      <c r="H262">
        <f t="shared" ca="1" si="64"/>
        <v>2984296</v>
      </c>
      <c r="I262" t="str">
        <f t="shared" si="65"/>
        <v>Annual</v>
      </c>
      <c r="T262" s="52" t="s">
        <v>2065</v>
      </c>
      <c r="U262">
        <v>6401688</v>
      </c>
      <c r="V262" s="10" t="s">
        <v>713</v>
      </c>
      <c r="W262" s="10" t="s">
        <v>713</v>
      </c>
      <c r="Y262" s="1" t="s">
        <v>2066</v>
      </c>
      <c r="AI262" s="1">
        <v>194631</v>
      </c>
      <c r="AJ262" s="1" t="s">
        <v>119</v>
      </c>
      <c r="AK262" s="1" t="str">
        <f t="shared" si="66"/>
        <v/>
      </c>
      <c r="AL262" t="b">
        <f t="shared" si="67"/>
        <v>1</v>
      </c>
      <c r="AM262" s="49" t="str">
        <f t="shared" si="68"/>
        <v>Q</v>
      </c>
      <c r="AP262" s="10" t="s">
        <v>97</v>
      </c>
      <c r="AS262" t="s">
        <v>119</v>
      </c>
      <c r="AT262" s="6" t="s">
        <v>97</v>
      </c>
      <c r="AU262" s="6" t="str">
        <f t="shared" si="69"/>
        <v/>
      </c>
      <c r="AV262" s="6" t="s">
        <v>96</v>
      </c>
      <c r="AW262" s="6" t="str">
        <f t="shared" si="70"/>
        <v/>
      </c>
    </row>
    <row r="263" spans="1:49" ht="120">
      <c r="A263" s="1">
        <v>194631</v>
      </c>
      <c r="B263" t="str">
        <f t="shared" si="58"/>
        <v>8B13IR90159-19</v>
      </c>
      <c r="C263" s="6" t="str">
        <f t="shared" si="59"/>
        <v>TRIBAL PRACTICES FOR WELLNESS IN INDIAN COUNTRY</v>
      </c>
      <c r="D263" s="6" t="str">
        <f t="shared" si="60"/>
        <v>MU-JHU CARE</v>
      </c>
      <c r="E263">
        <f t="shared" si="61"/>
        <v>11008311</v>
      </c>
      <c r="F263" t="str">
        <f t="shared" si="62"/>
        <v>ACF</v>
      </c>
      <c r="G263" t="str">
        <f t="shared" si="63"/>
        <v>28-8723476</v>
      </c>
      <c r="H263">
        <f t="shared" ca="1" si="64"/>
        <v>2984296</v>
      </c>
      <c r="I263" t="str">
        <f t="shared" si="65"/>
        <v>Annual</v>
      </c>
      <c r="T263" s="54" t="s">
        <v>2067</v>
      </c>
      <c r="U263">
        <v>6401688</v>
      </c>
      <c r="V263" s="10" t="s">
        <v>723</v>
      </c>
      <c r="W263" s="10" t="s">
        <v>723</v>
      </c>
      <c r="Y263" s="1" t="s">
        <v>2068</v>
      </c>
      <c r="AI263" s="1">
        <v>194631</v>
      </c>
      <c r="AJ263" s="1" t="s">
        <v>119</v>
      </c>
      <c r="AK263" s="1" t="str">
        <f t="shared" si="66"/>
        <v/>
      </c>
      <c r="AL263" t="b">
        <f t="shared" si="67"/>
        <v>1</v>
      </c>
      <c r="AM263" s="49" t="str">
        <f t="shared" si="68"/>
        <v>Q</v>
      </c>
      <c r="AP263" s="10" t="s">
        <v>327</v>
      </c>
      <c r="AS263" t="s">
        <v>119</v>
      </c>
      <c r="AT263" s="6" t="s">
        <v>327</v>
      </c>
      <c r="AU263" s="6" t="str">
        <f t="shared" si="69"/>
        <v/>
      </c>
      <c r="AV263" s="6" t="s">
        <v>104</v>
      </c>
      <c r="AW263" s="6" t="str">
        <f t="shared" si="70"/>
        <v/>
      </c>
    </row>
    <row r="264" spans="1:49" ht="60">
      <c r="A264" s="1">
        <v>194631</v>
      </c>
      <c r="B264" t="str">
        <f t="shared" si="58"/>
        <v>8B13IR90159-19</v>
      </c>
      <c r="C264" s="6" t="str">
        <f t="shared" si="59"/>
        <v>TRIBAL PRACTICES FOR WELLNESS IN INDIAN COUNTRY</v>
      </c>
      <c r="D264" s="6" t="str">
        <f t="shared" si="60"/>
        <v>MU-JHU CARE</v>
      </c>
      <c r="E264">
        <f t="shared" si="61"/>
        <v>11008311</v>
      </c>
      <c r="F264" t="str">
        <f t="shared" si="62"/>
        <v>ACF</v>
      </c>
      <c r="G264" t="str">
        <f t="shared" si="63"/>
        <v>28-8723476</v>
      </c>
      <c r="H264">
        <f t="shared" ca="1" si="64"/>
        <v>2984296</v>
      </c>
      <c r="I264" t="str">
        <f t="shared" si="65"/>
        <v>Annual</v>
      </c>
      <c r="T264" s="64" t="s">
        <v>2069</v>
      </c>
      <c r="U264">
        <v>6401688</v>
      </c>
      <c r="V264" s="10" t="s">
        <v>736</v>
      </c>
      <c r="W264" s="10" t="s">
        <v>736</v>
      </c>
      <c r="Y264" s="1" t="s">
        <v>2070</v>
      </c>
      <c r="AI264" s="1">
        <v>194631</v>
      </c>
      <c r="AJ264" s="1" t="s">
        <v>119</v>
      </c>
      <c r="AK264" s="1" t="str">
        <f t="shared" si="66"/>
        <v/>
      </c>
      <c r="AL264" t="b">
        <f t="shared" si="67"/>
        <v>1</v>
      </c>
      <c r="AM264" s="49" t="str">
        <f t="shared" si="68"/>
        <v>Q</v>
      </c>
      <c r="AP264" s="10"/>
      <c r="AS264" t="s">
        <v>119</v>
      </c>
      <c r="AT264" s="6" t="s">
        <v>812</v>
      </c>
      <c r="AU264" s="6" t="str">
        <f t="shared" si="69"/>
        <v/>
      </c>
      <c r="AV264" s="6" t="s">
        <v>811</v>
      </c>
      <c r="AW264" s="6" t="str">
        <f t="shared" si="70"/>
        <v/>
      </c>
    </row>
    <row r="265" spans="1:49" ht="60">
      <c r="A265" s="1">
        <v>194631</v>
      </c>
      <c r="B265" t="str">
        <f t="shared" si="58"/>
        <v>8B13IR90159-19</v>
      </c>
      <c r="C265" s="6" t="str">
        <f t="shared" si="59"/>
        <v>TRIBAL PRACTICES FOR WELLNESS IN INDIAN COUNTRY</v>
      </c>
      <c r="D265" s="6" t="str">
        <f t="shared" si="60"/>
        <v>MU-JHU CARE</v>
      </c>
      <c r="E265">
        <f t="shared" si="61"/>
        <v>11008311</v>
      </c>
      <c r="F265" t="str">
        <f t="shared" si="62"/>
        <v>ACF</v>
      </c>
      <c r="G265" t="str">
        <f t="shared" si="63"/>
        <v>28-8723476</v>
      </c>
      <c r="H265">
        <f t="shared" ca="1" si="64"/>
        <v>2984296</v>
      </c>
      <c r="I265" t="str">
        <f t="shared" si="65"/>
        <v>Annual</v>
      </c>
      <c r="T265" s="64" t="s">
        <v>2071</v>
      </c>
      <c r="U265">
        <v>18949379</v>
      </c>
      <c r="V265" s="10" t="s">
        <v>745</v>
      </c>
      <c r="W265" s="10" t="s">
        <v>745</v>
      </c>
      <c r="Y265" s="1" t="s">
        <v>2072</v>
      </c>
      <c r="AI265" s="1">
        <v>194631</v>
      </c>
      <c r="AJ265" s="1" t="s">
        <v>119</v>
      </c>
      <c r="AK265" s="1" t="str">
        <f t="shared" si="66"/>
        <v/>
      </c>
      <c r="AL265" t="b">
        <f t="shared" si="67"/>
        <v>1</v>
      </c>
      <c r="AM265" s="49" t="str">
        <f t="shared" si="68"/>
        <v>Q</v>
      </c>
      <c r="AP265" s="10"/>
      <c r="AS265" t="s">
        <v>119</v>
      </c>
      <c r="AT265" s="6" t="s">
        <v>812</v>
      </c>
      <c r="AU265" s="6" t="str">
        <f t="shared" si="69"/>
        <v/>
      </c>
      <c r="AV265" s="6" t="s">
        <v>811</v>
      </c>
      <c r="AW265" s="6" t="str">
        <f t="shared" si="70"/>
        <v/>
      </c>
    </row>
    <row r="266" spans="1:49" ht="90">
      <c r="A266" s="1">
        <v>194632</v>
      </c>
      <c r="B266" t="str">
        <f t="shared" si="58"/>
        <v>1B19DR90171-55</v>
      </c>
      <c r="C266" s="6" t="str">
        <f t="shared" si="59"/>
        <v>CAPACITY BUILDING FOR PUBLIC HEALTH PARTNERSHIPS</v>
      </c>
      <c r="D266" s="6" t="str">
        <f t="shared" si="60"/>
        <v>MULTIFUNCTIONAL IMAGING, INC.</v>
      </c>
      <c r="E266">
        <f t="shared" si="61"/>
        <v>11008311</v>
      </c>
      <c r="F266" t="str">
        <f t="shared" si="62"/>
        <v>CDC</v>
      </c>
      <c r="G266" t="str">
        <f t="shared" si="63"/>
        <v>28-8723477</v>
      </c>
      <c r="H266">
        <f t="shared" ca="1" si="64"/>
        <v>2674220</v>
      </c>
      <c r="I266" t="str">
        <f t="shared" si="65"/>
        <v>Annual</v>
      </c>
      <c r="T266" s="58" t="s">
        <v>2073</v>
      </c>
      <c r="U266">
        <v>18949379</v>
      </c>
      <c r="V266" s="10" t="s">
        <v>753</v>
      </c>
      <c r="W266" s="10" t="s">
        <v>753</v>
      </c>
      <c r="Y266" s="1" t="s">
        <v>2074</v>
      </c>
      <c r="AI266" s="1">
        <v>194632</v>
      </c>
      <c r="AJ266" s="1" t="s">
        <v>119</v>
      </c>
      <c r="AK266" s="1" t="str">
        <f t="shared" si="66"/>
        <v/>
      </c>
      <c r="AL266" t="b">
        <f t="shared" si="67"/>
        <v>1</v>
      </c>
      <c r="AM266" s="49" t="str">
        <f t="shared" si="68"/>
        <v>Q</v>
      </c>
      <c r="AP266" s="10" t="s">
        <v>97</v>
      </c>
      <c r="AS266" t="s">
        <v>119</v>
      </c>
      <c r="AT266" s="6" t="s">
        <v>97</v>
      </c>
      <c r="AU266" s="6" t="str">
        <f t="shared" si="69"/>
        <v/>
      </c>
      <c r="AV266" s="6" t="s">
        <v>96</v>
      </c>
      <c r="AW266" s="6" t="str">
        <f t="shared" si="70"/>
        <v/>
      </c>
    </row>
    <row r="267" spans="1:49" ht="75">
      <c r="A267" s="1">
        <v>194632</v>
      </c>
      <c r="B267" t="str">
        <f t="shared" si="58"/>
        <v>1B19DR90171-55</v>
      </c>
      <c r="C267" s="6" t="str">
        <f t="shared" si="59"/>
        <v>CAPACITY BUILDING FOR PUBLIC HEALTH PARTNERSHIPS</v>
      </c>
      <c r="D267" s="6" t="str">
        <f t="shared" si="60"/>
        <v>MULTIFUNCTIONAL IMAGING, INC.</v>
      </c>
      <c r="E267">
        <f t="shared" si="61"/>
        <v>11008311</v>
      </c>
      <c r="F267" t="str">
        <f t="shared" si="62"/>
        <v>CDC</v>
      </c>
      <c r="G267" t="str">
        <f t="shared" si="63"/>
        <v>28-8723477</v>
      </c>
      <c r="H267">
        <f t="shared" ca="1" si="64"/>
        <v>2674220</v>
      </c>
      <c r="I267" t="str">
        <f t="shared" si="65"/>
        <v>Annual</v>
      </c>
      <c r="T267" s="64" t="s">
        <v>2075</v>
      </c>
      <c r="U267">
        <v>18949379</v>
      </c>
      <c r="V267" s="10" t="s">
        <v>762</v>
      </c>
      <c r="W267" s="10" t="s">
        <v>762</v>
      </c>
      <c r="Y267" s="1" t="s">
        <v>2076</v>
      </c>
      <c r="AI267" s="1">
        <v>194632</v>
      </c>
      <c r="AJ267" s="1" t="s">
        <v>119</v>
      </c>
      <c r="AK267" s="1" t="str">
        <f t="shared" si="66"/>
        <v/>
      </c>
      <c r="AL267" t="b">
        <f t="shared" si="67"/>
        <v>1</v>
      </c>
      <c r="AM267" s="49" t="str">
        <f t="shared" si="68"/>
        <v>Q</v>
      </c>
      <c r="AP267" s="10" t="s">
        <v>327</v>
      </c>
      <c r="AS267" t="s">
        <v>119</v>
      </c>
      <c r="AT267" s="6" t="s">
        <v>327</v>
      </c>
      <c r="AU267" s="6" t="str">
        <f t="shared" si="69"/>
        <v/>
      </c>
      <c r="AV267" s="6" t="s">
        <v>104</v>
      </c>
      <c r="AW267" s="6" t="str">
        <f t="shared" si="70"/>
        <v/>
      </c>
    </row>
    <row r="268" spans="1:49" ht="60">
      <c r="A268" s="1">
        <v>194632</v>
      </c>
      <c r="B268" t="str">
        <f t="shared" si="58"/>
        <v>1B19DR90171-55</v>
      </c>
      <c r="C268" s="6" t="str">
        <f t="shared" si="59"/>
        <v>CAPACITY BUILDING FOR PUBLIC HEALTH PARTNERSHIPS</v>
      </c>
      <c r="D268" s="6" t="str">
        <f t="shared" si="60"/>
        <v>MULTIFUNCTIONAL IMAGING, INC.</v>
      </c>
      <c r="E268">
        <f t="shared" si="61"/>
        <v>11008311</v>
      </c>
      <c r="F268" t="str">
        <f t="shared" si="62"/>
        <v>CDC</v>
      </c>
      <c r="G268" t="str">
        <f t="shared" si="63"/>
        <v>28-8723477</v>
      </c>
      <c r="H268">
        <f t="shared" ca="1" si="64"/>
        <v>2674220</v>
      </c>
      <c r="I268" t="str">
        <f t="shared" si="65"/>
        <v>Annual</v>
      </c>
      <c r="T268" s="52" t="s">
        <v>2077</v>
      </c>
      <c r="U268">
        <v>24373358</v>
      </c>
      <c r="V268" s="10" t="s">
        <v>777</v>
      </c>
      <c r="W268" s="10" t="s">
        <v>777</v>
      </c>
      <c r="Y268" s="1" t="s">
        <v>2078</v>
      </c>
      <c r="AI268" s="1">
        <v>194632</v>
      </c>
      <c r="AJ268" s="1" t="s">
        <v>119</v>
      </c>
      <c r="AK268" s="1" t="str">
        <f t="shared" si="66"/>
        <v/>
      </c>
      <c r="AL268" t="b">
        <f t="shared" si="67"/>
        <v>1</v>
      </c>
      <c r="AM268" s="49" t="str">
        <f t="shared" si="68"/>
        <v>Q</v>
      </c>
      <c r="AP268" s="10"/>
      <c r="AS268" t="s">
        <v>119</v>
      </c>
      <c r="AT268" s="6" t="s">
        <v>812</v>
      </c>
      <c r="AU268" s="6" t="str">
        <f t="shared" si="69"/>
        <v/>
      </c>
      <c r="AV268" s="6" t="s">
        <v>811</v>
      </c>
      <c r="AW268" s="6" t="str">
        <f t="shared" si="70"/>
        <v/>
      </c>
    </row>
    <row r="269" spans="1:49" ht="75">
      <c r="A269" s="1">
        <v>194632</v>
      </c>
      <c r="B269" t="str">
        <f t="shared" si="58"/>
        <v>1B19DR90171-55</v>
      </c>
      <c r="C269" s="6" t="str">
        <f t="shared" si="59"/>
        <v>CAPACITY BUILDING FOR PUBLIC HEALTH PARTNERSHIPS</v>
      </c>
      <c r="D269" s="6" t="str">
        <f t="shared" si="60"/>
        <v>MULTIFUNCTIONAL IMAGING, INC.</v>
      </c>
      <c r="E269">
        <f t="shared" si="61"/>
        <v>11008311</v>
      </c>
      <c r="F269" t="str">
        <f t="shared" si="62"/>
        <v>CDC</v>
      </c>
      <c r="G269" t="str">
        <f t="shared" si="63"/>
        <v>28-8723477</v>
      </c>
      <c r="H269">
        <f t="shared" ca="1" si="64"/>
        <v>2674220</v>
      </c>
      <c r="I269" t="str">
        <f t="shared" si="65"/>
        <v>Annual</v>
      </c>
      <c r="T269" s="53" t="s">
        <v>2079</v>
      </c>
      <c r="U269">
        <v>24373358</v>
      </c>
      <c r="V269" s="10" t="s">
        <v>785</v>
      </c>
      <c r="W269" s="10" t="s">
        <v>785</v>
      </c>
      <c r="Y269" s="1" t="s">
        <v>2080</v>
      </c>
      <c r="AI269" s="1">
        <v>194632</v>
      </c>
      <c r="AJ269" s="1" t="s">
        <v>119</v>
      </c>
      <c r="AK269" s="1" t="str">
        <f t="shared" si="66"/>
        <v/>
      </c>
      <c r="AL269" t="b">
        <f t="shared" si="67"/>
        <v>1</v>
      </c>
      <c r="AM269" s="49" t="str">
        <f t="shared" si="68"/>
        <v>Q</v>
      </c>
      <c r="AP269" s="10"/>
      <c r="AS269" t="s">
        <v>119</v>
      </c>
      <c r="AT269" s="6" t="s">
        <v>812</v>
      </c>
      <c r="AU269" s="6" t="str">
        <f t="shared" si="69"/>
        <v/>
      </c>
      <c r="AV269" s="6" t="s">
        <v>811</v>
      </c>
      <c r="AW269" s="6" t="str">
        <f t="shared" si="70"/>
        <v/>
      </c>
    </row>
    <row r="270" spans="1:49" ht="90">
      <c r="A270" s="1">
        <v>194633</v>
      </c>
      <c r="B270" t="str">
        <f t="shared" si="58"/>
        <v>4D78ET89202-48</v>
      </c>
      <c r="C270" s="6" t="str">
        <f t="shared" si="59"/>
        <v>CALIFORNIA RACIAL AND ETHNIC APPROACHES TO COMMUNITY HEALTH (CALREACH)PROGRAM</v>
      </c>
      <c r="D270" s="6" t="str">
        <f t="shared" si="60"/>
        <v>MULTIVARIATE SYSTEMS, INC.</v>
      </c>
      <c r="E270">
        <f t="shared" si="61"/>
        <v>11008311</v>
      </c>
      <c r="F270" t="str">
        <f t="shared" si="62"/>
        <v>NIH</v>
      </c>
      <c r="G270" t="str">
        <f t="shared" si="63"/>
        <v>28-8723478</v>
      </c>
      <c r="H270">
        <f t="shared" ca="1" si="64"/>
        <v>2362307</v>
      </c>
      <c r="I270" t="str">
        <f t="shared" si="65"/>
        <v>Annual</v>
      </c>
      <c r="T270" s="53" t="s">
        <v>2073</v>
      </c>
      <c r="U270">
        <v>24373358</v>
      </c>
      <c r="V270" s="10" t="s">
        <v>797</v>
      </c>
      <c r="W270" s="10" t="s">
        <v>797</v>
      </c>
      <c r="Y270" s="1" t="s">
        <v>2081</v>
      </c>
      <c r="AI270" s="1">
        <v>194633</v>
      </c>
      <c r="AJ270" s="1" t="s">
        <v>119</v>
      </c>
      <c r="AK270" s="1" t="str">
        <f t="shared" si="66"/>
        <v/>
      </c>
      <c r="AL270" t="b">
        <f t="shared" si="67"/>
        <v>1</v>
      </c>
      <c r="AM270" s="49" t="str">
        <f t="shared" si="68"/>
        <v>Q</v>
      </c>
      <c r="AP270" s="10" t="s">
        <v>97</v>
      </c>
      <c r="AS270" t="s">
        <v>119</v>
      </c>
      <c r="AT270" s="6" t="s">
        <v>97</v>
      </c>
      <c r="AU270" s="6" t="str">
        <f t="shared" si="69"/>
        <v/>
      </c>
      <c r="AV270" s="6" t="s">
        <v>96</v>
      </c>
      <c r="AW270" s="6" t="str">
        <f t="shared" si="70"/>
        <v/>
      </c>
    </row>
    <row r="271" spans="1:49" ht="105">
      <c r="A271" s="1">
        <v>194633</v>
      </c>
      <c r="B271" t="str">
        <f t="shared" si="58"/>
        <v>4D78ET89202-48</v>
      </c>
      <c r="C271" s="6" t="str">
        <f t="shared" si="59"/>
        <v>CALIFORNIA RACIAL AND ETHNIC APPROACHES TO COMMUNITY HEALTH (CALREACH)PROGRAM</v>
      </c>
      <c r="D271" s="6" t="str">
        <f t="shared" si="60"/>
        <v>MULTIVARIATE SYSTEMS, INC.</v>
      </c>
      <c r="E271">
        <f t="shared" si="61"/>
        <v>11008311</v>
      </c>
      <c r="F271" t="str">
        <f t="shared" si="62"/>
        <v>NIH</v>
      </c>
      <c r="G271" t="str">
        <f t="shared" si="63"/>
        <v>28-8723478</v>
      </c>
      <c r="H271">
        <f t="shared" ca="1" si="64"/>
        <v>2362307</v>
      </c>
      <c r="I271" t="str">
        <f t="shared" si="65"/>
        <v>Annual</v>
      </c>
      <c r="T271" s="52" t="s">
        <v>2082</v>
      </c>
      <c r="U271">
        <v>2524281</v>
      </c>
      <c r="V271" s="10" t="s">
        <v>801</v>
      </c>
      <c r="W271" s="10" t="s">
        <v>801</v>
      </c>
      <c r="Y271" s="1" t="s">
        <v>2083</v>
      </c>
      <c r="AI271" s="1">
        <v>194633</v>
      </c>
      <c r="AJ271" s="1" t="s">
        <v>119</v>
      </c>
      <c r="AK271" s="1" t="str">
        <f t="shared" si="66"/>
        <v/>
      </c>
      <c r="AL271" t="b">
        <f t="shared" si="67"/>
        <v>1</v>
      </c>
      <c r="AM271" s="49" t="str">
        <f t="shared" si="68"/>
        <v>Q</v>
      </c>
      <c r="AP271" s="10" t="s">
        <v>327</v>
      </c>
      <c r="AS271" t="s">
        <v>119</v>
      </c>
      <c r="AT271" s="6" t="s">
        <v>327</v>
      </c>
      <c r="AU271" s="6" t="str">
        <f t="shared" si="69"/>
        <v/>
      </c>
      <c r="AV271" s="6" t="s">
        <v>104</v>
      </c>
      <c r="AW271" s="6" t="str">
        <f t="shared" si="70"/>
        <v/>
      </c>
    </row>
    <row r="272" spans="1:49" ht="90">
      <c r="A272" s="1">
        <v>194633</v>
      </c>
      <c r="B272" t="str">
        <f t="shared" si="58"/>
        <v>4D78ET89202-48</v>
      </c>
      <c r="C272" s="6" t="str">
        <f t="shared" si="59"/>
        <v>CALIFORNIA RACIAL AND ETHNIC APPROACHES TO COMMUNITY HEALTH (CALREACH)PROGRAM</v>
      </c>
      <c r="D272" s="6" t="str">
        <f t="shared" si="60"/>
        <v>MULTIVARIATE SYSTEMS, INC.</v>
      </c>
      <c r="E272">
        <f t="shared" si="61"/>
        <v>11008311</v>
      </c>
      <c r="F272" t="str">
        <f t="shared" si="62"/>
        <v>NIH</v>
      </c>
      <c r="G272" t="str">
        <f t="shared" si="63"/>
        <v>28-8723478</v>
      </c>
      <c r="H272">
        <f t="shared" ca="1" si="64"/>
        <v>2362307</v>
      </c>
      <c r="I272" t="str">
        <f t="shared" si="65"/>
        <v>Annual</v>
      </c>
      <c r="T272" s="57" t="s">
        <v>2084</v>
      </c>
      <c r="U272">
        <v>2524281</v>
      </c>
      <c r="V272" s="10" t="s">
        <v>814</v>
      </c>
      <c r="W272" s="10" t="s">
        <v>814</v>
      </c>
      <c r="Y272" s="1" t="s">
        <v>2085</v>
      </c>
      <c r="AI272" s="1">
        <v>194633</v>
      </c>
      <c r="AJ272" s="1" t="s">
        <v>119</v>
      </c>
      <c r="AK272" s="1" t="str">
        <f t="shared" si="66"/>
        <v/>
      </c>
      <c r="AL272" t="b">
        <f t="shared" si="67"/>
        <v>1</v>
      </c>
      <c r="AM272" s="49" t="str">
        <f t="shared" si="68"/>
        <v>Q</v>
      </c>
      <c r="AP272" s="10"/>
      <c r="AS272" t="s">
        <v>119</v>
      </c>
      <c r="AT272" s="6" t="s">
        <v>812</v>
      </c>
      <c r="AU272" s="6" t="str">
        <f t="shared" si="69"/>
        <v/>
      </c>
      <c r="AV272" s="6" t="s">
        <v>811</v>
      </c>
      <c r="AW272" s="6" t="str">
        <f t="shared" si="70"/>
        <v/>
      </c>
    </row>
    <row r="273" spans="1:49" ht="75">
      <c r="A273" s="1">
        <v>194633</v>
      </c>
      <c r="B273" t="str">
        <f t="shared" si="58"/>
        <v>4D78ET89202-48</v>
      </c>
      <c r="C273" s="6" t="str">
        <f t="shared" si="59"/>
        <v>CALIFORNIA RACIAL AND ETHNIC APPROACHES TO COMMUNITY HEALTH (CALREACH)PROGRAM</v>
      </c>
      <c r="D273" s="6" t="str">
        <f t="shared" si="60"/>
        <v>MULTIVARIATE SYSTEMS, INC.</v>
      </c>
      <c r="E273">
        <f t="shared" si="61"/>
        <v>11008311</v>
      </c>
      <c r="F273" t="str">
        <f t="shared" si="62"/>
        <v>NIH</v>
      </c>
      <c r="G273" t="str">
        <f t="shared" si="63"/>
        <v>28-8723478</v>
      </c>
      <c r="H273">
        <f t="shared" ca="1" si="64"/>
        <v>2362307</v>
      </c>
      <c r="I273" t="str">
        <f t="shared" si="65"/>
        <v>Annual</v>
      </c>
      <c r="T273" s="53" t="s">
        <v>2086</v>
      </c>
      <c r="U273">
        <v>2524281</v>
      </c>
      <c r="V273" s="10" t="s">
        <v>820</v>
      </c>
      <c r="W273" s="10" t="s">
        <v>820</v>
      </c>
      <c r="Y273" s="1" t="s">
        <v>2087</v>
      </c>
      <c r="AI273" s="1">
        <v>194633</v>
      </c>
      <c r="AJ273" s="1" t="s">
        <v>119</v>
      </c>
      <c r="AK273" s="1" t="str">
        <f t="shared" si="66"/>
        <v/>
      </c>
      <c r="AL273" t="b">
        <f t="shared" si="67"/>
        <v>1</v>
      </c>
      <c r="AM273" s="49" t="str">
        <f t="shared" si="68"/>
        <v>Q</v>
      </c>
      <c r="AP273" s="10"/>
      <c r="AS273" t="s">
        <v>119</v>
      </c>
      <c r="AT273" s="6" t="s">
        <v>812</v>
      </c>
      <c r="AU273" s="6" t="str">
        <f t="shared" si="69"/>
        <v/>
      </c>
      <c r="AV273" s="6" t="s">
        <v>811</v>
      </c>
      <c r="AW273" s="6" t="str">
        <f t="shared" si="70"/>
        <v/>
      </c>
    </row>
    <row r="274" spans="1:49" ht="90">
      <c r="A274" s="1">
        <v>194736</v>
      </c>
      <c r="B274" t="str">
        <f t="shared" si="58"/>
        <v>9D29HT89201-84</v>
      </c>
      <c r="C274" s="6" t="str">
        <f t="shared" si="59"/>
        <v>ADVANCING CALIFORNIA S OPPORTUNITIES TO RENEW NATIVE HEALTH SYSTEMS (ACORNS)</v>
      </c>
      <c r="D274" s="6" t="str">
        <f t="shared" si="60"/>
        <v>MULTNOMAH COUNTY HEALTH DEPARTMENT</v>
      </c>
      <c r="E274">
        <f t="shared" si="61"/>
        <v>747342</v>
      </c>
      <c r="F274" t="str">
        <f t="shared" si="62"/>
        <v>FDA</v>
      </c>
      <c r="G274" t="str">
        <f t="shared" si="63"/>
        <v>28-8723479</v>
      </c>
      <c r="H274">
        <f t="shared" ca="1" si="64"/>
        <v>2057162</v>
      </c>
      <c r="I274" t="str">
        <f t="shared" si="65"/>
        <v>Annual</v>
      </c>
      <c r="T274" s="54" t="s">
        <v>2088</v>
      </c>
      <c r="U274">
        <v>2524281</v>
      </c>
      <c r="V274" s="10" t="s">
        <v>828</v>
      </c>
      <c r="W274" s="10" t="s">
        <v>828</v>
      </c>
      <c r="Y274" s="1" t="s">
        <v>2089</v>
      </c>
      <c r="AI274" s="1">
        <v>194736</v>
      </c>
      <c r="AJ274" s="1" t="s">
        <v>119</v>
      </c>
      <c r="AK274" s="1" t="str">
        <f t="shared" si="66"/>
        <v/>
      </c>
      <c r="AL274" t="b">
        <f t="shared" si="67"/>
        <v>1</v>
      </c>
      <c r="AM274" s="49" t="str">
        <f t="shared" si="68"/>
        <v>Q</v>
      </c>
      <c r="AP274" s="10" t="s">
        <v>97</v>
      </c>
      <c r="AS274" t="s">
        <v>119</v>
      </c>
      <c r="AT274" s="6" t="s">
        <v>97</v>
      </c>
      <c r="AU274" s="6" t="str">
        <f t="shared" si="69"/>
        <v/>
      </c>
      <c r="AV274" s="6" t="s">
        <v>96</v>
      </c>
      <c r="AW274" s="6" t="str">
        <f t="shared" si="70"/>
        <v/>
      </c>
    </row>
    <row r="275" spans="1:49" ht="75">
      <c r="A275" s="1">
        <v>194736</v>
      </c>
      <c r="B275" t="str">
        <f t="shared" si="58"/>
        <v>9D29HT89201-84</v>
      </c>
      <c r="C275" s="6" t="str">
        <f t="shared" si="59"/>
        <v>ADVANCING CALIFORNIA S OPPORTUNITIES TO RENEW NATIVE HEALTH SYSTEMS (ACORNS)</v>
      </c>
      <c r="D275" s="6" t="str">
        <f t="shared" si="60"/>
        <v>MULTNOMAH COUNTY HEALTH DEPARTMENT</v>
      </c>
      <c r="E275">
        <f t="shared" si="61"/>
        <v>747342</v>
      </c>
      <c r="F275" t="str">
        <f t="shared" si="62"/>
        <v>FDA</v>
      </c>
      <c r="G275" t="str">
        <f t="shared" si="63"/>
        <v>28-8723479</v>
      </c>
      <c r="H275">
        <f t="shared" ca="1" si="64"/>
        <v>2057162</v>
      </c>
      <c r="I275" t="str">
        <f t="shared" si="65"/>
        <v>Annual</v>
      </c>
      <c r="T275" s="54" t="s">
        <v>2090</v>
      </c>
      <c r="U275">
        <v>12852304</v>
      </c>
      <c r="V275" s="10" t="s">
        <v>835</v>
      </c>
      <c r="W275" s="10" t="s">
        <v>835</v>
      </c>
      <c r="Y275" s="1" t="s">
        <v>2091</v>
      </c>
      <c r="AI275" s="1">
        <v>194736</v>
      </c>
      <c r="AJ275" s="1" t="s">
        <v>119</v>
      </c>
      <c r="AK275" s="1" t="str">
        <f t="shared" si="66"/>
        <v/>
      </c>
      <c r="AL275" t="b">
        <f t="shared" si="67"/>
        <v>1</v>
      </c>
      <c r="AM275" s="49" t="str">
        <f t="shared" si="68"/>
        <v>Q</v>
      </c>
      <c r="AP275" s="10" t="s">
        <v>327</v>
      </c>
      <c r="AS275" t="s">
        <v>119</v>
      </c>
      <c r="AT275" s="6" t="s">
        <v>327</v>
      </c>
      <c r="AU275" s="6" t="str">
        <f t="shared" si="69"/>
        <v/>
      </c>
      <c r="AV275" s="6" t="s">
        <v>104</v>
      </c>
      <c r="AW275" s="6" t="str">
        <f t="shared" si="70"/>
        <v/>
      </c>
    </row>
    <row r="276" spans="1:49" ht="75">
      <c r="A276" s="1">
        <v>194736</v>
      </c>
      <c r="B276" t="str">
        <f t="shared" si="58"/>
        <v>9D29HT89201-84</v>
      </c>
      <c r="C276" s="6" t="str">
        <f t="shared" si="59"/>
        <v>ADVANCING CALIFORNIA S OPPORTUNITIES TO RENEW NATIVE HEALTH SYSTEMS (ACORNS)</v>
      </c>
      <c r="D276" s="6" t="str">
        <f t="shared" si="60"/>
        <v>MULTNOMAH COUNTY HEALTH DEPARTMENT</v>
      </c>
      <c r="E276">
        <f t="shared" si="61"/>
        <v>747342</v>
      </c>
      <c r="F276" t="str">
        <f t="shared" si="62"/>
        <v>FDA</v>
      </c>
      <c r="G276" t="str">
        <f t="shared" si="63"/>
        <v>28-8723479</v>
      </c>
      <c r="H276">
        <f t="shared" ca="1" si="64"/>
        <v>2057162</v>
      </c>
      <c r="I276" t="str">
        <f t="shared" si="65"/>
        <v>Annual</v>
      </c>
      <c r="T276" s="61" t="s">
        <v>2077</v>
      </c>
      <c r="U276">
        <v>12852304</v>
      </c>
      <c r="V276" s="10" t="s">
        <v>844</v>
      </c>
      <c r="W276" s="10" t="s">
        <v>844</v>
      </c>
      <c r="Y276" s="1" t="s">
        <v>2092</v>
      </c>
      <c r="AI276" s="1">
        <v>194736</v>
      </c>
      <c r="AJ276" s="1" t="s">
        <v>119</v>
      </c>
      <c r="AK276" s="1" t="str">
        <f t="shared" si="66"/>
        <v/>
      </c>
      <c r="AL276" t="b">
        <f t="shared" si="67"/>
        <v>1</v>
      </c>
      <c r="AM276" s="49" t="str">
        <f t="shared" si="68"/>
        <v>Q</v>
      </c>
      <c r="AP276" s="10" t="s">
        <v>113</v>
      </c>
      <c r="AS276" t="s">
        <v>119</v>
      </c>
      <c r="AT276" s="6" t="s">
        <v>113</v>
      </c>
      <c r="AU276" s="6" t="str">
        <f t="shared" si="69"/>
        <v/>
      </c>
      <c r="AV276" s="6" t="s">
        <v>112</v>
      </c>
      <c r="AW276" s="6" t="str">
        <f t="shared" si="70"/>
        <v/>
      </c>
    </row>
    <row r="277" spans="1:49" ht="60">
      <c r="A277" s="1">
        <v>194736</v>
      </c>
      <c r="B277" t="str">
        <f t="shared" si="58"/>
        <v>9D29HT89201-84</v>
      </c>
      <c r="C277" s="6" t="str">
        <f t="shared" si="59"/>
        <v>ADVANCING CALIFORNIA S OPPORTUNITIES TO RENEW NATIVE HEALTH SYSTEMS (ACORNS)</v>
      </c>
      <c r="D277" s="6" t="str">
        <f t="shared" si="60"/>
        <v>MULTNOMAH COUNTY HEALTH DEPARTMENT</v>
      </c>
      <c r="E277">
        <f t="shared" si="61"/>
        <v>747342</v>
      </c>
      <c r="F277" t="str">
        <f t="shared" si="62"/>
        <v>FDA</v>
      </c>
      <c r="G277" t="str">
        <f t="shared" si="63"/>
        <v>28-8723479</v>
      </c>
      <c r="H277">
        <f t="shared" ca="1" si="64"/>
        <v>2057162</v>
      </c>
      <c r="I277" t="str">
        <f t="shared" si="65"/>
        <v>Annual</v>
      </c>
      <c r="T277" s="53" t="s">
        <v>2093</v>
      </c>
      <c r="U277">
        <v>12852304</v>
      </c>
      <c r="V277" s="10" t="s">
        <v>851</v>
      </c>
      <c r="W277" s="10" t="s">
        <v>851</v>
      </c>
      <c r="Y277" s="1" t="s">
        <v>2094</v>
      </c>
      <c r="AI277" s="1">
        <v>194736</v>
      </c>
      <c r="AJ277" s="1" t="s">
        <v>119</v>
      </c>
      <c r="AK277" s="1" t="str">
        <f t="shared" si="66"/>
        <v/>
      </c>
      <c r="AL277" t="b">
        <f t="shared" si="67"/>
        <v>1</v>
      </c>
      <c r="AM277" s="49" t="str">
        <f t="shared" si="68"/>
        <v>Q</v>
      </c>
      <c r="AP277" s="10"/>
      <c r="AS277" t="s">
        <v>119</v>
      </c>
      <c r="AT277" s="6" t="s">
        <v>812</v>
      </c>
      <c r="AU277" s="6" t="str">
        <f t="shared" si="69"/>
        <v/>
      </c>
      <c r="AV277" s="6" t="s">
        <v>811</v>
      </c>
      <c r="AW277" s="6" t="str">
        <f t="shared" si="70"/>
        <v/>
      </c>
    </row>
    <row r="278" spans="1:49" ht="90">
      <c r="A278" s="1">
        <v>195164</v>
      </c>
      <c r="B278" t="str">
        <f t="shared" si="58"/>
        <v>6D95DT89175-88</v>
      </c>
      <c r="C278" s="6" t="str">
        <f t="shared" si="59"/>
        <v>CALIFORNIA TRIBAL EPIDEMIOLOGY CENTER
BUILDING PUBLIC HEALTH INFRASTRUCTURE INITIATIVE</v>
      </c>
      <c r="D278" s="6" t="str">
        <f t="shared" si="60"/>
        <v>MURDOCH CHILDREN'S RESEARCH INSTITUTE</v>
      </c>
      <c r="E278">
        <f t="shared" si="61"/>
        <v>747342</v>
      </c>
      <c r="F278" t="str">
        <f t="shared" si="62"/>
        <v>ACF</v>
      </c>
      <c r="G278" t="str">
        <f t="shared" si="63"/>
        <v>28-8723480</v>
      </c>
      <c r="H278">
        <f t="shared" ca="1" si="64"/>
        <v>2914963</v>
      </c>
      <c r="I278" t="str">
        <f t="shared" si="65"/>
        <v>Annual</v>
      </c>
      <c r="T278" s="57" t="s">
        <v>2095</v>
      </c>
      <c r="U278">
        <v>12852304</v>
      </c>
      <c r="V278" s="10" t="s">
        <v>857</v>
      </c>
      <c r="W278" s="10" t="s">
        <v>857</v>
      </c>
      <c r="Y278" s="1" t="s">
        <v>2096</v>
      </c>
      <c r="AI278" s="1">
        <v>195164</v>
      </c>
      <c r="AJ278" s="1" t="s">
        <v>119</v>
      </c>
      <c r="AK278" s="1" t="str">
        <f t="shared" si="66"/>
        <v/>
      </c>
      <c r="AL278" t="b">
        <f t="shared" si="67"/>
        <v>1</v>
      </c>
      <c r="AM278" s="49" t="str">
        <f t="shared" si="68"/>
        <v>Q</v>
      </c>
      <c r="AP278" s="10" t="s">
        <v>97</v>
      </c>
      <c r="AS278" t="s">
        <v>119</v>
      </c>
      <c r="AT278" s="6" t="s">
        <v>97</v>
      </c>
      <c r="AU278" s="6" t="str">
        <f t="shared" si="69"/>
        <v/>
      </c>
      <c r="AV278" s="6" t="s">
        <v>96</v>
      </c>
      <c r="AW278" s="6" t="str">
        <f t="shared" si="70"/>
        <v/>
      </c>
    </row>
    <row r="279" spans="1:49" ht="75">
      <c r="A279" s="1">
        <v>195164</v>
      </c>
      <c r="B279" t="str">
        <f t="shared" si="58"/>
        <v>6D95DT89175-88</v>
      </c>
      <c r="C279" s="6" t="str">
        <f t="shared" si="59"/>
        <v>CALIFORNIA TRIBAL EPIDEMIOLOGY CENTER
BUILDING PUBLIC HEALTH INFRASTRUCTURE INITIATIVE</v>
      </c>
      <c r="D279" s="6" t="str">
        <f t="shared" si="60"/>
        <v>MURDOCH CHILDREN'S RESEARCH INSTITUTE</v>
      </c>
      <c r="E279">
        <f t="shared" si="61"/>
        <v>747342</v>
      </c>
      <c r="F279" t="str">
        <f t="shared" si="62"/>
        <v>ACF</v>
      </c>
      <c r="G279" t="str">
        <f t="shared" si="63"/>
        <v>28-8723480</v>
      </c>
      <c r="H279">
        <f t="shared" ca="1" si="64"/>
        <v>2914963</v>
      </c>
      <c r="I279" t="str">
        <f t="shared" si="65"/>
        <v>Annual</v>
      </c>
      <c r="T279" s="53" t="s">
        <v>2086</v>
      </c>
      <c r="U279">
        <v>4478083</v>
      </c>
      <c r="V279" s="10" t="s">
        <v>865</v>
      </c>
      <c r="W279" s="10" t="s">
        <v>865</v>
      </c>
      <c r="Y279" s="1" t="s">
        <v>2097</v>
      </c>
      <c r="AI279" s="1">
        <v>195164</v>
      </c>
      <c r="AJ279" s="1" t="s">
        <v>119</v>
      </c>
      <c r="AK279" s="1" t="str">
        <f t="shared" si="66"/>
        <v/>
      </c>
      <c r="AL279" t="b">
        <f t="shared" si="67"/>
        <v>1</v>
      </c>
      <c r="AM279" s="49" t="str">
        <f t="shared" si="68"/>
        <v>Q</v>
      </c>
      <c r="AP279" s="10" t="s">
        <v>327</v>
      </c>
      <c r="AS279" t="s">
        <v>119</v>
      </c>
      <c r="AT279" s="6" t="s">
        <v>327</v>
      </c>
      <c r="AU279" s="6" t="str">
        <f t="shared" si="69"/>
        <v/>
      </c>
      <c r="AV279" s="6" t="s">
        <v>104</v>
      </c>
      <c r="AW279" s="6" t="str">
        <f t="shared" si="70"/>
        <v/>
      </c>
    </row>
    <row r="280" spans="1:49" ht="90">
      <c r="A280" s="1">
        <v>195480</v>
      </c>
      <c r="B280" t="str">
        <f t="shared" si="58"/>
        <v>2B71HR88428-22</v>
      </c>
      <c r="C280" s="6" t="str">
        <f t="shared" si="59"/>
        <v>INDIAN HEALTH CENTERS TRIBAL PRACTICES FOR WELLNESS IN INDIAN COUNTRY</v>
      </c>
      <c r="D280" s="6" t="str">
        <f t="shared" si="60"/>
        <v>MURTY PHARMACEUTICALS, INC.</v>
      </c>
      <c r="E280">
        <f t="shared" si="61"/>
        <v>747342</v>
      </c>
      <c r="F280" t="str">
        <f t="shared" si="62"/>
        <v>CDC</v>
      </c>
      <c r="G280" t="str">
        <f t="shared" si="63"/>
        <v>28-8723481</v>
      </c>
      <c r="H280">
        <f t="shared" ca="1" si="64"/>
        <v>2864540</v>
      </c>
      <c r="I280" t="str">
        <f t="shared" si="65"/>
        <v>Annual</v>
      </c>
      <c r="T280" s="64" t="s">
        <v>1912</v>
      </c>
      <c r="U280">
        <v>4478083</v>
      </c>
      <c r="V280" s="10" t="s">
        <v>869</v>
      </c>
      <c r="W280" s="10" t="s">
        <v>869</v>
      </c>
      <c r="Y280" s="1" t="s">
        <v>2098</v>
      </c>
      <c r="AI280" s="1">
        <v>195480</v>
      </c>
      <c r="AJ280" s="1" t="s">
        <v>119</v>
      </c>
      <c r="AK280" s="1" t="str">
        <f t="shared" si="66"/>
        <v/>
      </c>
      <c r="AL280" t="b">
        <f t="shared" si="67"/>
        <v>1</v>
      </c>
      <c r="AM280" s="49" t="str">
        <f t="shared" si="68"/>
        <v>Q</v>
      </c>
      <c r="AP280" s="10" t="s">
        <v>97</v>
      </c>
      <c r="AS280" t="s">
        <v>119</v>
      </c>
      <c r="AT280" s="6" t="s">
        <v>97</v>
      </c>
      <c r="AU280" s="6" t="str">
        <f t="shared" si="69"/>
        <v/>
      </c>
      <c r="AV280" s="6" t="s">
        <v>96</v>
      </c>
      <c r="AW280" s="6" t="str">
        <f t="shared" si="70"/>
        <v/>
      </c>
    </row>
    <row r="281" spans="1:49" ht="75">
      <c r="A281" s="1">
        <v>195480</v>
      </c>
      <c r="B281" t="str">
        <f t="shared" si="58"/>
        <v>2B71HR88428-22</v>
      </c>
      <c r="C281" s="6" t="str">
        <f t="shared" si="59"/>
        <v>INDIAN HEALTH CENTERS TRIBAL PRACTICES FOR WELLNESS IN INDIAN COUNTRY</v>
      </c>
      <c r="D281" s="6" t="str">
        <f t="shared" si="60"/>
        <v>MURTY PHARMACEUTICALS, INC.</v>
      </c>
      <c r="E281">
        <f t="shared" si="61"/>
        <v>747342</v>
      </c>
      <c r="F281" t="str">
        <f t="shared" si="62"/>
        <v>CDC</v>
      </c>
      <c r="G281" t="str">
        <f t="shared" si="63"/>
        <v>28-8723481</v>
      </c>
      <c r="H281">
        <f t="shared" ca="1" si="64"/>
        <v>2864540</v>
      </c>
      <c r="I281" t="str">
        <f t="shared" si="65"/>
        <v>Annual</v>
      </c>
      <c r="T281" s="53" t="s">
        <v>1844</v>
      </c>
      <c r="U281">
        <v>4478083</v>
      </c>
      <c r="V281" s="10" t="s">
        <v>875</v>
      </c>
      <c r="W281" s="10" t="s">
        <v>875</v>
      </c>
      <c r="Y281" s="1" t="s">
        <v>2099</v>
      </c>
      <c r="AI281" s="1">
        <v>195480</v>
      </c>
      <c r="AJ281" s="1" t="s">
        <v>119</v>
      </c>
      <c r="AK281" s="1" t="str">
        <f t="shared" si="66"/>
        <v/>
      </c>
      <c r="AL281" t="b">
        <f t="shared" si="67"/>
        <v>1</v>
      </c>
      <c r="AM281" s="49" t="str">
        <f t="shared" si="68"/>
        <v>Q</v>
      </c>
      <c r="AP281" s="10" t="s">
        <v>327</v>
      </c>
      <c r="AS281" t="s">
        <v>119</v>
      </c>
      <c r="AT281" s="6" t="s">
        <v>327</v>
      </c>
      <c r="AU281" s="6" t="str">
        <f t="shared" si="69"/>
        <v/>
      </c>
      <c r="AV281" s="6" t="s">
        <v>104</v>
      </c>
      <c r="AW281" s="6" t="str">
        <f t="shared" si="70"/>
        <v/>
      </c>
    </row>
    <row r="282" spans="1:49" ht="75">
      <c r="A282" s="1">
        <v>195480</v>
      </c>
      <c r="B282" t="str">
        <f t="shared" si="58"/>
        <v>2B71HR88428-22</v>
      </c>
      <c r="C282" s="6" t="str">
        <f t="shared" si="59"/>
        <v>INDIAN HEALTH CENTERS TRIBAL PRACTICES FOR WELLNESS IN INDIAN COUNTRY</v>
      </c>
      <c r="D282" s="6" t="str">
        <f t="shared" si="60"/>
        <v>MURTY PHARMACEUTICALS, INC.</v>
      </c>
      <c r="E282">
        <f t="shared" si="61"/>
        <v>747342</v>
      </c>
      <c r="F282" t="str">
        <f t="shared" si="62"/>
        <v>CDC</v>
      </c>
      <c r="G282" t="str">
        <f t="shared" si="63"/>
        <v>28-8723481</v>
      </c>
      <c r="H282">
        <f t="shared" ca="1" si="64"/>
        <v>2864540</v>
      </c>
      <c r="I282" t="str">
        <f t="shared" si="65"/>
        <v>Annual</v>
      </c>
      <c r="T282" s="64" t="s">
        <v>2057</v>
      </c>
      <c r="U282">
        <v>17503038</v>
      </c>
      <c r="V282" s="10" t="s">
        <v>880</v>
      </c>
      <c r="W282" s="10" t="s">
        <v>880</v>
      </c>
      <c r="Y282" s="1" t="s">
        <v>2100</v>
      </c>
      <c r="AI282" s="1">
        <v>195480</v>
      </c>
      <c r="AJ282" s="1" t="s">
        <v>119</v>
      </c>
      <c r="AK282" s="1" t="str">
        <f t="shared" si="66"/>
        <v/>
      </c>
      <c r="AL282" t="b">
        <f t="shared" si="67"/>
        <v>1</v>
      </c>
      <c r="AM282" s="49" t="str">
        <f t="shared" si="68"/>
        <v>Q</v>
      </c>
      <c r="AP282" s="10" t="s">
        <v>113</v>
      </c>
      <c r="AS282" t="s">
        <v>119</v>
      </c>
      <c r="AT282" s="6" t="s">
        <v>113</v>
      </c>
      <c r="AU282" s="6" t="str">
        <f t="shared" si="69"/>
        <v/>
      </c>
      <c r="AV282" s="6" t="s">
        <v>112</v>
      </c>
      <c r="AW282" s="6" t="str">
        <f t="shared" si="70"/>
        <v/>
      </c>
    </row>
    <row r="283" spans="1:49" ht="165">
      <c r="A283" s="1">
        <v>196310</v>
      </c>
      <c r="B283" t="str">
        <f t="shared" si="58"/>
        <v>3C81FS84863-41</v>
      </c>
      <c r="C283" s="6" t="str">
        <f t="shared" si="59"/>
        <v>TRIBAL PRACTICES FOR WELLNESS IN INDIAN COUNTRY</v>
      </c>
      <c r="D283" s="6" t="str">
        <f t="shared" si="60"/>
        <v>MY MUSIC MACHINES, INC.</v>
      </c>
      <c r="E283">
        <f t="shared" si="61"/>
        <v>18126531</v>
      </c>
      <c r="F283" t="str">
        <f t="shared" si="62"/>
        <v>NIH</v>
      </c>
      <c r="G283" t="str">
        <f t="shared" si="63"/>
        <v>28-8723482</v>
      </c>
      <c r="H283">
        <f t="shared" ca="1" si="64"/>
        <v>2650275</v>
      </c>
      <c r="I283" t="str">
        <f t="shared" si="65"/>
        <v>Annual</v>
      </c>
      <c r="T283" s="53" t="s">
        <v>1846</v>
      </c>
      <c r="U283">
        <v>17503038</v>
      </c>
      <c r="V283" s="10" t="s">
        <v>888</v>
      </c>
      <c r="W283" s="10" t="s">
        <v>888</v>
      </c>
      <c r="Y283" s="1" t="s">
        <v>2101</v>
      </c>
      <c r="AI283" s="1">
        <v>196310</v>
      </c>
      <c r="AJ283" s="1" t="s">
        <v>954</v>
      </c>
      <c r="AK283" s="1" t="str">
        <f t="shared" si="66"/>
        <v/>
      </c>
      <c r="AL283" t="b">
        <f t="shared" si="67"/>
        <v>0</v>
      </c>
      <c r="AM283" s="49" t="str">
        <f t="shared" si="68"/>
        <v>Q</v>
      </c>
      <c r="AP283" s="10" t="s">
        <v>97</v>
      </c>
      <c r="AS283" t="s">
        <v>1966</v>
      </c>
      <c r="AT283" s="6" t="s">
        <v>97</v>
      </c>
      <c r="AU283" s="6" t="str">
        <f t="shared" si="69"/>
        <v>The errors in accounting will be corrected. The accounting policy suggested will be followed. The financials will be recalculated based on the revised accounting policies and submitted.</v>
      </c>
      <c r="AV283" s="6" t="s">
        <v>96</v>
      </c>
      <c r="AW283" s="6" t="str">
        <f t="shared" si="70"/>
        <v>Change in accounting practice</v>
      </c>
    </row>
    <row r="284" spans="1:49" ht="135">
      <c r="A284" s="1">
        <v>196310</v>
      </c>
      <c r="B284" t="str">
        <f t="shared" si="58"/>
        <v>3C81FS84863-41</v>
      </c>
      <c r="C284" s="6" t="str">
        <f t="shared" si="59"/>
        <v>TRIBAL PRACTICES FOR WELLNESS IN INDIAN COUNTRY</v>
      </c>
      <c r="D284" s="6" t="str">
        <f t="shared" si="60"/>
        <v>MY MUSIC MACHINES, INC.</v>
      </c>
      <c r="E284">
        <f t="shared" si="61"/>
        <v>18126531</v>
      </c>
      <c r="F284" t="str">
        <f t="shared" si="62"/>
        <v>NIH</v>
      </c>
      <c r="G284" t="str">
        <f t="shared" si="63"/>
        <v>28-8723482</v>
      </c>
      <c r="H284">
        <f t="shared" ca="1" si="64"/>
        <v>2650275</v>
      </c>
      <c r="I284" t="str">
        <f t="shared" si="65"/>
        <v>Annual</v>
      </c>
      <c r="T284" s="57" t="s">
        <v>1849</v>
      </c>
      <c r="U284">
        <v>17503038</v>
      </c>
      <c r="V284" s="10" t="s">
        <v>894</v>
      </c>
      <c r="W284" s="10" t="s">
        <v>894</v>
      </c>
      <c r="Y284" s="1" t="s">
        <v>2102</v>
      </c>
      <c r="AI284" s="1">
        <v>196310</v>
      </c>
      <c r="AJ284" s="1" t="s">
        <v>954</v>
      </c>
      <c r="AK284" s="1" t="str">
        <f t="shared" si="66"/>
        <v/>
      </c>
      <c r="AL284" t="b">
        <f t="shared" si="67"/>
        <v>0</v>
      </c>
      <c r="AM284" s="49" t="str">
        <f t="shared" si="68"/>
        <v>Q</v>
      </c>
      <c r="AP284" s="10" t="s">
        <v>327</v>
      </c>
      <c r="AS284" t="s">
        <v>1966</v>
      </c>
      <c r="AT284" s="6" t="s">
        <v>327</v>
      </c>
      <c r="AU284" s="6" t="str">
        <f t="shared" si="69"/>
        <v>Cost rate will be followed. The revised rate will be applied from the last audit period and the expenditure recalculated and submitted.</v>
      </c>
      <c r="AV284" s="6" t="s">
        <v>104</v>
      </c>
      <c r="AW284" s="6" t="str">
        <f t="shared" si="70"/>
        <v>Cost rate Corrections</v>
      </c>
    </row>
    <row r="285" spans="1:49" ht="90">
      <c r="A285" s="1">
        <v>196310</v>
      </c>
      <c r="B285" t="str">
        <f t="shared" si="58"/>
        <v>3C81FS84863-41</v>
      </c>
      <c r="C285" s="6" t="str">
        <f t="shared" si="59"/>
        <v>TRIBAL PRACTICES FOR WELLNESS IN INDIAN COUNTRY</v>
      </c>
      <c r="D285" s="6" t="str">
        <f t="shared" si="60"/>
        <v>MY MUSIC MACHINES, INC.</v>
      </c>
      <c r="E285">
        <f t="shared" si="61"/>
        <v>18126531</v>
      </c>
      <c r="F285" t="str">
        <f t="shared" si="62"/>
        <v>NIH</v>
      </c>
      <c r="G285" t="str">
        <f t="shared" si="63"/>
        <v>28-8723482</v>
      </c>
      <c r="H285">
        <f t="shared" ca="1" si="64"/>
        <v>2650275</v>
      </c>
      <c r="I285" t="str">
        <f t="shared" si="65"/>
        <v>Annual</v>
      </c>
      <c r="T285" s="51" t="s">
        <v>1850</v>
      </c>
      <c r="U285">
        <v>27266720</v>
      </c>
      <c r="V285" s="10" t="s">
        <v>899</v>
      </c>
      <c r="W285" s="10" t="s">
        <v>899</v>
      </c>
      <c r="Y285" s="1" t="s">
        <v>2103</v>
      </c>
      <c r="AI285" s="1">
        <v>196310</v>
      </c>
      <c r="AJ285" s="1" t="s">
        <v>954</v>
      </c>
      <c r="AK285" s="1" t="str">
        <f t="shared" si="66"/>
        <v/>
      </c>
      <c r="AL285" t="b">
        <f t="shared" si="67"/>
        <v>0</v>
      </c>
      <c r="AM285" s="49" t="str">
        <f t="shared" si="68"/>
        <v>Q</v>
      </c>
      <c r="AP285" s="10" t="s">
        <v>113</v>
      </c>
      <c r="AS285" t="s">
        <v>1966</v>
      </c>
      <c r="AT285" s="6" t="s">
        <v>113</v>
      </c>
      <c r="AU285" s="6" t="str">
        <f t="shared" si="69"/>
        <v>Loan accounts will be reviewed and appropriate amendments will be made and submitted</v>
      </c>
      <c r="AV285" s="6" t="s">
        <v>112</v>
      </c>
      <c r="AW285" s="6" t="str">
        <f t="shared" si="70"/>
        <v>Loan accountsrecalculation</v>
      </c>
    </row>
    <row r="286" spans="1:49" ht="165">
      <c r="A286" s="1">
        <v>196474</v>
      </c>
      <c r="B286" t="str">
        <f t="shared" si="58"/>
        <v>6C50CS87456-53</v>
      </c>
      <c r="C286" s="6" t="str">
        <f t="shared" si="59"/>
        <v>CULTURAL PATH TO WELLNESS - HEALING FROM TRAUMA AND GRIEF</v>
      </c>
      <c r="D286" s="6" t="str">
        <f t="shared" si="60"/>
        <v>MYOGENE BIO, LLC</v>
      </c>
      <c r="E286">
        <f t="shared" si="61"/>
        <v>18126531</v>
      </c>
      <c r="F286" t="str">
        <f t="shared" si="62"/>
        <v>FDA</v>
      </c>
      <c r="G286" t="str">
        <f t="shared" si="63"/>
        <v>28-8723483</v>
      </c>
      <c r="H286">
        <f t="shared" ca="1" si="64"/>
        <v>2886773</v>
      </c>
      <c r="I286" t="str">
        <f t="shared" si="65"/>
        <v>Annual</v>
      </c>
      <c r="T286" s="54" t="s">
        <v>2104</v>
      </c>
      <c r="U286">
        <v>27266720</v>
      </c>
      <c r="V286" s="10" t="s">
        <v>903</v>
      </c>
      <c r="W286" s="10" t="s">
        <v>903</v>
      </c>
      <c r="Y286" s="1" t="s">
        <v>2105</v>
      </c>
      <c r="AI286" s="1">
        <v>196474</v>
      </c>
      <c r="AJ286" s="1" t="s">
        <v>85</v>
      </c>
      <c r="AK286" s="1" t="str">
        <f t="shared" si="66"/>
        <v/>
      </c>
      <c r="AL286" t="b">
        <f t="shared" si="67"/>
        <v>0</v>
      </c>
      <c r="AM286" s="49" t="str">
        <f t="shared" si="68"/>
        <v>Q</v>
      </c>
      <c r="AP286" s="10" t="s">
        <v>97</v>
      </c>
      <c r="AS286" t="s">
        <v>1841</v>
      </c>
      <c r="AT286" s="6" t="s">
        <v>97</v>
      </c>
      <c r="AU286" s="6" t="str">
        <f t="shared" si="69"/>
        <v>The errors in accounting will be corrected. The accounting policy suggested will be followed. The financials will be recalculated based on the revised accounting policies and submitted.</v>
      </c>
      <c r="AV286" s="6" t="s">
        <v>96</v>
      </c>
      <c r="AW286" s="6" t="str">
        <f t="shared" si="70"/>
        <v>Change in accounting practice</v>
      </c>
    </row>
    <row r="287" spans="1:49" ht="135">
      <c r="A287" s="1">
        <v>196474</v>
      </c>
      <c r="B287" t="str">
        <f t="shared" si="58"/>
        <v>6C50CS87456-53</v>
      </c>
      <c r="C287" s="6" t="str">
        <f t="shared" si="59"/>
        <v>CULTURAL PATH TO WELLNESS - HEALING FROM TRAUMA AND GRIEF</v>
      </c>
      <c r="D287" s="6" t="str">
        <f t="shared" si="60"/>
        <v>MYOGENE BIO, LLC</v>
      </c>
      <c r="E287">
        <f t="shared" si="61"/>
        <v>18126531</v>
      </c>
      <c r="F287" t="str">
        <f t="shared" si="62"/>
        <v>FDA</v>
      </c>
      <c r="G287" t="str">
        <f t="shared" si="63"/>
        <v>28-8723483</v>
      </c>
      <c r="H287">
        <f t="shared" ca="1" si="64"/>
        <v>2886773</v>
      </c>
      <c r="I287" t="str">
        <f t="shared" si="65"/>
        <v>Annual</v>
      </c>
      <c r="T287" s="63" t="s">
        <v>1921</v>
      </c>
      <c r="U287">
        <v>16725367</v>
      </c>
      <c r="V287" s="10" t="s">
        <v>908</v>
      </c>
      <c r="W287" s="10" t="s">
        <v>908</v>
      </c>
      <c r="Y287" s="1" t="s">
        <v>2106</v>
      </c>
      <c r="AI287" s="1">
        <v>196474</v>
      </c>
      <c r="AJ287" s="1" t="s">
        <v>85</v>
      </c>
      <c r="AK287" s="1" t="str">
        <f t="shared" si="66"/>
        <v/>
      </c>
      <c r="AL287" t="b">
        <f t="shared" si="67"/>
        <v>0</v>
      </c>
      <c r="AM287" s="49" t="str">
        <f t="shared" si="68"/>
        <v>Q</v>
      </c>
      <c r="AP287" s="10" t="s">
        <v>327</v>
      </c>
      <c r="AS287" t="s">
        <v>1841</v>
      </c>
      <c r="AT287" s="6" t="s">
        <v>327</v>
      </c>
      <c r="AU287" s="6" t="str">
        <f t="shared" si="69"/>
        <v>Cost rate will be followed. The revised rate will be applied from the last audit period and the expenditure recalculated and submitted.</v>
      </c>
      <c r="AV287" s="6" t="s">
        <v>104</v>
      </c>
      <c r="AW287" s="6" t="str">
        <f t="shared" si="70"/>
        <v>Cost rate Corrections</v>
      </c>
    </row>
    <row r="288" spans="1:49" ht="90">
      <c r="A288" s="1">
        <v>196474</v>
      </c>
      <c r="B288" t="str">
        <f t="shared" si="58"/>
        <v>6C50CS87456-53</v>
      </c>
      <c r="C288" s="6" t="str">
        <f t="shared" si="59"/>
        <v>CULTURAL PATH TO WELLNESS - HEALING FROM TRAUMA AND GRIEF</v>
      </c>
      <c r="D288" s="6" t="str">
        <f t="shared" si="60"/>
        <v>MYOGENE BIO, LLC</v>
      </c>
      <c r="E288">
        <f t="shared" si="61"/>
        <v>18126531</v>
      </c>
      <c r="F288" t="str">
        <f t="shared" si="62"/>
        <v>FDA</v>
      </c>
      <c r="G288" t="str">
        <f t="shared" si="63"/>
        <v>28-8723483</v>
      </c>
      <c r="H288">
        <f t="shared" ca="1" si="64"/>
        <v>2886773</v>
      </c>
      <c r="I288" t="str">
        <f t="shared" si="65"/>
        <v>Annual</v>
      </c>
      <c r="T288" s="57" t="s">
        <v>2107</v>
      </c>
      <c r="U288">
        <v>16725367</v>
      </c>
      <c r="V288" s="10" t="s">
        <v>912</v>
      </c>
      <c r="W288" s="10" t="s">
        <v>912</v>
      </c>
      <c r="Y288" s="1" t="s">
        <v>2108</v>
      </c>
      <c r="AI288" s="1">
        <v>196474</v>
      </c>
      <c r="AJ288" s="1" t="s">
        <v>85</v>
      </c>
      <c r="AK288" s="1" t="str">
        <f t="shared" si="66"/>
        <v/>
      </c>
      <c r="AL288" t="b">
        <f t="shared" si="67"/>
        <v>0</v>
      </c>
      <c r="AM288" s="49" t="str">
        <f t="shared" si="68"/>
        <v>Q</v>
      </c>
      <c r="AP288" s="10" t="s">
        <v>113</v>
      </c>
      <c r="AS288" t="s">
        <v>1841</v>
      </c>
      <c r="AT288" s="6" t="s">
        <v>113</v>
      </c>
      <c r="AU288" s="6" t="str">
        <f t="shared" si="69"/>
        <v>Loan accounts will be reviewed and appropriate amendments will be made and submitted</v>
      </c>
      <c r="AV288" s="6" t="s">
        <v>112</v>
      </c>
      <c r="AW288" s="6" t="str">
        <f t="shared" si="70"/>
        <v>Loan accountsrecalculation</v>
      </c>
    </row>
    <row r="289" spans="1:49" ht="90">
      <c r="A289" s="1">
        <v>196651</v>
      </c>
      <c r="B289" t="str">
        <f t="shared" si="58"/>
        <v>8C82BS89008-96</v>
      </c>
      <c r="C289" s="6" t="str">
        <f t="shared" si="59"/>
        <v>HEALTHY OAKLAND TEENS: PROMOTING ADOLESCENT SEXUAL HEALTH IN FULL SERVICE
COMMUNITY SCHOOLS</v>
      </c>
      <c r="D289" s="6" t="str">
        <f t="shared" si="60"/>
        <v>MYOLEX, INC.</v>
      </c>
      <c r="E289">
        <f t="shared" si="61"/>
        <v>18126531</v>
      </c>
      <c r="F289" t="str">
        <f t="shared" si="62"/>
        <v>ACF</v>
      </c>
      <c r="G289" t="str">
        <f t="shared" si="63"/>
        <v>28-8723484</v>
      </c>
      <c r="H289">
        <f t="shared" ca="1" si="64"/>
        <v>2471638</v>
      </c>
      <c r="I289" t="str">
        <f t="shared" si="65"/>
        <v>Annual</v>
      </c>
      <c r="T289" s="53" t="s">
        <v>1857</v>
      </c>
      <c r="U289">
        <v>16725367</v>
      </c>
      <c r="V289" s="10" t="s">
        <v>922</v>
      </c>
      <c r="W289" s="10" t="s">
        <v>922</v>
      </c>
      <c r="Y289" s="1" t="s">
        <v>2109</v>
      </c>
      <c r="AI289" s="1">
        <v>196651</v>
      </c>
      <c r="AJ289" s="1" t="s">
        <v>85</v>
      </c>
      <c r="AK289" s="1" t="str">
        <f t="shared" si="66"/>
        <v/>
      </c>
      <c r="AL289" t="b">
        <f t="shared" si="67"/>
        <v>0</v>
      </c>
      <c r="AM289" s="49" t="str">
        <f t="shared" si="68"/>
        <v>Q</v>
      </c>
      <c r="AP289" s="10" t="s">
        <v>97</v>
      </c>
      <c r="AS289" t="s">
        <v>119</v>
      </c>
      <c r="AT289" s="6" t="s">
        <v>97</v>
      </c>
      <c r="AU289" s="6" t="str">
        <f t="shared" si="69"/>
        <v/>
      </c>
      <c r="AV289" s="6" t="s">
        <v>96</v>
      </c>
      <c r="AW289" s="6" t="str">
        <f t="shared" si="70"/>
        <v/>
      </c>
    </row>
    <row r="290" spans="1:49" ht="75">
      <c r="A290" s="1">
        <v>196651</v>
      </c>
      <c r="B290" t="str">
        <f t="shared" si="58"/>
        <v>8C82BS89008-96</v>
      </c>
      <c r="C290" s="6" t="str">
        <f t="shared" si="59"/>
        <v>HEALTHY OAKLAND TEENS: PROMOTING ADOLESCENT SEXUAL HEALTH IN FULL SERVICE
COMMUNITY SCHOOLS</v>
      </c>
      <c r="D290" s="6" t="str">
        <f t="shared" si="60"/>
        <v>MYOLEX, INC.</v>
      </c>
      <c r="E290">
        <f t="shared" si="61"/>
        <v>18126531</v>
      </c>
      <c r="F290" t="str">
        <f t="shared" si="62"/>
        <v>ACF</v>
      </c>
      <c r="G290" t="str">
        <f t="shared" si="63"/>
        <v>28-8723484</v>
      </c>
      <c r="H290">
        <f t="shared" ca="1" si="64"/>
        <v>2471638</v>
      </c>
      <c r="I290" t="str">
        <f t="shared" si="65"/>
        <v>Annual</v>
      </c>
      <c r="T290" s="52" t="s">
        <v>2022</v>
      </c>
      <c r="U290">
        <v>11016851</v>
      </c>
      <c r="V290" s="10" t="s">
        <v>929</v>
      </c>
      <c r="W290" s="10" t="s">
        <v>929</v>
      </c>
      <c r="Y290" s="1" t="s">
        <v>2110</v>
      </c>
      <c r="AI290" s="1">
        <v>196651</v>
      </c>
      <c r="AJ290" s="1" t="s">
        <v>85</v>
      </c>
      <c r="AK290" s="1" t="str">
        <f t="shared" si="66"/>
        <v/>
      </c>
      <c r="AL290" t="b">
        <f t="shared" si="67"/>
        <v>0</v>
      </c>
      <c r="AM290" s="49" t="str">
        <f t="shared" si="68"/>
        <v>Q</v>
      </c>
      <c r="AP290" s="10" t="s">
        <v>327</v>
      </c>
      <c r="AS290" t="s">
        <v>119</v>
      </c>
      <c r="AT290" s="6" t="s">
        <v>327</v>
      </c>
      <c r="AU290" s="6" t="str">
        <f t="shared" si="69"/>
        <v/>
      </c>
      <c r="AV290" s="6" t="s">
        <v>104</v>
      </c>
      <c r="AW290" s="6" t="str">
        <f t="shared" si="70"/>
        <v/>
      </c>
    </row>
    <row r="291" spans="1:49" ht="90">
      <c r="A291" s="1">
        <v>196651</v>
      </c>
      <c r="B291" t="str">
        <f t="shared" si="58"/>
        <v>8C82BS89008-96</v>
      </c>
      <c r="C291" s="6" t="str">
        <f t="shared" si="59"/>
        <v>HEALTHY OAKLAND TEENS: PROMOTING ADOLESCENT SEXUAL HEALTH IN FULL SERVICE
COMMUNITY SCHOOLS</v>
      </c>
      <c r="D291" s="6" t="str">
        <f t="shared" si="60"/>
        <v>MYOLEX, INC.</v>
      </c>
      <c r="E291">
        <f t="shared" si="61"/>
        <v>18126531</v>
      </c>
      <c r="F291" t="str">
        <f t="shared" si="62"/>
        <v>ACF</v>
      </c>
      <c r="G291" t="str">
        <f t="shared" si="63"/>
        <v>28-8723484</v>
      </c>
      <c r="H291">
        <f t="shared" ca="1" si="64"/>
        <v>2471638</v>
      </c>
      <c r="I291" t="str">
        <f t="shared" si="65"/>
        <v>Annual</v>
      </c>
      <c r="T291" s="52" t="s">
        <v>1937</v>
      </c>
      <c r="U291">
        <v>11016851</v>
      </c>
      <c r="V291" s="10" t="s">
        <v>935</v>
      </c>
      <c r="W291" s="10" t="s">
        <v>935</v>
      </c>
      <c r="Y291" s="1" t="s">
        <v>2111</v>
      </c>
      <c r="AI291" s="1">
        <v>196651</v>
      </c>
      <c r="AJ291" s="1" t="s">
        <v>85</v>
      </c>
      <c r="AK291" s="1" t="str">
        <f t="shared" si="66"/>
        <v/>
      </c>
      <c r="AL291" t="b">
        <f t="shared" si="67"/>
        <v>0</v>
      </c>
      <c r="AM291" s="49" t="str">
        <f t="shared" si="68"/>
        <v>Q</v>
      </c>
      <c r="AP291" s="10" t="s">
        <v>113</v>
      </c>
      <c r="AS291" t="s">
        <v>119</v>
      </c>
      <c r="AT291" s="6" t="s">
        <v>113</v>
      </c>
      <c r="AU291" s="6" t="str">
        <f t="shared" si="69"/>
        <v/>
      </c>
      <c r="AV291" s="6" t="s">
        <v>112</v>
      </c>
      <c r="AW291" s="6" t="str">
        <f t="shared" si="70"/>
        <v/>
      </c>
    </row>
    <row r="292" spans="1:49" ht="120">
      <c r="A292" s="1">
        <v>196758</v>
      </c>
      <c r="B292" t="str">
        <f t="shared" si="58"/>
        <v>7B58IR84816-80</v>
      </c>
      <c r="C292" s="6" t="str">
        <f t="shared" si="59"/>
        <v>PINOLEVILLE POMO NATION GHWIC PROJECT</v>
      </c>
      <c r="D292" s="6" t="str">
        <f t="shared" si="60"/>
        <v>MYOS, INC.</v>
      </c>
      <c r="E292">
        <f t="shared" si="61"/>
        <v>18126531</v>
      </c>
      <c r="F292" t="str">
        <f t="shared" si="62"/>
        <v>CDC</v>
      </c>
      <c r="G292" t="str">
        <f t="shared" si="63"/>
        <v>28-8723485</v>
      </c>
      <c r="H292">
        <f t="shared" ca="1" si="64"/>
        <v>2711887</v>
      </c>
      <c r="I292" t="str">
        <f t="shared" si="65"/>
        <v>Annual</v>
      </c>
      <c r="T292" s="50" t="s">
        <v>1882</v>
      </c>
      <c r="U292">
        <v>11016851</v>
      </c>
      <c r="V292" s="10" t="s">
        <v>941</v>
      </c>
      <c r="W292" s="10" t="s">
        <v>941</v>
      </c>
      <c r="Y292" s="1" t="s">
        <v>2112</v>
      </c>
      <c r="AI292" s="1">
        <v>196758</v>
      </c>
      <c r="AJ292" s="1" t="s">
        <v>119</v>
      </c>
      <c r="AK292" s="1" t="str">
        <f t="shared" si="66"/>
        <v/>
      </c>
      <c r="AL292" t="b">
        <f t="shared" si="67"/>
        <v>1</v>
      </c>
      <c r="AM292" s="49" t="str">
        <f t="shared" si="68"/>
        <v>Q</v>
      </c>
      <c r="AP292" s="10" t="s">
        <v>97</v>
      </c>
      <c r="AS292" t="s">
        <v>119</v>
      </c>
      <c r="AT292" s="6" t="s">
        <v>97</v>
      </c>
      <c r="AU292" s="6" t="str">
        <f t="shared" si="69"/>
        <v/>
      </c>
      <c r="AV292" s="6" t="s">
        <v>96</v>
      </c>
      <c r="AW292" s="6" t="str">
        <f t="shared" si="70"/>
        <v/>
      </c>
    </row>
    <row r="293" spans="1:49" ht="75">
      <c r="A293" s="1">
        <v>196758</v>
      </c>
      <c r="B293" t="str">
        <f t="shared" si="58"/>
        <v>7B58IR84816-80</v>
      </c>
      <c r="C293" s="6" t="str">
        <f t="shared" si="59"/>
        <v>PINOLEVILLE POMO NATION GHWIC PROJECT</v>
      </c>
      <c r="D293" s="6" t="str">
        <f t="shared" si="60"/>
        <v>MYOS, INC.</v>
      </c>
      <c r="E293">
        <f t="shared" si="61"/>
        <v>18126531</v>
      </c>
      <c r="F293" t="str">
        <f t="shared" si="62"/>
        <v>CDC</v>
      </c>
      <c r="G293" t="str">
        <f t="shared" si="63"/>
        <v>28-8723485</v>
      </c>
      <c r="H293">
        <f t="shared" ca="1" si="64"/>
        <v>2711887</v>
      </c>
      <c r="I293" t="str">
        <f t="shared" si="65"/>
        <v>Annual</v>
      </c>
      <c r="T293" s="53" t="s">
        <v>2113</v>
      </c>
      <c r="U293">
        <v>810633</v>
      </c>
      <c r="V293" s="10" t="s">
        <v>946</v>
      </c>
      <c r="W293" s="10" t="s">
        <v>946</v>
      </c>
      <c r="Y293" s="1" t="s">
        <v>2114</v>
      </c>
      <c r="AI293" s="1">
        <v>196758</v>
      </c>
      <c r="AJ293" s="1" t="s">
        <v>119</v>
      </c>
      <c r="AK293" s="1" t="str">
        <f t="shared" si="66"/>
        <v/>
      </c>
      <c r="AL293" t="b">
        <f t="shared" si="67"/>
        <v>1</v>
      </c>
      <c r="AM293" s="49" t="str">
        <f t="shared" si="68"/>
        <v>Q</v>
      </c>
      <c r="AP293" s="10" t="s">
        <v>327</v>
      </c>
      <c r="AS293" t="s">
        <v>119</v>
      </c>
      <c r="AT293" s="6" t="s">
        <v>327</v>
      </c>
      <c r="AU293" s="6" t="str">
        <f t="shared" si="69"/>
        <v/>
      </c>
      <c r="AV293" s="6" t="s">
        <v>104</v>
      </c>
      <c r="AW293" s="6" t="str">
        <f t="shared" si="70"/>
        <v/>
      </c>
    </row>
    <row r="294" spans="1:49" ht="90">
      <c r="A294" s="1">
        <v>198258</v>
      </c>
      <c r="B294" t="str">
        <f t="shared" si="58"/>
        <v>9B40CR89083-88</v>
      </c>
      <c r="C294" s="6" t="str">
        <f t="shared" si="59"/>
        <v>STRENGTHENING LOCAL COALITIONS TO REDUCE HEALTH DISPARITIES RELATED TO NUTRITION, PHYSICAL ACTIVITY, AND OBESITY PREVENTION</v>
      </c>
      <c r="D294" s="6" t="str">
        <f t="shared" si="60"/>
        <v>N2 BIOMEDICAL, LLC</v>
      </c>
      <c r="E294">
        <f t="shared" si="61"/>
        <v>10829145</v>
      </c>
      <c r="F294" t="str">
        <f t="shared" si="62"/>
        <v>NIH</v>
      </c>
      <c r="G294" t="str">
        <f t="shared" si="63"/>
        <v>28-8723486</v>
      </c>
      <c r="H294">
        <f t="shared" ca="1" si="64"/>
        <v>2831703</v>
      </c>
      <c r="I294" t="str">
        <f t="shared" si="65"/>
        <v>Annual</v>
      </c>
      <c r="T294" s="66" t="s">
        <v>2115</v>
      </c>
      <c r="U294">
        <v>810633</v>
      </c>
      <c r="V294" s="10" t="s">
        <v>952</v>
      </c>
      <c r="W294" s="10" t="s">
        <v>952</v>
      </c>
      <c r="Y294" s="1" t="s">
        <v>2116</v>
      </c>
      <c r="AI294" s="1">
        <v>198258</v>
      </c>
      <c r="AJ294" s="1" t="s">
        <v>119</v>
      </c>
      <c r="AK294" s="1" t="str">
        <f t="shared" si="66"/>
        <v/>
      </c>
      <c r="AL294" t="b">
        <f t="shared" si="67"/>
        <v>1</v>
      </c>
      <c r="AM294" s="49" t="str">
        <f t="shared" si="68"/>
        <v>Q</v>
      </c>
      <c r="AP294" s="10" t="s">
        <v>97</v>
      </c>
      <c r="AS294" t="s">
        <v>119</v>
      </c>
      <c r="AT294" s="6" t="s">
        <v>97</v>
      </c>
      <c r="AU294" s="6" t="str">
        <f t="shared" si="69"/>
        <v/>
      </c>
      <c r="AV294" s="6" t="s">
        <v>96</v>
      </c>
      <c r="AW294" s="6" t="str">
        <f t="shared" si="70"/>
        <v/>
      </c>
    </row>
    <row r="295" spans="1:49" ht="90">
      <c r="A295" s="1">
        <v>198258</v>
      </c>
      <c r="B295" t="str">
        <f t="shared" si="58"/>
        <v>9B40CR89083-88</v>
      </c>
      <c r="C295" s="6" t="str">
        <f t="shared" si="59"/>
        <v>STRENGTHENING LOCAL COALITIONS TO REDUCE HEALTH DISPARITIES RELATED TO NUTRITION, PHYSICAL ACTIVITY, AND OBESITY PREVENTION</v>
      </c>
      <c r="D295" s="6" t="str">
        <f t="shared" si="60"/>
        <v>N2 BIOMEDICAL, LLC</v>
      </c>
      <c r="E295">
        <f t="shared" si="61"/>
        <v>10829145</v>
      </c>
      <c r="F295" t="str">
        <f t="shared" si="62"/>
        <v>NIH</v>
      </c>
      <c r="G295" t="str">
        <f t="shared" si="63"/>
        <v>28-8723486</v>
      </c>
      <c r="H295">
        <f t="shared" ca="1" si="64"/>
        <v>2831703</v>
      </c>
      <c r="I295" t="str">
        <f t="shared" si="65"/>
        <v>Annual</v>
      </c>
      <c r="T295" s="65" t="s">
        <v>2117</v>
      </c>
      <c r="U295">
        <v>690561</v>
      </c>
      <c r="V295" s="10" t="s">
        <v>966</v>
      </c>
      <c r="W295" s="10" t="s">
        <v>966</v>
      </c>
      <c r="Y295" s="1" t="s">
        <v>2118</v>
      </c>
      <c r="AI295" s="1">
        <v>198258</v>
      </c>
      <c r="AJ295" s="1" t="s">
        <v>119</v>
      </c>
      <c r="AK295" s="1" t="str">
        <f t="shared" si="66"/>
        <v/>
      </c>
      <c r="AL295" t="b">
        <f t="shared" si="67"/>
        <v>1</v>
      </c>
      <c r="AM295" s="49" t="str">
        <f t="shared" si="68"/>
        <v>Q</v>
      </c>
      <c r="AP295" s="10" t="s">
        <v>327</v>
      </c>
      <c r="AS295" t="s">
        <v>119</v>
      </c>
      <c r="AT295" s="6" t="s">
        <v>327</v>
      </c>
      <c r="AU295" s="6" t="str">
        <f t="shared" si="69"/>
        <v/>
      </c>
      <c r="AV295" s="6" t="s">
        <v>104</v>
      </c>
      <c r="AW295" s="6" t="str">
        <f t="shared" si="70"/>
        <v/>
      </c>
    </row>
    <row r="296" spans="1:49" ht="90">
      <c r="A296" s="1">
        <v>198258</v>
      </c>
      <c r="B296" t="str">
        <f t="shared" si="58"/>
        <v>9B40CR89083-88</v>
      </c>
      <c r="C296" s="6" t="str">
        <f t="shared" si="59"/>
        <v>STRENGTHENING LOCAL COALITIONS TO REDUCE HEALTH DISPARITIES RELATED TO NUTRITION, PHYSICAL ACTIVITY, AND OBESITY PREVENTION</v>
      </c>
      <c r="D296" s="6" t="str">
        <f t="shared" si="60"/>
        <v>N2 BIOMEDICAL, LLC</v>
      </c>
      <c r="E296">
        <f t="shared" si="61"/>
        <v>10829145</v>
      </c>
      <c r="F296" t="str">
        <f t="shared" si="62"/>
        <v>NIH</v>
      </c>
      <c r="G296" t="str">
        <f t="shared" si="63"/>
        <v>28-8723486</v>
      </c>
      <c r="H296">
        <f t="shared" ca="1" si="64"/>
        <v>2831703</v>
      </c>
      <c r="I296" t="str">
        <f t="shared" si="65"/>
        <v>Annual</v>
      </c>
      <c r="T296" s="54" t="s">
        <v>1883</v>
      </c>
      <c r="U296">
        <v>690561</v>
      </c>
      <c r="V296" s="10" t="s">
        <v>973</v>
      </c>
      <c r="W296" s="10" t="s">
        <v>973</v>
      </c>
      <c r="Y296" s="1" t="s">
        <v>2119</v>
      </c>
      <c r="AI296" s="1">
        <v>198258</v>
      </c>
      <c r="AJ296" s="1" t="s">
        <v>119</v>
      </c>
      <c r="AK296" s="1" t="str">
        <f t="shared" si="66"/>
        <v/>
      </c>
      <c r="AL296" t="b">
        <f t="shared" si="67"/>
        <v>1</v>
      </c>
      <c r="AM296" s="49" t="str">
        <f t="shared" si="68"/>
        <v>Q</v>
      </c>
      <c r="AP296" s="10"/>
      <c r="AS296" t="s">
        <v>119</v>
      </c>
      <c r="AT296" s="6" t="s">
        <v>812</v>
      </c>
      <c r="AU296" s="6" t="str">
        <f t="shared" si="69"/>
        <v/>
      </c>
      <c r="AV296" s="6" t="s">
        <v>811</v>
      </c>
      <c r="AW296" s="6" t="str">
        <f t="shared" si="70"/>
        <v/>
      </c>
    </row>
    <row r="297" spans="1:49" ht="90">
      <c r="A297" s="1">
        <v>198258</v>
      </c>
      <c r="B297" t="str">
        <f t="shared" si="58"/>
        <v>9B40CR89083-88</v>
      </c>
      <c r="C297" s="6" t="str">
        <f t="shared" si="59"/>
        <v>STRENGTHENING LOCAL COALITIONS TO REDUCE HEALTH DISPARITIES RELATED TO NUTRITION, PHYSICAL ACTIVITY, AND OBESITY PREVENTION</v>
      </c>
      <c r="D297" s="6" t="str">
        <f t="shared" si="60"/>
        <v>N2 BIOMEDICAL, LLC</v>
      </c>
      <c r="E297">
        <f t="shared" si="61"/>
        <v>10829145</v>
      </c>
      <c r="F297" t="str">
        <f t="shared" si="62"/>
        <v>NIH</v>
      </c>
      <c r="G297" t="str">
        <f t="shared" si="63"/>
        <v>28-8723486</v>
      </c>
      <c r="H297">
        <f t="shared" ca="1" si="64"/>
        <v>2831703</v>
      </c>
      <c r="I297" t="str">
        <f t="shared" si="65"/>
        <v>Annual</v>
      </c>
      <c r="T297" s="53" t="s">
        <v>2113</v>
      </c>
      <c r="U297">
        <v>28932916</v>
      </c>
      <c r="V297" s="10" t="s">
        <v>982</v>
      </c>
      <c r="W297" s="10" t="s">
        <v>982</v>
      </c>
      <c r="Y297" s="1" t="s">
        <v>2120</v>
      </c>
      <c r="AI297" s="1">
        <v>198258</v>
      </c>
      <c r="AJ297" s="1" t="s">
        <v>119</v>
      </c>
      <c r="AK297" s="1" t="str">
        <f t="shared" si="66"/>
        <v/>
      </c>
      <c r="AL297" t="b">
        <f t="shared" si="67"/>
        <v>1</v>
      </c>
      <c r="AM297" s="49" t="str">
        <f t="shared" si="68"/>
        <v>Q</v>
      </c>
      <c r="AP297" s="10"/>
      <c r="AS297" t="s">
        <v>119</v>
      </c>
      <c r="AT297" s="6" t="s">
        <v>812</v>
      </c>
      <c r="AU297" s="6" t="str">
        <f t="shared" si="69"/>
        <v/>
      </c>
      <c r="AV297" s="6" t="s">
        <v>811</v>
      </c>
      <c r="AW297" s="6" t="str">
        <f t="shared" si="70"/>
        <v/>
      </c>
    </row>
    <row r="298" spans="1:49" ht="90">
      <c r="A298" s="1">
        <v>198991</v>
      </c>
      <c r="B298" t="str">
        <f t="shared" si="58"/>
        <v>5B89AR89766-62</v>
      </c>
      <c r="C298" s="6" t="str">
        <f t="shared" si="59"/>
        <v>WITHIN OUR REACH</v>
      </c>
      <c r="D298" s="6" t="str">
        <f t="shared" si="60"/>
        <v>NAJIT TECHNOLOGIES, INC.</v>
      </c>
      <c r="E298">
        <f t="shared" si="61"/>
        <v>10829145</v>
      </c>
      <c r="F298" t="str">
        <f t="shared" si="62"/>
        <v>FDA</v>
      </c>
      <c r="G298" t="str">
        <f t="shared" si="63"/>
        <v>28-8723487</v>
      </c>
      <c r="H298">
        <f t="shared" ca="1" si="64"/>
        <v>2309749</v>
      </c>
      <c r="I298" t="str">
        <f t="shared" si="65"/>
        <v>Annual</v>
      </c>
      <c r="T298" s="54" t="s">
        <v>2121</v>
      </c>
      <c r="U298">
        <v>28932916</v>
      </c>
      <c r="V298" s="10" t="s">
        <v>986</v>
      </c>
      <c r="W298" s="10" t="s">
        <v>986</v>
      </c>
      <c r="Y298" s="1" t="s">
        <v>2122</v>
      </c>
      <c r="AI298" s="1">
        <v>198991</v>
      </c>
      <c r="AJ298" s="1" t="s">
        <v>119</v>
      </c>
      <c r="AK298" s="1" t="str">
        <f t="shared" si="66"/>
        <v/>
      </c>
      <c r="AL298" t="b">
        <f t="shared" si="67"/>
        <v>1</v>
      </c>
      <c r="AM298" s="49" t="str">
        <f t="shared" si="68"/>
        <v>Q</v>
      </c>
      <c r="AP298" s="10" t="s">
        <v>97</v>
      </c>
      <c r="AS298" t="s">
        <v>119</v>
      </c>
      <c r="AT298" s="6" t="s">
        <v>97</v>
      </c>
      <c r="AU298" s="6" t="str">
        <f t="shared" si="69"/>
        <v/>
      </c>
      <c r="AV298" s="6" t="s">
        <v>96</v>
      </c>
      <c r="AW298" s="6" t="str">
        <f t="shared" si="70"/>
        <v/>
      </c>
    </row>
    <row r="299" spans="1:49" ht="75">
      <c r="A299" s="1">
        <v>198991</v>
      </c>
      <c r="B299" t="str">
        <f t="shared" si="58"/>
        <v>5B89AR89766-62</v>
      </c>
      <c r="C299" s="6" t="str">
        <f t="shared" si="59"/>
        <v>WITHIN OUR REACH</v>
      </c>
      <c r="D299" s="6" t="str">
        <f t="shared" si="60"/>
        <v>NAJIT TECHNOLOGIES, INC.</v>
      </c>
      <c r="E299">
        <f t="shared" si="61"/>
        <v>10829145</v>
      </c>
      <c r="F299" t="str">
        <f t="shared" si="62"/>
        <v>FDA</v>
      </c>
      <c r="G299" t="str">
        <f t="shared" si="63"/>
        <v>28-8723487</v>
      </c>
      <c r="H299">
        <f t="shared" ca="1" si="64"/>
        <v>2309749</v>
      </c>
      <c r="I299" t="str">
        <f t="shared" si="65"/>
        <v>Annual</v>
      </c>
      <c r="T299" s="54" t="s">
        <v>1883</v>
      </c>
      <c r="U299">
        <v>28932916</v>
      </c>
      <c r="V299" s="10" t="s">
        <v>995</v>
      </c>
      <c r="W299" s="10" t="s">
        <v>995</v>
      </c>
      <c r="Y299" s="1" t="s">
        <v>2123</v>
      </c>
      <c r="AI299" s="1">
        <v>198991</v>
      </c>
      <c r="AJ299" s="1" t="s">
        <v>119</v>
      </c>
      <c r="AK299" s="1" t="str">
        <f t="shared" si="66"/>
        <v/>
      </c>
      <c r="AL299" t="b">
        <f t="shared" si="67"/>
        <v>1</v>
      </c>
      <c r="AM299" s="49" t="str">
        <f t="shared" si="68"/>
        <v>Q</v>
      </c>
      <c r="AP299" s="10" t="s">
        <v>327</v>
      </c>
      <c r="AS299" t="s">
        <v>119</v>
      </c>
      <c r="AT299" s="6" t="s">
        <v>327</v>
      </c>
      <c r="AU299" s="6" t="str">
        <f t="shared" si="69"/>
        <v/>
      </c>
      <c r="AV299" s="6" t="s">
        <v>104</v>
      </c>
      <c r="AW299" s="6" t="str">
        <f t="shared" si="70"/>
        <v/>
      </c>
    </row>
    <row r="300" spans="1:49" ht="60">
      <c r="A300" s="1">
        <v>198991</v>
      </c>
      <c r="B300" t="str">
        <f t="shared" si="58"/>
        <v>5B89AR89766-62</v>
      </c>
      <c r="C300" s="6" t="str">
        <f t="shared" si="59"/>
        <v>WITHIN OUR REACH</v>
      </c>
      <c r="D300" s="6" t="str">
        <f t="shared" si="60"/>
        <v>NAJIT TECHNOLOGIES, INC.</v>
      </c>
      <c r="E300">
        <f t="shared" si="61"/>
        <v>10829145</v>
      </c>
      <c r="F300" t="str">
        <f t="shared" si="62"/>
        <v>FDA</v>
      </c>
      <c r="G300" t="str">
        <f t="shared" si="63"/>
        <v>28-8723487</v>
      </c>
      <c r="H300">
        <f t="shared" ca="1" si="64"/>
        <v>2309749</v>
      </c>
      <c r="I300" t="str">
        <f t="shared" si="65"/>
        <v>Annual</v>
      </c>
      <c r="T300" s="53" t="s">
        <v>2113</v>
      </c>
      <c r="U300">
        <v>8116246</v>
      </c>
      <c r="V300" s="10" t="s">
        <v>1000</v>
      </c>
      <c r="W300" s="10" t="s">
        <v>1000</v>
      </c>
      <c r="Y300" s="1" t="s">
        <v>2124</v>
      </c>
      <c r="AI300" s="1">
        <v>198991</v>
      </c>
      <c r="AJ300" s="1" t="s">
        <v>119</v>
      </c>
      <c r="AK300" s="1" t="str">
        <f t="shared" si="66"/>
        <v/>
      </c>
      <c r="AL300" t="b">
        <f t="shared" si="67"/>
        <v>1</v>
      </c>
      <c r="AM300" s="49" t="str">
        <f t="shared" si="68"/>
        <v>Q</v>
      </c>
      <c r="AP300" s="10" t="s">
        <v>113</v>
      </c>
      <c r="AS300" t="s">
        <v>119</v>
      </c>
      <c r="AT300" s="6" t="s">
        <v>113</v>
      </c>
      <c r="AU300" s="6" t="str">
        <f t="shared" si="69"/>
        <v/>
      </c>
      <c r="AV300" s="6" t="s">
        <v>112</v>
      </c>
      <c r="AW300" s="6" t="str">
        <f t="shared" si="70"/>
        <v/>
      </c>
    </row>
    <row r="301" spans="1:49" ht="90">
      <c r="A301" s="1">
        <v>199212</v>
      </c>
      <c r="B301" t="str">
        <f t="shared" si="58"/>
        <v>4D67CT86557-61</v>
      </c>
      <c r="C301" s="6" t="str">
        <f t="shared" si="59"/>
        <v>CATEGORY B: CHRONIC DISEASE SPECIALISTS</v>
      </c>
      <c r="D301" s="6" t="str">
        <f t="shared" si="60"/>
        <v>NAMI THERAPEUTICS CORP.</v>
      </c>
      <c r="E301">
        <f t="shared" si="61"/>
        <v>18035821</v>
      </c>
      <c r="F301" t="str">
        <f t="shared" si="62"/>
        <v>ACF</v>
      </c>
      <c r="G301" t="str">
        <f t="shared" si="63"/>
        <v>28-8723488</v>
      </c>
      <c r="H301">
        <f t="shared" ca="1" si="64"/>
        <v>2176969</v>
      </c>
      <c r="I301" t="str">
        <f t="shared" si="65"/>
        <v>Annual</v>
      </c>
      <c r="T301" s="50" t="s">
        <v>1882</v>
      </c>
      <c r="U301">
        <v>8116246</v>
      </c>
      <c r="V301" s="10" t="s">
        <v>1006</v>
      </c>
      <c r="W301" s="10" t="s">
        <v>1006</v>
      </c>
      <c r="Y301" s="1" t="s">
        <v>2125</v>
      </c>
      <c r="AI301" s="1">
        <v>199212</v>
      </c>
      <c r="AJ301" s="1" t="s">
        <v>119</v>
      </c>
      <c r="AK301" s="1" t="str">
        <f t="shared" si="66"/>
        <v/>
      </c>
      <c r="AL301" t="b">
        <f t="shared" si="67"/>
        <v>1</v>
      </c>
      <c r="AM301" s="49" t="str">
        <f t="shared" si="68"/>
        <v>Q</v>
      </c>
      <c r="AP301" s="10" t="s">
        <v>97</v>
      </c>
      <c r="AS301" t="s">
        <v>119</v>
      </c>
      <c r="AT301" s="6" t="s">
        <v>97</v>
      </c>
      <c r="AU301" s="6" t="str">
        <f t="shared" si="69"/>
        <v/>
      </c>
      <c r="AV301" s="6" t="s">
        <v>96</v>
      </c>
      <c r="AW301" s="6" t="str">
        <f t="shared" si="70"/>
        <v/>
      </c>
    </row>
    <row r="302" spans="1:49" ht="75">
      <c r="A302" s="1">
        <v>199212</v>
      </c>
      <c r="B302" t="str">
        <f t="shared" si="58"/>
        <v>4D67CT86557-61</v>
      </c>
      <c r="C302" s="6" t="str">
        <f t="shared" si="59"/>
        <v>CATEGORY B: CHRONIC DISEASE SPECIALISTS</v>
      </c>
      <c r="D302" s="6" t="str">
        <f t="shared" si="60"/>
        <v>NAMI THERAPEUTICS CORP.</v>
      </c>
      <c r="E302">
        <f t="shared" si="61"/>
        <v>18035821</v>
      </c>
      <c r="F302" t="str">
        <f t="shared" si="62"/>
        <v>ACF</v>
      </c>
      <c r="G302" t="str">
        <f t="shared" si="63"/>
        <v>28-8723488</v>
      </c>
      <c r="H302">
        <f t="shared" ca="1" si="64"/>
        <v>2176969</v>
      </c>
      <c r="I302" t="str">
        <f t="shared" si="65"/>
        <v>Annual</v>
      </c>
      <c r="T302" s="53" t="s">
        <v>2113</v>
      </c>
      <c r="U302">
        <v>8146341</v>
      </c>
      <c r="V302" s="10" t="s">
        <v>1012</v>
      </c>
      <c r="W302" s="10" t="s">
        <v>1012</v>
      </c>
      <c r="Y302" s="1" t="s">
        <v>2126</v>
      </c>
      <c r="AI302" s="1">
        <v>199212</v>
      </c>
      <c r="AJ302" s="1" t="s">
        <v>119</v>
      </c>
      <c r="AK302" s="1" t="str">
        <f t="shared" si="66"/>
        <v/>
      </c>
      <c r="AL302" t="b">
        <f t="shared" si="67"/>
        <v>1</v>
      </c>
      <c r="AM302" s="49" t="str">
        <f t="shared" si="68"/>
        <v>Q</v>
      </c>
      <c r="AP302" s="10" t="s">
        <v>327</v>
      </c>
      <c r="AS302" t="s">
        <v>119</v>
      </c>
      <c r="AT302" s="6" t="s">
        <v>327</v>
      </c>
      <c r="AU302" s="6" t="str">
        <f t="shared" si="69"/>
        <v/>
      </c>
      <c r="AV302" s="6" t="s">
        <v>104</v>
      </c>
      <c r="AW302" s="6" t="str">
        <f t="shared" si="70"/>
        <v/>
      </c>
    </row>
    <row r="303" spans="1:49" ht="60">
      <c r="A303" s="1">
        <v>199212</v>
      </c>
      <c r="B303" t="str">
        <f t="shared" si="58"/>
        <v>4D67CT86557-61</v>
      </c>
      <c r="C303" s="6" t="str">
        <f t="shared" si="59"/>
        <v>CATEGORY B: CHRONIC DISEASE SPECIALISTS</v>
      </c>
      <c r="D303" s="6" t="str">
        <f t="shared" si="60"/>
        <v>NAMI THERAPEUTICS CORP.</v>
      </c>
      <c r="E303">
        <f t="shared" si="61"/>
        <v>18035821</v>
      </c>
      <c r="F303" t="str">
        <f t="shared" si="62"/>
        <v>ACF</v>
      </c>
      <c r="G303" t="str">
        <f t="shared" si="63"/>
        <v>28-8723488</v>
      </c>
      <c r="H303">
        <f t="shared" ca="1" si="64"/>
        <v>2176969</v>
      </c>
      <c r="I303" t="str">
        <f t="shared" si="65"/>
        <v>Annual</v>
      </c>
      <c r="T303" s="53" t="s">
        <v>2113</v>
      </c>
      <c r="U303">
        <v>8146341</v>
      </c>
      <c r="V303" s="10" t="s">
        <v>1017</v>
      </c>
      <c r="W303" s="10" t="s">
        <v>1017</v>
      </c>
      <c r="Y303" s="1" t="s">
        <v>2127</v>
      </c>
      <c r="AI303" s="1">
        <v>199212</v>
      </c>
      <c r="AJ303" s="1" t="s">
        <v>119</v>
      </c>
      <c r="AK303" s="1" t="str">
        <f t="shared" si="66"/>
        <v/>
      </c>
      <c r="AL303" t="b">
        <f t="shared" si="67"/>
        <v>1</v>
      </c>
      <c r="AM303" s="49" t="str">
        <f t="shared" si="68"/>
        <v>Q</v>
      </c>
      <c r="AP303" s="10" t="s">
        <v>113</v>
      </c>
      <c r="AS303" t="s">
        <v>119</v>
      </c>
      <c r="AT303" s="6" t="s">
        <v>113</v>
      </c>
      <c r="AU303" s="6" t="str">
        <f t="shared" si="69"/>
        <v/>
      </c>
      <c r="AV303" s="6" t="s">
        <v>112</v>
      </c>
      <c r="AW303" s="6" t="str">
        <f t="shared" si="70"/>
        <v/>
      </c>
    </row>
    <row r="304" spans="1:49" ht="90">
      <c r="A304" s="1">
        <v>199301</v>
      </c>
      <c r="B304" t="str">
        <f t="shared" si="58"/>
        <v>5C36DS86556-87</v>
      </c>
      <c r="C304" s="6" t="str">
        <f t="shared" si="59"/>
        <v>THE HEALING WAYS PROJECT</v>
      </c>
      <c r="D304" s="6" t="str">
        <f t="shared" si="60"/>
        <v>NANGIOTX, INC.</v>
      </c>
      <c r="E304">
        <f t="shared" si="61"/>
        <v>18035821</v>
      </c>
      <c r="F304" t="str">
        <f t="shared" si="62"/>
        <v>CDC</v>
      </c>
      <c r="G304" t="str">
        <f t="shared" si="63"/>
        <v>28-8723489</v>
      </c>
      <c r="H304">
        <f t="shared" ca="1" si="64"/>
        <v>2881349</v>
      </c>
      <c r="I304" t="str">
        <f t="shared" si="65"/>
        <v>Annual</v>
      </c>
      <c r="T304" s="54" t="s">
        <v>1882</v>
      </c>
      <c r="U304">
        <v>8146341</v>
      </c>
      <c r="V304" s="10" t="s">
        <v>1023</v>
      </c>
      <c r="W304" s="10" t="s">
        <v>1023</v>
      </c>
      <c r="Y304" s="1" t="s">
        <v>2128</v>
      </c>
      <c r="AI304" s="1">
        <v>199301</v>
      </c>
      <c r="AJ304" s="1" t="s">
        <v>119</v>
      </c>
      <c r="AK304" s="1" t="str">
        <f t="shared" si="66"/>
        <v/>
      </c>
      <c r="AL304" t="b">
        <f t="shared" si="67"/>
        <v>1</v>
      </c>
      <c r="AM304" s="49" t="str">
        <f t="shared" si="68"/>
        <v>Q</v>
      </c>
      <c r="AP304" s="10" t="s">
        <v>97</v>
      </c>
      <c r="AS304" t="s">
        <v>119</v>
      </c>
      <c r="AT304" s="6" t="s">
        <v>97</v>
      </c>
      <c r="AU304" s="6" t="str">
        <f t="shared" si="69"/>
        <v/>
      </c>
      <c r="AV304" s="6" t="s">
        <v>96</v>
      </c>
      <c r="AW304" s="6" t="str">
        <f t="shared" si="70"/>
        <v/>
      </c>
    </row>
    <row r="305" spans="1:49" ht="75">
      <c r="A305" s="1">
        <v>199301</v>
      </c>
      <c r="B305" t="str">
        <f t="shared" si="58"/>
        <v>5C36DS86556-87</v>
      </c>
      <c r="C305" s="6" t="str">
        <f t="shared" si="59"/>
        <v>THE HEALING WAYS PROJECT</v>
      </c>
      <c r="D305" s="6" t="str">
        <f t="shared" si="60"/>
        <v>NANGIOTX, INC.</v>
      </c>
      <c r="E305">
        <f t="shared" si="61"/>
        <v>18035821</v>
      </c>
      <c r="F305" t="str">
        <f t="shared" si="62"/>
        <v>CDC</v>
      </c>
      <c r="G305" t="str">
        <f t="shared" si="63"/>
        <v>28-8723489</v>
      </c>
      <c r="H305">
        <f t="shared" ca="1" si="64"/>
        <v>2881349</v>
      </c>
      <c r="I305" t="str">
        <f t="shared" si="65"/>
        <v>Annual</v>
      </c>
      <c r="T305" s="53" t="s">
        <v>2113</v>
      </c>
      <c r="U305">
        <v>8146341</v>
      </c>
      <c r="V305" s="10" t="s">
        <v>1034</v>
      </c>
      <c r="W305" s="10" t="s">
        <v>1034</v>
      </c>
      <c r="Y305" s="1" t="s">
        <v>2129</v>
      </c>
      <c r="AI305" s="1">
        <v>199301</v>
      </c>
      <c r="AJ305" s="1" t="s">
        <v>119</v>
      </c>
      <c r="AK305" s="1" t="str">
        <f t="shared" si="66"/>
        <v/>
      </c>
      <c r="AL305" t="b">
        <f t="shared" si="67"/>
        <v>1</v>
      </c>
      <c r="AM305" s="49" t="str">
        <f t="shared" si="68"/>
        <v>Q</v>
      </c>
      <c r="AP305" s="10" t="s">
        <v>327</v>
      </c>
      <c r="AS305" t="s">
        <v>119</v>
      </c>
      <c r="AT305" s="6" t="s">
        <v>327</v>
      </c>
      <c r="AU305" s="6" t="str">
        <f t="shared" si="69"/>
        <v/>
      </c>
      <c r="AV305" s="6" t="s">
        <v>104</v>
      </c>
      <c r="AW305" s="6" t="str">
        <f t="shared" si="70"/>
        <v/>
      </c>
    </row>
    <row r="306" spans="1:49" ht="45">
      <c r="A306" s="1">
        <v>199301</v>
      </c>
      <c r="B306" t="str">
        <f t="shared" si="58"/>
        <v>5C36DS86556-87</v>
      </c>
      <c r="C306" s="6" t="str">
        <f t="shared" si="59"/>
        <v>THE HEALING WAYS PROJECT</v>
      </c>
      <c r="D306" s="6" t="str">
        <f t="shared" si="60"/>
        <v>NANGIOTX, INC.</v>
      </c>
      <c r="E306">
        <f t="shared" si="61"/>
        <v>18035821</v>
      </c>
      <c r="F306" t="str">
        <f t="shared" si="62"/>
        <v>CDC</v>
      </c>
      <c r="G306" t="str">
        <f t="shared" si="63"/>
        <v>28-8723489</v>
      </c>
      <c r="H306">
        <f t="shared" ca="1" si="64"/>
        <v>2881349</v>
      </c>
      <c r="I306" t="str">
        <f t="shared" si="65"/>
        <v>Annual</v>
      </c>
      <c r="T306" s="54" t="s">
        <v>1883</v>
      </c>
      <c r="U306">
        <v>6001923</v>
      </c>
      <c r="V306" s="10" t="s">
        <v>1042</v>
      </c>
      <c r="W306" s="10" t="s">
        <v>1042</v>
      </c>
      <c r="Y306" s="1" t="s">
        <v>2130</v>
      </c>
      <c r="AI306" s="1">
        <v>199301</v>
      </c>
      <c r="AJ306" s="1" t="s">
        <v>119</v>
      </c>
      <c r="AK306" s="1" t="str">
        <f t="shared" si="66"/>
        <v/>
      </c>
      <c r="AL306" t="b">
        <f t="shared" si="67"/>
        <v>1</v>
      </c>
      <c r="AM306" s="49" t="str">
        <f t="shared" si="68"/>
        <v>Q</v>
      </c>
      <c r="AP306" s="10" t="s">
        <v>113</v>
      </c>
      <c r="AS306" t="s">
        <v>119</v>
      </c>
      <c r="AT306" s="6" t="s">
        <v>113</v>
      </c>
      <c r="AU306" s="6" t="str">
        <f t="shared" si="69"/>
        <v/>
      </c>
      <c r="AV306" s="6" t="s">
        <v>112</v>
      </c>
      <c r="AW306" s="6" t="str">
        <f t="shared" si="70"/>
        <v/>
      </c>
    </row>
    <row r="307" spans="1:49" ht="90">
      <c r="A307" s="1">
        <v>200162</v>
      </c>
      <c r="B307" t="str">
        <f t="shared" si="58"/>
        <v>2C72ES77009-58</v>
      </c>
      <c r="C307" s="6" t="str">
        <f t="shared" si="59"/>
        <v>SAN DIEGO REACH</v>
      </c>
      <c r="D307" s="6" t="str">
        <f t="shared" si="60"/>
        <v>NANO BIOTHERAPEUTICS, INC.</v>
      </c>
      <c r="E307">
        <f t="shared" si="61"/>
        <v>32856585</v>
      </c>
      <c r="F307" t="str">
        <f t="shared" si="62"/>
        <v>NIH</v>
      </c>
      <c r="G307" t="str">
        <f t="shared" si="63"/>
        <v>28-8723490</v>
      </c>
      <c r="H307">
        <f t="shared" ca="1" si="64"/>
        <v>2244309</v>
      </c>
      <c r="I307" t="str">
        <f t="shared" si="65"/>
        <v>Annual</v>
      </c>
      <c r="T307" s="53" t="s">
        <v>1868</v>
      </c>
      <c r="U307">
        <v>6001923</v>
      </c>
      <c r="V307" s="10" t="s">
        <v>1046</v>
      </c>
      <c r="W307" s="10" t="s">
        <v>1046</v>
      </c>
      <c r="Y307" s="1" t="s">
        <v>2131</v>
      </c>
      <c r="AI307" s="1">
        <v>200162</v>
      </c>
      <c r="AJ307" s="1" t="s">
        <v>119</v>
      </c>
      <c r="AK307" s="1" t="str">
        <f t="shared" si="66"/>
        <v/>
      </c>
      <c r="AL307" t="b">
        <f t="shared" si="67"/>
        <v>1</v>
      </c>
      <c r="AM307" s="49" t="str">
        <f t="shared" si="68"/>
        <v>Q</v>
      </c>
      <c r="AP307" s="10" t="s">
        <v>97</v>
      </c>
      <c r="AS307" t="s">
        <v>119</v>
      </c>
      <c r="AT307" s="6" t="s">
        <v>97</v>
      </c>
      <c r="AU307" s="6" t="str">
        <f t="shared" si="69"/>
        <v/>
      </c>
      <c r="AV307" s="6" t="s">
        <v>96</v>
      </c>
      <c r="AW307" s="6" t="str">
        <f t="shared" si="70"/>
        <v/>
      </c>
    </row>
    <row r="308" spans="1:49" ht="75">
      <c r="A308" s="1">
        <v>200162</v>
      </c>
      <c r="B308" t="str">
        <f t="shared" si="58"/>
        <v>2C72ES77009-58</v>
      </c>
      <c r="C308" s="6" t="str">
        <f t="shared" si="59"/>
        <v>SAN DIEGO REACH</v>
      </c>
      <c r="D308" s="6" t="str">
        <f t="shared" si="60"/>
        <v>NANO BIOTHERAPEUTICS, INC.</v>
      </c>
      <c r="E308">
        <f t="shared" si="61"/>
        <v>32856585</v>
      </c>
      <c r="F308" t="str">
        <f t="shared" si="62"/>
        <v>NIH</v>
      </c>
      <c r="G308" t="str">
        <f t="shared" si="63"/>
        <v>28-8723490</v>
      </c>
      <c r="H308">
        <f t="shared" ca="1" si="64"/>
        <v>2244309</v>
      </c>
      <c r="I308" t="str">
        <f t="shared" si="65"/>
        <v>Annual</v>
      </c>
      <c r="T308" s="52" t="s">
        <v>2132</v>
      </c>
      <c r="U308">
        <v>6001923</v>
      </c>
      <c r="V308" s="10" t="s">
        <v>1052</v>
      </c>
      <c r="W308" s="10" t="s">
        <v>1052</v>
      </c>
      <c r="Y308" s="1" t="s">
        <v>2133</v>
      </c>
      <c r="AI308" s="1">
        <v>200162</v>
      </c>
      <c r="AJ308" s="1" t="s">
        <v>119</v>
      </c>
      <c r="AK308" s="1" t="str">
        <f t="shared" si="66"/>
        <v/>
      </c>
      <c r="AL308" t="b">
        <f t="shared" si="67"/>
        <v>1</v>
      </c>
      <c r="AM308" s="49" t="str">
        <f t="shared" si="68"/>
        <v>Q</v>
      </c>
      <c r="AP308" s="10" t="s">
        <v>327</v>
      </c>
      <c r="AS308" t="s">
        <v>119</v>
      </c>
      <c r="AT308" s="6" t="s">
        <v>327</v>
      </c>
      <c r="AU308" s="6" t="str">
        <f t="shared" si="69"/>
        <v/>
      </c>
      <c r="AV308" s="6" t="s">
        <v>104</v>
      </c>
      <c r="AW308" s="6" t="str">
        <f t="shared" si="70"/>
        <v/>
      </c>
    </row>
    <row r="309" spans="1:49" ht="45">
      <c r="A309" s="1">
        <v>200162</v>
      </c>
      <c r="B309" t="str">
        <f t="shared" si="58"/>
        <v>2C72ES77009-58</v>
      </c>
      <c r="C309" s="6" t="str">
        <f t="shared" si="59"/>
        <v>SAN DIEGO REACH</v>
      </c>
      <c r="D309" s="6" t="str">
        <f t="shared" si="60"/>
        <v>NANO BIOTHERAPEUTICS, INC.</v>
      </c>
      <c r="E309">
        <f t="shared" si="61"/>
        <v>32856585</v>
      </c>
      <c r="F309" t="str">
        <f t="shared" si="62"/>
        <v>NIH</v>
      </c>
      <c r="G309" t="str">
        <f t="shared" si="63"/>
        <v>28-8723490</v>
      </c>
      <c r="H309">
        <f t="shared" ca="1" si="64"/>
        <v>2244309</v>
      </c>
      <c r="I309" t="str">
        <f t="shared" si="65"/>
        <v>Annual</v>
      </c>
      <c r="T309" s="66" t="s">
        <v>2134</v>
      </c>
      <c r="U309">
        <v>6001923</v>
      </c>
      <c r="V309" s="10" t="s">
        <v>1058</v>
      </c>
      <c r="W309" s="10" t="s">
        <v>1058</v>
      </c>
      <c r="Y309" s="1" t="s">
        <v>2135</v>
      </c>
      <c r="AI309" s="1">
        <v>200162</v>
      </c>
      <c r="AJ309" s="1" t="s">
        <v>119</v>
      </c>
      <c r="AK309" s="1" t="str">
        <f t="shared" si="66"/>
        <v/>
      </c>
      <c r="AL309" t="b">
        <f t="shared" si="67"/>
        <v>1</v>
      </c>
      <c r="AM309" s="49" t="str">
        <f t="shared" si="68"/>
        <v>Q</v>
      </c>
      <c r="AP309" s="10" t="s">
        <v>113</v>
      </c>
      <c r="AS309" t="s">
        <v>119</v>
      </c>
      <c r="AT309" s="6" t="s">
        <v>113</v>
      </c>
      <c r="AU309" s="6" t="str">
        <f t="shared" si="69"/>
        <v/>
      </c>
      <c r="AV309" s="6" t="s">
        <v>112</v>
      </c>
      <c r="AW309" s="6" t="str">
        <f t="shared" si="70"/>
        <v/>
      </c>
    </row>
    <row r="310" spans="1:49" ht="135">
      <c r="A310" s="1">
        <v>200586</v>
      </c>
      <c r="B310" t="str">
        <f t="shared" si="58"/>
        <v>8B62BR85797-70</v>
      </c>
      <c r="C310" s="6" t="str">
        <f t="shared" si="59"/>
        <v>CONDUCT SCHOOL-BASED SURVEILLANCE VIA COMPONENT 1 AND PROVIDE SCHOOL-BASED HIV/STD PREVENTION VIA COMPONENT 2, WHICH INCLUDES SUPPORTS FOR STUDENTS, DISTRICT
STAFF, AND PARENTS.</v>
      </c>
      <c r="D310" s="6" t="str">
        <f t="shared" si="60"/>
        <v>NANOAFFIX SCIENCE, LLC</v>
      </c>
      <c r="E310">
        <f t="shared" si="61"/>
        <v>32856585</v>
      </c>
      <c r="F310" t="str">
        <f t="shared" si="62"/>
        <v>FDA</v>
      </c>
      <c r="G310" t="str">
        <f t="shared" si="63"/>
        <v>28-8723491</v>
      </c>
      <c r="H310">
        <f t="shared" ca="1" si="64"/>
        <v>2673902</v>
      </c>
      <c r="I310" t="str">
        <f t="shared" si="65"/>
        <v>Annual</v>
      </c>
      <c r="T310" s="54" t="s">
        <v>2136</v>
      </c>
      <c r="U310">
        <v>28131221</v>
      </c>
      <c r="V310" s="10" t="s">
        <v>1067</v>
      </c>
      <c r="W310" s="10" t="s">
        <v>1067</v>
      </c>
      <c r="Y310" s="1" t="s">
        <v>2137</v>
      </c>
      <c r="AI310" s="1">
        <v>200586</v>
      </c>
      <c r="AJ310" s="1" t="s">
        <v>119</v>
      </c>
      <c r="AK310" s="1" t="str">
        <f t="shared" si="66"/>
        <v/>
      </c>
      <c r="AL310" t="b">
        <f t="shared" si="67"/>
        <v>1</v>
      </c>
      <c r="AM310" s="49" t="str">
        <f t="shared" si="68"/>
        <v>Q</v>
      </c>
      <c r="AP310" s="10" t="s">
        <v>97</v>
      </c>
      <c r="AS310" t="s">
        <v>119</v>
      </c>
      <c r="AT310" s="6" t="s">
        <v>97</v>
      </c>
      <c r="AU310" s="6" t="str">
        <f t="shared" si="69"/>
        <v/>
      </c>
      <c r="AV310" s="6" t="s">
        <v>96</v>
      </c>
      <c r="AW310" s="6" t="str">
        <f t="shared" si="70"/>
        <v/>
      </c>
    </row>
    <row r="311" spans="1:49" ht="135">
      <c r="A311" s="1">
        <v>200586</v>
      </c>
      <c r="B311" t="str">
        <f t="shared" si="58"/>
        <v>8B62BR85797-70</v>
      </c>
      <c r="C311" s="6" t="str">
        <f t="shared" si="59"/>
        <v>CONDUCT SCHOOL-BASED SURVEILLANCE VIA COMPONENT 1 AND PROVIDE SCHOOL-BASED HIV/STD PREVENTION VIA COMPONENT 2, WHICH INCLUDES SUPPORTS FOR STUDENTS, DISTRICT
STAFF, AND PARENTS.</v>
      </c>
      <c r="D311" s="6" t="str">
        <f t="shared" si="60"/>
        <v>NANOAFFIX SCIENCE, LLC</v>
      </c>
      <c r="E311">
        <f t="shared" si="61"/>
        <v>32856585</v>
      </c>
      <c r="F311" t="str">
        <f t="shared" si="62"/>
        <v>FDA</v>
      </c>
      <c r="G311" t="str">
        <f t="shared" si="63"/>
        <v>28-8723491</v>
      </c>
      <c r="H311">
        <f t="shared" ca="1" si="64"/>
        <v>2673902</v>
      </c>
      <c r="I311" t="str">
        <f t="shared" si="65"/>
        <v>Annual</v>
      </c>
      <c r="T311" s="50" t="s">
        <v>2138</v>
      </c>
      <c r="U311">
        <v>28131221</v>
      </c>
      <c r="V311" s="10" t="s">
        <v>1072</v>
      </c>
      <c r="W311" s="10" t="s">
        <v>1072</v>
      </c>
      <c r="Y311" s="1" t="s">
        <v>2139</v>
      </c>
      <c r="AI311" s="1">
        <v>200586</v>
      </c>
      <c r="AJ311" s="1" t="s">
        <v>119</v>
      </c>
      <c r="AK311" s="1" t="str">
        <f t="shared" si="66"/>
        <v/>
      </c>
      <c r="AL311" t="b">
        <f t="shared" si="67"/>
        <v>1</v>
      </c>
      <c r="AM311" s="49" t="str">
        <f t="shared" si="68"/>
        <v>Q</v>
      </c>
      <c r="AP311" s="10" t="s">
        <v>327</v>
      </c>
      <c r="AS311" t="s">
        <v>119</v>
      </c>
      <c r="AT311" s="6" t="s">
        <v>327</v>
      </c>
      <c r="AU311" s="6" t="str">
        <f t="shared" si="69"/>
        <v/>
      </c>
      <c r="AV311" s="6" t="s">
        <v>104</v>
      </c>
      <c r="AW311" s="6" t="str">
        <f t="shared" si="70"/>
        <v/>
      </c>
    </row>
    <row r="312" spans="1:49" ht="135">
      <c r="A312" s="1">
        <v>200586</v>
      </c>
      <c r="B312" t="str">
        <f t="shared" si="58"/>
        <v>8B62BR85797-70</v>
      </c>
      <c r="C312" s="6" t="str">
        <f t="shared" si="59"/>
        <v>CONDUCT SCHOOL-BASED SURVEILLANCE VIA COMPONENT 1 AND PROVIDE SCHOOL-BASED HIV/STD PREVENTION VIA COMPONENT 2, WHICH INCLUDES SUPPORTS FOR STUDENTS, DISTRICT
STAFF, AND PARENTS.</v>
      </c>
      <c r="D312" s="6" t="str">
        <f t="shared" si="60"/>
        <v>NANOAFFIX SCIENCE, LLC</v>
      </c>
      <c r="E312">
        <f t="shared" si="61"/>
        <v>32856585</v>
      </c>
      <c r="F312" t="str">
        <f t="shared" si="62"/>
        <v>FDA</v>
      </c>
      <c r="G312" t="str">
        <f t="shared" si="63"/>
        <v>28-8723491</v>
      </c>
      <c r="H312">
        <f t="shared" ca="1" si="64"/>
        <v>2673902</v>
      </c>
      <c r="I312" t="str">
        <f t="shared" si="65"/>
        <v>Annual</v>
      </c>
      <c r="T312" s="57" t="s">
        <v>2140</v>
      </c>
      <c r="U312">
        <v>28131221</v>
      </c>
      <c r="V312" s="10" t="s">
        <v>1081</v>
      </c>
      <c r="W312" s="10" t="s">
        <v>1081</v>
      </c>
      <c r="Y312" s="1" t="s">
        <v>2141</v>
      </c>
      <c r="AI312" s="1">
        <v>200586</v>
      </c>
      <c r="AJ312" s="1" t="s">
        <v>119</v>
      </c>
      <c r="AK312" s="1" t="str">
        <f t="shared" si="66"/>
        <v/>
      </c>
      <c r="AL312" t="b">
        <f t="shared" si="67"/>
        <v>1</v>
      </c>
      <c r="AM312" s="49" t="str">
        <f t="shared" si="68"/>
        <v>Q</v>
      </c>
      <c r="AP312" s="10" t="s">
        <v>113</v>
      </c>
      <c r="AS312" t="s">
        <v>119</v>
      </c>
      <c r="AT312" s="6" t="s">
        <v>113</v>
      </c>
      <c r="AU312" s="6" t="str">
        <f t="shared" si="69"/>
        <v/>
      </c>
      <c r="AV312" s="6" t="s">
        <v>112</v>
      </c>
      <c r="AW312" s="6" t="str">
        <f t="shared" si="70"/>
        <v/>
      </c>
    </row>
    <row r="313" spans="1:49" ht="105">
      <c r="A313" s="1">
        <v>200958</v>
      </c>
      <c r="B313" t="str">
        <f t="shared" si="58"/>
        <v>3C83AS84549-70</v>
      </c>
      <c r="C313" s="6" t="str">
        <f t="shared" si="59"/>
        <v>SAN FRANCISCO UNIFIED SCHOOL DISTRICT (SFUSD) IS SUBMITTING A GRANT APPLICATION FOR THE NOFO PROMOTING ADOLESCENT
HEALTH THROUGH SCHOOL-BASED HIV PREVENTION</v>
      </c>
      <c r="D313" s="6" t="str">
        <f t="shared" si="60"/>
        <v>NANOBIO CORPORATION</v>
      </c>
      <c r="E313">
        <f t="shared" si="61"/>
        <v>7820794</v>
      </c>
      <c r="F313" t="str">
        <f t="shared" si="62"/>
        <v>ACF</v>
      </c>
      <c r="G313" t="str">
        <f t="shared" si="63"/>
        <v>28-8723492</v>
      </c>
      <c r="H313">
        <f t="shared" ca="1" si="64"/>
        <v>2881989</v>
      </c>
      <c r="I313" t="str">
        <f t="shared" si="65"/>
        <v>Annual</v>
      </c>
      <c r="T313" s="54" t="s">
        <v>1883</v>
      </c>
      <c r="U313">
        <v>28131221</v>
      </c>
      <c r="V313" s="10" t="s">
        <v>1085</v>
      </c>
      <c r="W313" s="10" t="s">
        <v>1085</v>
      </c>
      <c r="Y313" s="1" t="s">
        <v>2142</v>
      </c>
      <c r="AI313" s="1">
        <v>200958</v>
      </c>
      <c r="AJ313" s="1" t="s">
        <v>119</v>
      </c>
      <c r="AK313" s="1" t="str">
        <f t="shared" si="66"/>
        <v/>
      </c>
      <c r="AL313" t="b">
        <f t="shared" si="67"/>
        <v>1</v>
      </c>
      <c r="AM313" s="49" t="str">
        <f t="shared" si="68"/>
        <v>Q</v>
      </c>
      <c r="AP313" s="10" t="s">
        <v>97</v>
      </c>
      <c r="AS313" t="s">
        <v>119</v>
      </c>
      <c r="AT313" s="6" t="s">
        <v>97</v>
      </c>
      <c r="AU313" s="6" t="str">
        <f t="shared" si="69"/>
        <v/>
      </c>
      <c r="AV313" s="6" t="s">
        <v>96</v>
      </c>
      <c r="AW313" s="6" t="str">
        <f t="shared" si="70"/>
        <v/>
      </c>
    </row>
    <row r="314" spans="1:49" ht="105">
      <c r="A314" s="1">
        <v>200958</v>
      </c>
      <c r="B314" t="str">
        <f t="shared" si="58"/>
        <v>3C83AS84549-70</v>
      </c>
      <c r="C314" s="6" t="str">
        <f t="shared" si="59"/>
        <v>SAN FRANCISCO UNIFIED SCHOOL DISTRICT (SFUSD) IS SUBMITTING A GRANT APPLICATION FOR THE NOFO PROMOTING ADOLESCENT
HEALTH THROUGH SCHOOL-BASED HIV PREVENTION</v>
      </c>
      <c r="D314" s="6" t="str">
        <f t="shared" si="60"/>
        <v>NANOBIO CORPORATION</v>
      </c>
      <c r="E314">
        <f t="shared" si="61"/>
        <v>7820794</v>
      </c>
      <c r="F314" t="str">
        <f t="shared" si="62"/>
        <v>ACF</v>
      </c>
      <c r="G314" t="str">
        <f t="shared" si="63"/>
        <v>28-8723492</v>
      </c>
      <c r="H314">
        <f t="shared" ca="1" si="64"/>
        <v>2881989</v>
      </c>
      <c r="I314" t="str">
        <f t="shared" si="65"/>
        <v>Annual</v>
      </c>
      <c r="T314" s="66" t="s">
        <v>2143</v>
      </c>
      <c r="U314">
        <v>312082</v>
      </c>
      <c r="V314" s="10" t="s">
        <v>1099</v>
      </c>
      <c r="W314" s="10" t="s">
        <v>1099</v>
      </c>
      <c r="Y314" s="1" t="s">
        <v>2144</v>
      </c>
      <c r="AI314" s="1">
        <v>200958</v>
      </c>
      <c r="AJ314" s="1" t="s">
        <v>119</v>
      </c>
      <c r="AK314" s="1" t="str">
        <f t="shared" si="66"/>
        <v/>
      </c>
      <c r="AL314" t="b">
        <f t="shared" si="67"/>
        <v>1</v>
      </c>
      <c r="AM314" s="49" t="str">
        <f t="shared" si="68"/>
        <v>Q</v>
      </c>
      <c r="AP314" s="10" t="s">
        <v>327</v>
      </c>
      <c r="AS314" t="s">
        <v>119</v>
      </c>
      <c r="AT314" s="6" t="s">
        <v>327</v>
      </c>
      <c r="AU314" s="6" t="str">
        <f t="shared" si="69"/>
        <v/>
      </c>
      <c r="AV314" s="6" t="s">
        <v>104</v>
      </c>
      <c r="AW314" s="6" t="str">
        <f t="shared" si="70"/>
        <v/>
      </c>
    </row>
    <row r="315" spans="1:49" ht="105">
      <c r="A315" s="1">
        <v>200958</v>
      </c>
      <c r="B315" t="str">
        <f t="shared" si="58"/>
        <v>3C83AS84549-70</v>
      </c>
      <c r="C315" s="6" t="str">
        <f t="shared" si="59"/>
        <v>SAN FRANCISCO UNIFIED SCHOOL DISTRICT (SFUSD) IS SUBMITTING A GRANT APPLICATION FOR THE NOFO PROMOTING ADOLESCENT
HEALTH THROUGH SCHOOL-BASED HIV PREVENTION</v>
      </c>
      <c r="D315" s="6" t="str">
        <f t="shared" si="60"/>
        <v>NANOBIO CORPORATION</v>
      </c>
      <c r="E315">
        <f t="shared" si="61"/>
        <v>7820794</v>
      </c>
      <c r="F315" t="str">
        <f t="shared" si="62"/>
        <v>ACF</v>
      </c>
      <c r="G315" t="str">
        <f t="shared" si="63"/>
        <v>28-8723492</v>
      </c>
      <c r="H315">
        <f t="shared" ca="1" si="64"/>
        <v>2881989</v>
      </c>
      <c r="I315" t="str">
        <f t="shared" si="65"/>
        <v>Annual</v>
      </c>
      <c r="T315" s="54" t="s">
        <v>2145</v>
      </c>
      <c r="U315">
        <v>312082</v>
      </c>
      <c r="V315" s="10" t="s">
        <v>1103</v>
      </c>
      <c r="W315" s="10" t="s">
        <v>1103</v>
      </c>
      <c r="Y315" s="1" t="s">
        <v>2146</v>
      </c>
      <c r="AI315" s="1">
        <v>200958</v>
      </c>
      <c r="AJ315" s="1" t="s">
        <v>119</v>
      </c>
      <c r="AK315" s="1" t="str">
        <f t="shared" si="66"/>
        <v/>
      </c>
      <c r="AL315" t="b">
        <f t="shared" si="67"/>
        <v>1</v>
      </c>
      <c r="AM315" s="49" t="str">
        <f t="shared" si="68"/>
        <v>Q</v>
      </c>
      <c r="AP315" s="10"/>
      <c r="AS315" t="s">
        <v>119</v>
      </c>
      <c r="AT315" s="6" t="s">
        <v>812</v>
      </c>
      <c r="AU315" s="6" t="str">
        <f t="shared" si="69"/>
        <v/>
      </c>
      <c r="AV315" s="6" t="s">
        <v>811</v>
      </c>
      <c r="AW315" s="6" t="str">
        <f t="shared" si="70"/>
        <v/>
      </c>
    </row>
    <row r="316" spans="1:49" ht="105">
      <c r="A316" s="1">
        <v>200958</v>
      </c>
      <c r="B316" t="str">
        <f t="shared" si="58"/>
        <v>3C83AS84549-70</v>
      </c>
      <c r="C316" s="6" t="str">
        <f t="shared" si="59"/>
        <v>SAN FRANCISCO UNIFIED SCHOOL DISTRICT (SFUSD) IS SUBMITTING A GRANT APPLICATION FOR THE NOFO PROMOTING ADOLESCENT
HEALTH THROUGH SCHOOL-BASED HIV PREVENTION</v>
      </c>
      <c r="D316" s="6" t="str">
        <f t="shared" si="60"/>
        <v>NANOBIO CORPORATION</v>
      </c>
      <c r="E316">
        <f t="shared" si="61"/>
        <v>7820794</v>
      </c>
      <c r="F316" t="str">
        <f t="shared" si="62"/>
        <v>ACF</v>
      </c>
      <c r="G316" t="str">
        <f t="shared" si="63"/>
        <v>28-8723492</v>
      </c>
      <c r="H316">
        <f t="shared" ca="1" si="64"/>
        <v>2881989</v>
      </c>
      <c r="I316" t="str">
        <f t="shared" si="65"/>
        <v>Annual</v>
      </c>
      <c r="T316" s="65" t="s">
        <v>2147</v>
      </c>
      <c r="U316">
        <v>312082</v>
      </c>
      <c r="V316" s="10" t="s">
        <v>1108</v>
      </c>
      <c r="W316" s="10" t="s">
        <v>1108</v>
      </c>
      <c r="Y316" s="1" t="s">
        <v>2148</v>
      </c>
      <c r="AI316" s="1">
        <v>200958</v>
      </c>
      <c r="AJ316" s="1" t="s">
        <v>119</v>
      </c>
      <c r="AK316" s="1" t="str">
        <f t="shared" si="66"/>
        <v/>
      </c>
      <c r="AL316" t="b">
        <f t="shared" si="67"/>
        <v>1</v>
      </c>
      <c r="AM316" s="49" t="str">
        <f t="shared" si="68"/>
        <v>Q</v>
      </c>
      <c r="AP316" s="10"/>
      <c r="AS316" t="s">
        <v>119</v>
      </c>
      <c r="AT316" s="6" t="s">
        <v>812</v>
      </c>
      <c r="AU316" s="6" t="str">
        <f t="shared" si="69"/>
        <v/>
      </c>
      <c r="AV316" s="6" t="s">
        <v>811</v>
      </c>
      <c r="AW316" s="6" t="str">
        <f t="shared" si="70"/>
        <v/>
      </c>
    </row>
    <row r="317" spans="1:49" ht="105">
      <c r="A317" s="1">
        <v>200958</v>
      </c>
      <c r="B317" t="str">
        <f t="shared" si="58"/>
        <v>3C83AS84549-70</v>
      </c>
      <c r="C317" s="6" t="str">
        <f t="shared" si="59"/>
        <v>SAN FRANCISCO UNIFIED SCHOOL DISTRICT (SFUSD) IS SUBMITTING A GRANT APPLICATION FOR THE NOFO PROMOTING ADOLESCENT
HEALTH THROUGH SCHOOL-BASED HIV PREVENTION</v>
      </c>
      <c r="D317" s="6" t="str">
        <f t="shared" si="60"/>
        <v>NANOBIO CORPORATION</v>
      </c>
      <c r="E317">
        <f t="shared" si="61"/>
        <v>7820794</v>
      </c>
      <c r="F317" t="str">
        <f t="shared" si="62"/>
        <v>ACF</v>
      </c>
      <c r="G317" t="str">
        <f t="shared" si="63"/>
        <v>28-8723492</v>
      </c>
      <c r="H317">
        <f t="shared" ca="1" si="64"/>
        <v>2881989</v>
      </c>
      <c r="I317" t="str">
        <f t="shared" si="65"/>
        <v>Annual</v>
      </c>
      <c r="T317" s="52" t="s">
        <v>2149</v>
      </c>
      <c r="U317">
        <v>312082</v>
      </c>
      <c r="V317" s="10" t="s">
        <v>1118</v>
      </c>
      <c r="W317" s="10" t="s">
        <v>1118</v>
      </c>
      <c r="Y317" s="1" t="s">
        <v>2150</v>
      </c>
      <c r="AI317" s="1">
        <v>200958</v>
      </c>
      <c r="AJ317" s="1" t="s">
        <v>119</v>
      </c>
      <c r="AK317" s="1" t="str">
        <f t="shared" si="66"/>
        <v/>
      </c>
      <c r="AL317" t="b">
        <f t="shared" si="67"/>
        <v>1</v>
      </c>
      <c r="AM317" s="49" t="str">
        <f t="shared" si="68"/>
        <v>Q</v>
      </c>
      <c r="AP317" s="10" t="s">
        <v>97</v>
      </c>
      <c r="AS317" t="s">
        <v>119</v>
      </c>
      <c r="AT317" s="6" t="s">
        <v>97</v>
      </c>
      <c r="AU317" s="6" t="str">
        <f t="shared" si="69"/>
        <v/>
      </c>
      <c r="AV317" s="6" t="s">
        <v>96</v>
      </c>
      <c r="AW317" s="6" t="str">
        <f t="shared" si="70"/>
        <v/>
      </c>
    </row>
    <row r="318" spans="1:49" ht="165">
      <c r="A318" s="1">
        <v>201435</v>
      </c>
      <c r="B318" t="str">
        <f t="shared" si="58"/>
        <v>8D88HT84703-15</v>
      </c>
      <c r="C318" s="6" t="str">
        <f t="shared" si="59"/>
        <v>IMPLEMENTATION OF TRIBAL PRACTICES AND CULTURAL TRADITIONS TO REDUCE HEALTH RISK FACTORS AND STRENGTHEN COMMUNITY HEALTH
AND WELLNESS</v>
      </c>
      <c r="D318" s="6" t="str">
        <f t="shared" si="60"/>
        <v>NANOCELLECT BIOMEDICAL, INC.</v>
      </c>
      <c r="E318">
        <f t="shared" si="61"/>
        <v>22034561</v>
      </c>
      <c r="F318" t="str">
        <f t="shared" si="62"/>
        <v>CDC</v>
      </c>
      <c r="G318" t="str">
        <f t="shared" si="63"/>
        <v>28-8723493</v>
      </c>
      <c r="H318">
        <f t="shared" ca="1" si="64"/>
        <v>2762593</v>
      </c>
      <c r="I318" t="str">
        <f t="shared" si="65"/>
        <v>Annual</v>
      </c>
      <c r="T318" s="54" t="s">
        <v>2145</v>
      </c>
      <c r="U318">
        <v>4636778</v>
      </c>
      <c r="V318" s="10" t="s">
        <v>1122</v>
      </c>
      <c r="W318" s="10" t="s">
        <v>1122</v>
      </c>
      <c r="Y318" s="1" t="s">
        <v>2151</v>
      </c>
      <c r="AI318" s="1">
        <v>201435</v>
      </c>
      <c r="AJ318" s="1" t="s">
        <v>85</v>
      </c>
      <c r="AK318" s="1" t="str">
        <f t="shared" si="66"/>
        <v/>
      </c>
      <c r="AL318" t="b">
        <f t="shared" si="67"/>
        <v>0</v>
      </c>
      <c r="AM318" s="49" t="str">
        <f t="shared" si="68"/>
        <v>Q</v>
      </c>
      <c r="AP318" s="10" t="s">
        <v>97</v>
      </c>
      <c r="AS318" t="s">
        <v>45</v>
      </c>
      <c r="AT318" s="6" t="s">
        <v>97</v>
      </c>
      <c r="AU318" s="6" t="str">
        <f t="shared" si="69"/>
        <v>The errors in accounting will be corrected. The accounting policy suggested will be followed. The financials will be recalculated based on the revised accounting policies and submitted.</v>
      </c>
      <c r="AV318" s="6" t="s">
        <v>96</v>
      </c>
      <c r="AW318" s="6" t="str">
        <f t="shared" si="70"/>
        <v>Change in accounting practice</v>
      </c>
    </row>
    <row r="319" spans="1:49" ht="135">
      <c r="A319" s="1">
        <v>201435</v>
      </c>
      <c r="B319" t="str">
        <f t="shared" si="58"/>
        <v>8D88HT84703-15</v>
      </c>
      <c r="C319" s="6" t="str">
        <f t="shared" si="59"/>
        <v>IMPLEMENTATION OF TRIBAL PRACTICES AND CULTURAL TRADITIONS TO REDUCE HEALTH RISK FACTORS AND STRENGTHEN COMMUNITY HEALTH
AND WELLNESS</v>
      </c>
      <c r="D319" s="6" t="str">
        <f t="shared" si="60"/>
        <v>NANOCELLECT BIOMEDICAL, INC.</v>
      </c>
      <c r="E319">
        <f t="shared" si="61"/>
        <v>22034561</v>
      </c>
      <c r="F319" t="str">
        <f t="shared" si="62"/>
        <v>CDC</v>
      </c>
      <c r="G319" t="str">
        <f t="shared" si="63"/>
        <v>28-8723493</v>
      </c>
      <c r="H319">
        <f t="shared" ca="1" si="64"/>
        <v>2762593</v>
      </c>
      <c r="I319" t="str">
        <f t="shared" si="65"/>
        <v>Annual</v>
      </c>
      <c r="T319" s="52" t="s">
        <v>2149</v>
      </c>
      <c r="U319">
        <v>4636778</v>
      </c>
      <c r="V319" s="10" t="s">
        <v>1133</v>
      </c>
      <c r="W319" s="10" t="s">
        <v>1133</v>
      </c>
      <c r="Y319" s="1" t="s">
        <v>2152</v>
      </c>
      <c r="AI319" s="1">
        <v>201435</v>
      </c>
      <c r="AJ319" s="1" t="s">
        <v>85</v>
      </c>
      <c r="AK319" s="1" t="str">
        <f t="shared" si="66"/>
        <v/>
      </c>
      <c r="AL319" t="b">
        <f t="shared" si="67"/>
        <v>0</v>
      </c>
      <c r="AM319" s="49" t="str">
        <f t="shared" si="68"/>
        <v>Q</v>
      </c>
      <c r="AP319" s="10" t="s">
        <v>327</v>
      </c>
      <c r="AS319" t="s">
        <v>45</v>
      </c>
      <c r="AT319" s="6" t="s">
        <v>327</v>
      </c>
      <c r="AU319" s="6" t="str">
        <f t="shared" si="69"/>
        <v>Cost rate will be followed. The revised rate will be applied from the last audit period and the expenditure recalculated and submitted.</v>
      </c>
      <c r="AV319" s="6" t="s">
        <v>104</v>
      </c>
      <c r="AW319" s="6" t="str">
        <f t="shared" si="70"/>
        <v>Cost rate Corrections</v>
      </c>
    </row>
    <row r="320" spans="1:49" ht="105">
      <c r="A320" s="1">
        <v>201435</v>
      </c>
      <c r="B320" t="str">
        <f t="shared" si="58"/>
        <v>8D88HT84703-15</v>
      </c>
      <c r="C320" s="6" t="str">
        <f t="shared" si="59"/>
        <v>IMPLEMENTATION OF TRIBAL PRACTICES AND CULTURAL TRADITIONS TO REDUCE HEALTH RISK FACTORS AND STRENGTHEN COMMUNITY HEALTH
AND WELLNESS</v>
      </c>
      <c r="D320" s="6" t="str">
        <f t="shared" si="60"/>
        <v>NANOCELLECT BIOMEDICAL, INC.</v>
      </c>
      <c r="E320">
        <f t="shared" si="61"/>
        <v>22034561</v>
      </c>
      <c r="F320" t="str">
        <f t="shared" si="62"/>
        <v>CDC</v>
      </c>
      <c r="G320" t="str">
        <f t="shared" si="63"/>
        <v>28-8723493</v>
      </c>
      <c r="H320">
        <f t="shared" ca="1" si="64"/>
        <v>2762593</v>
      </c>
      <c r="I320" t="str">
        <f t="shared" si="65"/>
        <v>Annual</v>
      </c>
      <c r="T320" s="66" t="s">
        <v>2143</v>
      </c>
      <c r="U320">
        <v>28142664</v>
      </c>
      <c r="V320" s="10" t="s">
        <v>1139</v>
      </c>
      <c r="W320" s="10" t="s">
        <v>1139</v>
      </c>
      <c r="Y320" s="1" t="s">
        <v>2153</v>
      </c>
      <c r="AI320" s="1">
        <v>201435</v>
      </c>
      <c r="AJ320" s="1" t="s">
        <v>85</v>
      </c>
      <c r="AK320" s="1" t="str">
        <f t="shared" si="66"/>
        <v/>
      </c>
      <c r="AL320" t="b">
        <f t="shared" si="67"/>
        <v>0</v>
      </c>
      <c r="AM320" s="49" t="str">
        <f t="shared" si="68"/>
        <v>Q</v>
      </c>
      <c r="AP320" s="10" t="s">
        <v>113</v>
      </c>
      <c r="AS320" t="s">
        <v>45</v>
      </c>
      <c r="AT320" s="6" t="s">
        <v>113</v>
      </c>
      <c r="AU320" s="6" t="str">
        <f t="shared" si="69"/>
        <v>Loan accounts will be reviewed and appropriate amendments will be made and submitted</v>
      </c>
      <c r="AV320" s="6" t="s">
        <v>112</v>
      </c>
      <c r="AW320" s="6" t="str">
        <f t="shared" si="70"/>
        <v>Loan accountsrecalculation</v>
      </c>
    </row>
    <row r="321" spans="1:49" ht="90">
      <c r="A321" s="1">
        <v>201499</v>
      </c>
      <c r="B321" t="str">
        <f t="shared" si="58"/>
        <v>9B18AR86185-73</v>
      </c>
      <c r="C321" s="6" t="str">
        <f t="shared" si="59"/>
        <v>TRIBAL PRACTICES FOR WELLNESS IN INDIAN COUNTRY</v>
      </c>
      <c r="D321" s="6" t="str">
        <f t="shared" si="60"/>
        <v>NANOCOMPOSIX, INC.</v>
      </c>
      <c r="E321">
        <f t="shared" si="61"/>
        <v>23541017</v>
      </c>
      <c r="F321" t="str">
        <f t="shared" si="62"/>
        <v>NIH</v>
      </c>
      <c r="G321" t="str">
        <f t="shared" si="63"/>
        <v>28-8723494</v>
      </c>
      <c r="H321">
        <f t="shared" ca="1" si="64"/>
        <v>2364340</v>
      </c>
      <c r="I321" t="str">
        <f t="shared" si="65"/>
        <v>Annual</v>
      </c>
      <c r="T321" s="61" t="s">
        <v>2022</v>
      </c>
      <c r="U321">
        <v>28142664</v>
      </c>
      <c r="V321" s="10" t="s">
        <v>1145</v>
      </c>
      <c r="W321" s="10" t="s">
        <v>1145</v>
      </c>
      <c r="Y321" s="1" t="s">
        <v>2154</v>
      </c>
      <c r="AI321" s="1">
        <v>201499</v>
      </c>
      <c r="AJ321" s="1" t="s">
        <v>119</v>
      </c>
      <c r="AK321" s="1" t="str">
        <f t="shared" si="66"/>
        <v/>
      </c>
      <c r="AL321" t="b">
        <f t="shared" si="67"/>
        <v>1</v>
      </c>
      <c r="AM321" s="49" t="str">
        <f t="shared" si="68"/>
        <v>Q</v>
      </c>
      <c r="AP321" s="10" t="s">
        <v>97</v>
      </c>
      <c r="AS321" t="s">
        <v>119</v>
      </c>
      <c r="AT321" s="6" t="s">
        <v>97</v>
      </c>
      <c r="AU321" s="6" t="str">
        <f t="shared" si="69"/>
        <v/>
      </c>
      <c r="AV321" s="6" t="s">
        <v>96</v>
      </c>
      <c r="AW321" s="6" t="str">
        <f t="shared" si="70"/>
        <v/>
      </c>
    </row>
    <row r="322" spans="1:49" ht="75">
      <c r="A322" s="1">
        <v>201499</v>
      </c>
      <c r="B322" t="str">
        <f t="shared" si="58"/>
        <v>9B18AR86185-73</v>
      </c>
      <c r="C322" s="6" t="str">
        <f t="shared" si="59"/>
        <v>TRIBAL PRACTICES FOR WELLNESS IN INDIAN COUNTRY</v>
      </c>
      <c r="D322" s="6" t="str">
        <f t="shared" si="60"/>
        <v>NANOCOMPOSIX, INC.</v>
      </c>
      <c r="E322">
        <f t="shared" si="61"/>
        <v>23541017</v>
      </c>
      <c r="F322" t="str">
        <f t="shared" si="62"/>
        <v>NIH</v>
      </c>
      <c r="G322" t="str">
        <f t="shared" si="63"/>
        <v>28-8723494</v>
      </c>
      <c r="H322">
        <f t="shared" ca="1" si="64"/>
        <v>2364340</v>
      </c>
      <c r="I322" t="str">
        <f t="shared" si="65"/>
        <v>Annual</v>
      </c>
      <c r="T322" s="54" t="s">
        <v>1882</v>
      </c>
      <c r="U322">
        <v>28142664</v>
      </c>
      <c r="V322" s="10" t="s">
        <v>1150</v>
      </c>
      <c r="W322" s="10" t="s">
        <v>1150</v>
      </c>
      <c r="Y322" s="1" t="s">
        <v>2155</v>
      </c>
      <c r="AI322" s="1">
        <v>201499</v>
      </c>
      <c r="AJ322" s="1" t="s">
        <v>119</v>
      </c>
      <c r="AK322" s="1" t="str">
        <f t="shared" si="66"/>
        <v/>
      </c>
      <c r="AL322" t="b">
        <f t="shared" si="67"/>
        <v>1</v>
      </c>
      <c r="AM322" s="49" t="str">
        <f t="shared" si="68"/>
        <v>Q</v>
      </c>
      <c r="AP322" s="10" t="s">
        <v>327</v>
      </c>
      <c r="AS322" t="s">
        <v>119</v>
      </c>
      <c r="AT322" s="6" t="s">
        <v>327</v>
      </c>
      <c r="AU322" s="6" t="str">
        <f t="shared" si="69"/>
        <v/>
      </c>
      <c r="AV322" s="6" t="s">
        <v>104</v>
      </c>
      <c r="AW322" s="6" t="str">
        <f t="shared" si="70"/>
        <v/>
      </c>
    </row>
    <row r="323" spans="1:49" ht="90">
      <c r="A323" s="1">
        <v>201667</v>
      </c>
      <c r="B323" t="str">
        <f t="shared" ref="B323:B386" si="71">VLOOKUP(A323,$N$2:$Q$206,4,FALSE)</f>
        <v>2C33GS86640-76</v>
      </c>
      <c r="C323" s="6" t="str">
        <f t="shared" ref="C323:C386" si="72">VLOOKUP(A323,$N$2:$T$206,7,FALSE)</f>
        <v>CALIFORNIA PREGNANCY ASSOCIATED MORTALITY REVIEW: A DEEPER LOOK AT MATERNAL DEATHS</v>
      </c>
      <c r="D323" s="6" t="str">
        <f t="shared" ref="D323:D386" si="73">VLOOKUP(A323,$N$2:$W$206,10,FALSE)</f>
        <v>NANOENGINEERING CORPORATION</v>
      </c>
      <c r="E323">
        <f t="shared" ref="E323:E386" si="74">VLOOKUP(A323,$N$2:$U$206,8,FALSE)</f>
        <v>23541017</v>
      </c>
      <c r="F323" t="str">
        <f t="shared" ref="F323:F386" si="75">VLOOKUP(A323,$N$2:$X$206,11,FALSE)</f>
        <v>FDA</v>
      </c>
      <c r="G323" t="str">
        <f t="shared" ref="G323:G386" si="76">VLOOKUP(A323,$N$2:$Y$206,12,FALSE)</f>
        <v>28-8723495</v>
      </c>
      <c r="H323">
        <f t="shared" ref="H323:H386" ca="1" si="77">VLOOKUP(A323,$N$2:$AA$206,14,FALSE)</f>
        <v>2538125</v>
      </c>
      <c r="I323" t="str">
        <f t="shared" ref="I323:I386" si="78">VLOOKUP(A323,$N$2:$AB$206,15,FALSE)</f>
        <v>Annual</v>
      </c>
      <c r="T323" s="53" t="s">
        <v>2113</v>
      </c>
      <c r="U323">
        <v>26962349</v>
      </c>
      <c r="V323" s="10" t="s">
        <v>1154</v>
      </c>
      <c r="W323" s="10" t="s">
        <v>1154</v>
      </c>
      <c r="Y323" s="1" t="s">
        <v>2156</v>
      </c>
      <c r="AI323" s="1">
        <v>201667</v>
      </c>
      <c r="AJ323" s="1" t="s">
        <v>119</v>
      </c>
      <c r="AK323" s="1" t="str">
        <f t="shared" ref="AK323:AK386" si="79">IF(ISNUMBER(SEARCH("C",AJ323)),"Y","")</f>
        <v/>
      </c>
      <c r="AL323" t="b">
        <f t="shared" ref="AL323:AL386" si="80">OR(LEN(AJ323)=0, ISBLANK(AJ323))</f>
        <v>1</v>
      </c>
      <c r="AM323" s="49" t="str">
        <f t="shared" ref="AM323:AM386" si="81">IF(ISNUMBER(SEARCH("C",AJ323)),"A",IF(ISNUMBER(SEARCH("B",AJ323)),"Q",IF(ISNUMBER(SEARCH("FALSE",AL323)),"Q","Q")))</f>
        <v>Q</v>
      </c>
      <c r="AP323" s="10" t="s">
        <v>97</v>
      </c>
      <c r="AS323" t="s">
        <v>119</v>
      </c>
      <c r="AT323" s="6" t="s">
        <v>97</v>
      </c>
      <c r="AU323" s="6" t="str">
        <f t="shared" ref="AU323:AU386" si="82">IF(LEN(AS323)&gt;0, AT323,"")</f>
        <v/>
      </c>
      <c r="AV323" s="6" t="s">
        <v>96</v>
      </c>
      <c r="AW323" s="6" t="str">
        <f t="shared" ref="AW323:AW386" si="83">IF(LEN(AS323)&gt;0, AV323,"")</f>
        <v/>
      </c>
    </row>
    <row r="324" spans="1:49" ht="75">
      <c r="A324" s="1">
        <v>201667</v>
      </c>
      <c r="B324" t="str">
        <f t="shared" si="71"/>
        <v>2C33GS86640-76</v>
      </c>
      <c r="C324" s="6" t="str">
        <f t="shared" si="72"/>
        <v>CALIFORNIA PREGNANCY ASSOCIATED MORTALITY REVIEW: A DEEPER LOOK AT MATERNAL DEATHS</v>
      </c>
      <c r="D324" s="6" t="str">
        <f t="shared" si="73"/>
        <v>NANOENGINEERING CORPORATION</v>
      </c>
      <c r="E324">
        <f t="shared" si="74"/>
        <v>23541017</v>
      </c>
      <c r="F324" t="str">
        <f t="shared" si="75"/>
        <v>FDA</v>
      </c>
      <c r="G324" t="str">
        <f t="shared" si="76"/>
        <v>28-8723495</v>
      </c>
      <c r="H324">
        <f t="shared" ca="1" si="77"/>
        <v>2538125</v>
      </c>
      <c r="I324" t="str">
        <f t="shared" si="78"/>
        <v>Annual</v>
      </c>
      <c r="T324" s="54" t="s">
        <v>2157</v>
      </c>
      <c r="U324">
        <v>26962349</v>
      </c>
      <c r="V324" s="10" t="s">
        <v>1163</v>
      </c>
      <c r="W324" s="10" t="s">
        <v>1163</v>
      </c>
      <c r="Y324" s="1" t="s">
        <v>2158</v>
      </c>
      <c r="AI324" s="1">
        <v>201667</v>
      </c>
      <c r="AJ324" s="1" t="s">
        <v>119</v>
      </c>
      <c r="AK324" s="1" t="str">
        <f t="shared" si="79"/>
        <v/>
      </c>
      <c r="AL324" t="b">
        <f t="shared" si="80"/>
        <v>1</v>
      </c>
      <c r="AM324" s="49" t="str">
        <f t="shared" si="81"/>
        <v>Q</v>
      </c>
      <c r="AP324" s="10" t="s">
        <v>327</v>
      </c>
      <c r="AS324" t="s">
        <v>119</v>
      </c>
      <c r="AT324" s="6" t="s">
        <v>327</v>
      </c>
      <c r="AU324" s="6" t="str">
        <f t="shared" si="82"/>
        <v/>
      </c>
      <c r="AV324" s="6" t="s">
        <v>104</v>
      </c>
      <c r="AW324" s="6" t="str">
        <f t="shared" si="83"/>
        <v/>
      </c>
    </row>
    <row r="325" spans="1:49" ht="60">
      <c r="A325" s="1">
        <v>201667</v>
      </c>
      <c r="B325" t="str">
        <f t="shared" si="71"/>
        <v>2C33GS86640-76</v>
      </c>
      <c r="C325" s="6" t="str">
        <f t="shared" si="72"/>
        <v>CALIFORNIA PREGNANCY ASSOCIATED MORTALITY REVIEW: A DEEPER LOOK AT MATERNAL DEATHS</v>
      </c>
      <c r="D325" s="6" t="str">
        <f t="shared" si="73"/>
        <v>NANOENGINEERING CORPORATION</v>
      </c>
      <c r="E325">
        <f t="shared" si="74"/>
        <v>23541017</v>
      </c>
      <c r="F325" t="str">
        <f t="shared" si="75"/>
        <v>FDA</v>
      </c>
      <c r="G325" t="str">
        <f t="shared" si="76"/>
        <v>28-8723495</v>
      </c>
      <c r="H325">
        <f t="shared" ca="1" si="77"/>
        <v>2538125</v>
      </c>
      <c r="I325" t="str">
        <f t="shared" si="78"/>
        <v>Annual</v>
      </c>
      <c r="T325" s="52" t="s">
        <v>2022</v>
      </c>
      <c r="U325">
        <v>26962349</v>
      </c>
      <c r="V325" s="10" t="s">
        <v>1167</v>
      </c>
      <c r="W325" s="10" t="s">
        <v>1167</v>
      </c>
      <c r="Y325" s="1" t="s">
        <v>2159</v>
      </c>
      <c r="AI325" s="1">
        <v>201667</v>
      </c>
      <c r="AJ325" s="1" t="s">
        <v>119</v>
      </c>
      <c r="AK325" s="1" t="str">
        <f t="shared" si="79"/>
        <v/>
      </c>
      <c r="AL325" t="b">
        <f t="shared" si="80"/>
        <v>1</v>
      </c>
      <c r="AM325" s="49" t="str">
        <f t="shared" si="81"/>
        <v>Q</v>
      </c>
      <c r="AP325" s="10" t="s">
        <v>113</v>
      </c>
      <c r="AS325" t="s">
        <v>119</v>
      </c>
      <c r="AT325" s="6" t="s">
        <v>113</v>
      </c>
      <c r="AU325" s="6" t="str">
        <f t="shared" si="82"/>
        <v/>
      </c>
      <c r="AV325" s="6" t="s">
        <v>112</v>
      </c>
      <c r="AW325" s="6" t="str">
        <f t="shared" si="83"/>
        <v/>
      </c>
    </row>
    <row r="326" spans="1:49" ht="120">
      <c r="A326" s="1">
        <v>202866</v>
      </c>
      <c r="B326" t="str">
        <f t="shared" si="71"/>
        <v>7B90CR86641-30</v>
      </c>
      <c r="C326" s="6" t="str">
        <f t="shared" si="72"/>
        <v>SAN FRANCISCO SUDDEN UNEXPECTED INFANT DEATH (SUID) AND SUDDEN DEATH IN THE YOUNG
(SDY) CASE REGISTRY: SUID CORE COMPONENT 2 AND SDY OPTIONAL COMPONENT 2</v>
      </c>
      <c r="D326" s="6" t="str">
        <f t="shared" si="73"/>
        <v>NANOFIBER SOLUTIONS, LLC</v>
      </c>
      <c r="E326">
        <f t="shared" si="74"/>
        <v>23541017</v>
      </c>
      <c r="F326" t="str">
        <f t="shared" si="75"/>
        <v>ACF</v>
      </c>
      <c r="G326" t="str">
        <f t="shared" si="76"/>
        <v>28-8723496</v>
      </c>
      <c r="H326">
        <f t="shared" ca="1" si="77"/>
        <v>2216227</v>
      </c>
      <c r="I326" t="str">
        <f t="shared" si="78"/>
        <v>Annual</v>
      </c>
      <c r="T326" s="54" t="s">
        <v>1882</v>
      </c>
      <c r="U326">
        <v>22212237</v>
      </c>
      <c r="V326" s="10" t="s">
        <v>1172</v>
      </c>
      <c r="W326" s="10" t="s">
        <v>1172</v>
      </c>
      <c r="Y326" s="1" t="s">
        <v>2160</v>
      </c>
      <c r="AI326" s="1">
        <v>202866</v>
      </c>
      <c r="AJ326" s="1" t="s">
        <v>119</v>
      </c>
      <c r="AK326" s="1" t="str">
        <f t="shared" si="79"/>
        <v/>
      </c>
      <c r="AL326" t="b">
        <f t="shared" si="80"/>
        <v>1</v>
      </c>
      <c r="AM326" s="49" t="str">
        <f t="shared" si="81"/>
        <v>Q</v>
      </c>
      <c r="AP326" s="10" t="s">
        <v>97</v>
      </c>
      <c r="AS326" t="s">
        <v>119</v>
      </c>
      <c r="AT326" s="6" t="s">
        <v>97</v>
      </c>
      <c r="AU326" s="6" t="str">
        <f t="shared" si="82"/>
        <v/>
      </c>
      <c r="AV326" s="6" t="s">
        <v>96</v>
      </c>
      <c r="AW326" s="6" t="str">
        <f t="shared" si="83"/>
        <v/>
      </c>
    </row>
    <row r="327" spans="1:49" ht="120">
      <c r="A327" s="1">
        <v>202866</v>
      </c>
      <c r="B327" t="str">
        <f t="shared" si="71"/>
        <v>7B90CR86641-30</v>
      </c>
      <c r="C327" s="6" t="str">
        <f t="shared" si="72"/>
        <v>SAN FRANCISCO SUDDEN UNEXPECTED INFANT DEATH (SUID) AND SUDDEN DEATH IN THE YOUNG
(SDY) CASE REGISTRY: SUID CORE COMPONENT 2 AND SDY OPTIONAL COMPONENT 2</v>
      </c>
      <c r="D327" s="6" t="str">
        <f t="shared" si="73"/>
        <v>NANOFIBER SOLUTIONS, LLC</v>
      </c>
      <c r="E327">
        <f t="shared" si="74"/>
        <v>23541017</v>
      </c>
      <c r="F327" t="str">
        <f t="shared" si="75"/>
        <v>ACF</v>
      </c>
      <c r="G327" t="str">
        <f t="shared" si="76"/>
        <v>28-8723496</v>
      </c>
      <c r="H327">
        <f t="shared" ca="1" si="77"/>
        <v>2216227</v>
      </c>
      <c r="I327" t="str">
        <f t="shared" si="78"/>
        <v>Annual</v>
      </c>
      <c r="T327" s="53" t="s">
        <v>2113</v>
      </c>
      <c r="U327">
        <v>22212237</v>
      </c>
      <c r="V327" s="10" t="s">
        <v>1178</v>
      </c>
      <c r="W327" s="10" t="s">
        <v>1178</v>
      </c>
      <c r="Y327" s="1" t="s">
        <v>2161</v>
      </c>
      <c r="AI327" s="1">
        <v>202866</v>
      </c>
      <c r="AJ327" s="1" t="s">
        <v>119</v>
      </c>
      <c r="AK327" s="1" t="str">
        <f t="shared" si="79"/>
        <v/>
      </c>
      <c r="AL327" t="b">
        <f t="shared" si="80"/>
        <v>1</v>
      </c>
      <c r="AM327" s="49" t="str">
        <f t="shared" si="81"/>
        <v>Q</v>
      </c>
      <c r="AP327" s="10" t="s">
        <v>327</v>
      </c>
      <c r="AS327" t="s">
        <v>119</v>
      </c>
      <c r="AT327" s="6" t="s">
        <v>327</v>
      </c>
      <c r="AU327" s="6" t="str">
        <f t="shared" si="82"/>
        <v/>
      </c>
      <c r="AV327" s="6" t="s">
        <v>104</v>
      </c>
      <c r="AW327" s="6" t="str">
        <f t="shared" si="83"/>
        <v/>
      </c>
    </row>
    <row r="328" spans="1:49" ht="120">
      <c r="A328" s="1">
        <v>202866</v>
      </c>
      <c r="B328" t="str">
        <f t="shared" si="71"/>
        <v>7B90CR86641-30</v>
      </c>
      <c r="C328" s="6" t="str">
        <f t="shared" si="72"/>
        <v>SAN FRANCISCO SUDDEN UNEXPECTED INFANT DEATH (SUID) AND SUDDEN DEATH IN THE YOUNG
(SDY) CASE REGISTRY: SUID CORE COMPONENT 2 AND SDY OPTIONAL COMPONENT 2</v>
      </c>
      <c r="D328" s="6" t="str">
        <f t="shared" si="73"/>
        <v>NANOFIBER SOLUTIONS, LLC</v>
      </c>
      <c r="E328">
        <f t="shared" si="74"/>
        <v>23541017</v>
      </c>
      <c r="F328" t="str">
        <f t="shared" si="75"/>
        <v>ACF</v>
      </c>
      <c r="G328" t="str">
        <f t="shared" si="76"/>
        <v>28-8723496</v>
      </c>
      <c r="H328">
        <f t="shared" ca="1" si="77"/>
        <v>2216227</v>
      </c>
      <c r="I328" t="str">
        <f t="shared" si="78"/>
        <v>Annual</v>
      </c>
      <c r="T328" s="52" t="s">
        <v>2022</v>
      </c>
      <c r="U328">
        <v>22212237</v>
      </c>
      <c r="V328" s="10" t="s">
        <v>1184</v>
      </c>
      <c r="W328" s="10" t="s">
        <v>1184</v>
      </c>
      <c r="Y328" s="1" t="s">
        <v>2162</v>
      </c>
      <c r="AI328" s="1">
        <v>202866</v>
      </c>
      <c r="AJ328" s="1" t="s">
        <v>119</v>
      </c>
      <c r="AK328" s="1" t="str">
        <f t="shared" si="79"/>
        <v/>
      </c>
      <c r="AL328" t="b">
        <f t="shared" si="80"/>
        <v>1</v>
      </c>
      <c r="AM328" s="49" t="str">
        <f t="shared" si="81"/>
        <v>Q</v>
      </c>
      <c r="AP328" s="10" t="s">
        <v>113</v>
      </c>
      <c r="AS328" t="s">
        <v>119</v>
      </c>
      <c r="AT328" s="6" t="s">
        <v>113</v>
      </c>
      <c r="AU328" s="6" t="str">
        <f t="shared" si="82"/>
        <v/>
      </c>
      <c r="AV328" s="6" t="s">
        <v>112</v>
      </c>
      <c r="AW328" s="6" t="str">
        <f t="shared" si="83"/>
        <v/>
      </c>
    </row>
    <row r="329" spans="1:49" ht="165">
      <c r="A329" s="1">
        <v>203396</v>
      </c>
      <c r="B329" t="str">
        <f t="shared" si="71"/>
        <v>1B74BR86074-89</v>
      </c>
      <c r="C329" s="6" t="str">
        <f t="shared" si="72"/>
        <v>SAN FRANCISCO UNIFIED SCHOOL DISTRICT (SFUSD) IS SUBMITTING A GRANT APPLICATION FOR THE NOFO PROMOTING ADOLESCENT
HEALTH THROUGH SCHOOL-BASED HIV PREVENTION</v>
      </c>
      <c r="D329" s="6" t="str">
        <f t="shared" si="73"/>
        <v>NANOHMICS, INC.</v>
      </c>
      <c r="E329">
        <f t="shared" si="74"/>
        <v>23541017</v>
      </c>
      <c r="F329" t="str">
        <f t="shared" si="75"/>
        <v>CDC</v>
      </c>
      <c r="G329" t="str">
        <f t="shared" si="76"/>
        <v>28-8723497</v>
      </c>
      <c r="H329">
        <f t="shared" ca="1" si="77"/>
        <v>2425989</v>
      </c>
      <c r="I329" t="str">
        <f t="shared" si="78"/>
        <v>Annual</v>
      </c>
      <c r="T329" s="54" t="s">
        <v>1882</v>
      </c>
      <c r="U329">
        <v>17709301</v>
      </c>
      <c r="V329" s="10" t="s">
        <v>1190</v>
      </c>
      <c r="W329" s="10" t="s">
        <v>1190</v>
      </c>
      <c r="Y329" s="1" t="s">
        <v>2163</v>
      </c>
      <c r="AI329" s="1">
        <v>203396</v>
      </c>
      <c r="AJ329" s="1" t="s">
        <v>804</v>
      </c>
      <c r="AK329" s="1" t="str">
        <f t="shared" si="79"/>
        <v/>
      </c>
      <c r="AL329" t="b">
        <f t="shared" si="80"/>
        <v>0</v>
      </c>
      <c r="AM329" s="49" t="str">
        <f t="shared" si="81"/>
        <v>Q</v>
      </c>
      <c r="AP329" s="10" t="s">
        <v>97</v>
      </c>
      <c r="AS329" t="s">
        <v>1920</v>
      </c>
      <c r="AT329" s="6" t="s">
        <v>97</v>
      </c>
      <c r="AU329" s="6" t="str">
        <f t="shared" si="82"/>
        <v>The errors in accounting will be corrected. The accounting policy suggested will be followed. The financials will be recalculated based on the revised accounting policies and submitted.</v>
      </c>
      <c r="AV329" s="6" t="s">
        <v>96</v>
      </c>
      <c r="AW329" s="6" t="str">
        <f t="shared" si="83"/>
        <v>Change in accounting practice</v>
      </c>
    </row>
    <row r="330" spans="1:49" ht="135">
      <c r="A330" s="1">
        <v>203396</v>
      </c>
      <c r="B330" t="str">
        <f t="shared" si="71"/>
        <v>1B74BR86074-89</v>
      </c>
      <c r="C330" s="6" t="str">
        <f t="shared" si="72"/>
        <v>SAN FRANCISCO UNIFIED SCHOOL DISTRICT (SFUSD) IS SUBMITTING A GRANT APPLICATION FOR THE NOFO PROMOTING ADOLESCENT
HEALTH THROUGH SCHOOL-BASED HIV PREVENTION</v>
      </c>
      <c r="D330" s="6" t="str">
        <f t="shared" si="73"/>
        <v>NANOHMICS, INC.</v>
      </c>
      <c r="E330">
        <f t="shared" si="74"/>
        <v>23541017</v>
      </c>
      <c r="F330" t="str">
        <f t="shared" si="75"/>
        <v>CDC</v>
      </c>
      <c r="G330" t="str">
        <f t="shared" si="76"/>
        <v>28-8723497</v>
      </c>
      <c r="H330">
        <f t="shared" ca="1" si="77"/>
        <v>2425989</v>
      </c>
      <c r="I330" t="str">
        <f t="shared" si="78"/>
        <v>Annual</v>
      </c>
      <c r="T330" s="53" t="s">
        <v>2113</v>
      </c>
      <c r="U330">
        <v>17709301</v>
      </c>
      <c r="V330" s="10" t="s">
        <v>1197</v>
      </c>
      <c r="W330" s="10" t="s">
        <v>1197</v>
      </c>
      <c r="Y330" s="1" t="s">
        <v>2164</v>
      </c>
      <c r="AI330" s="1">
        <v>203396</v>
      </c>
      <c r="AJ330" s="1" t="s">
        <v>804</v>
      </c>
      <c r="AK330" s="1" t="str">
        <f t="shared" si="79"/>
        <v/>
      </c>
      <c r="AL330" t="b">
        <f t="shared" si="80"/>
        <v>0</v>
      </c>
      <c r="AM330" s="49" t="str">
        <f t="shared" si="81"/>
        <v>Q</v>
      </c>
      <c r="AP330" s="10" t="s">
        <v>327</v>
      </c>
      <c r="AS330" t="s">
        <v>1920</v>
      </c>
      <c r="AT330" s="6" t="s">
        <v>327</v>
      </c>
      <c r="AU330" s="6" t="str">
        <f t="shared" si="82"/>
        <v>Cost rate will be followed. The revised rate will be applied from the last audit period and the expenditure recalculated and submitted.</v>
      </c>
      <c r="AV330" s="6" t="s">
        <v>104</v>
      </c>
      <c r="AW330" s="6" t="str">
        <f t="shared" si="83"/>
        <v>Cost rate Corrections</v>
      </c>
    </row>
    <row r="331" spans="1:49" ht="105">
      <c r="A331" s="1">
        <v>203396</v>
      </c>
      <c r="B331" t="str">
        <f t="shared" si="71"/>
        <v>1B74BR86074-89</v>
      </c>
      <c r="C331" s="6" t="str">
        <f t="shared" si="72"/>
        <v>SAN FRANCISCO UNIFIED SCHOOL DISTRICT (SFUSD) IS SUBMITTING A GRANT APPLICATION FOR THE NOFO PROMOTING ADOLESCENT
HEALTH THROUGH SCHOOL-BASED HIV PREVENTION</v>
      </c>
      <c r="D331" s="6" t="str">
        <f t="shared" si="73"/>
        <v>NANOHMICS, INC.</v>
      </c>
      <c r="E331">
        <f t="shared" si="74"/>
        <v>23541017</v>
      </c>
      <c r="F331" t="str">
        <f t="shared" si="75"/>
        <v>CDC</v>
      </c>
      <c r="G331" t="str">
        <f t="shared" si="76"/>
        <v>28-8723497</v>
      </c>
      <c r="H331">
        <f t="shared" ca="1" si="77"/>
        <v>2425989</v>
      </c>
      <c r="I331" t="str">
        <f t="shared" si="78"/>
        <v>Annual</v>
      </c>
      <c r="T331" s="50" t="s">
        <v>2165</v>
      </c>
      <c r="U331">
        <v>17709301</v>
      </c>
      <c r="V331" s="10" t="s">
        <v>1204</v>
      </c>
      <c r="W331" s="10" t="s">
        <v>1204</v>
      </c>
      <c r="Y331" s="1" t="s">
        <v>2166</v>
      </c>
      <c r="AI331" s="1">
        <v>203396</v>
      </c>
      <c r="AJ331" s="1" t="s">
        <v>804</v>
      </c>
      <c r="AK331" s="1" t="str">
        <f t="shared" si="79"/>
        <v/>
      </c>
      <c r="AL331" t="b">
        <f t="shared" si="80"/>
        <v>0</v>
      </c>
      <c r="AM331" s="49" t="str">
        <f t="shared" si="81"/>
        <v>Q</v>
      </c>
      <c r="AP331" s="10" t="s">
        <v>113</v>
      </c>
      <c r="AS331" t="s">
        <v>1920</v>
      </c>
      <c r="AT331" s="6" t="s">
        <v>113</v>
      </c>
      <c r="AU331" s="6" t="str">
        <f t="shared" si="82"/>
        <v>Loan accounts will be reviewed and appropriate amendments will be made and submitted</v>
      </c>
      <c r="AV331" s="6" t="s">
        <v>112</v>
      </c>
      <c r="AW331" s="6" t="str">
        <f t="shared" si="83"/>
        <v>Loan accountsrecalculation</v>
      </c>
    </row>
    <row r="332" spans="1:49" ht="90">
      <c r="A332" s="1">
        <v>204034</v>
      </c>
      <c r="B332" t="str">
        <f t="shared" si="71"/>
        <v>1B37HR86840-79</v>
      </c>
      <c r="C332" s="6" t="str">
        <f t="shared" si="72"/>
        <v>CATEGORY B: PUBLIC HEALTH LAWYERS AND THEIR CLIENTS</v>
      </c>
      <c r="D332" s="6" t="str">
        <f t="shared" si="73"/>
        <v>NANOMAG, LLC</v>
      </c>
      <c r="E332">
        <f t="shared" si="74"/>
        <v>21769467</v>
      </c>
      <c r="F332" t="str">
        <f t="shared" si="75"/>
        <v>NIH</v>
      </c>
      <c r="G332" t="str">
        <f t="shared" si="76"/>
        <v>28-8723498</v>
      </c>
      <c r="H332">
        <f t="shared" ca="1" si="77"/>
        <v>2107998</v>
      </c>
      <c r="I332" t="str">
        <f t="shared" si="78"/>
        <v>Annual</v>
      </c>
      <c r="T332" s="52" t="s">
        <v>2167</v>
      </c>
      <c r="U332">
        <v>26536041</v>
      </c>
      <c r="V332" s="10" t="s">
        <v>1209</v>
      </c>
      <c r="W332" s="10" t="s">
        <v>1209</v>
      </c>
      <c r="Y332" s="1" t="s">
        <v>2168</v>
      </c>
      <c r="AI332" s="1">
        <v>204034</v>
      </c>
      <c r="AJ332" s="1" t="s">
        <v>119</v>
      </c>
      <c r="AK332" s="1" t="str">
        <f t="shared" si="79"/>
        <v/>
      </c>
      <c r="AL332" t="b">
        <f t="shared" si="80"/>
        <v>1</v>
      </c>
      <c r="AM332" s="49" t="str">
        <f t="shared" si="81"/>
        <v>Q</v>
      </c>
      <c r="AP332" s="10" t="s">
        <v>97</v>
      </c>
      <c r="AS332" t="s">
        <v>119</v>
      </c>
      <c r="AT332" s="6" t="s">
        <v>97</v>
      </c>
      <c r="AU332" s="6" t="str">
        <f t="shared" si="82"/>
        <v/>
      </c>
      <c r="AV332" s="6" t="s">
        <v>96</v>
      </c>
      <c r="AW332" s="6" t="str">
        <f t="shared" si="83"/>
        <v/>
      </c>
    </row>
    <row r="333" spans="1:49" ht="75">
      <c r="A333" s="1">
        <v>204034</v>
      </c>
      <c r="B333" t="str">
        <f t="shared" si="71"/>
        <v>1B37HR86840-79</v>
      </c>
      <c r="C333" s="6" t="str">
        <f t="shared" si="72"/>
        <v>CATEGORY B: PUBLIC HEALTH LAWYERS AND THEIR CLIENTS</v>
      </c>
      <c r="D333" s="6" t="str">
        <f t="shared" si="73"/>
        <v>NANOMAG, LLC</v>
      </c>
      <c r="E333">
        <f t="shared" si="74"/>
        <v>21769467</v>
      </c>
      <c r="F333" t="str">
        <f t="shared" si="75"/>
        <v>NIH</v>
      </c>
      <c r="G333" t="str">
        <f t="shared" si="76"/>
        <v>28-8723498</v>
      </c>
      <c r="H333">
        <f t="shared" ca="1" si="77"/>
        <v>2107998</v>
      </c>
      <c r="I333" t="str">
        <f t="shared" si="78"/>
        <v>Annual</v>
      </c>
      <c r="T333" s="64" t="s">
        <v>2169</v>
      </c>
      <c r="U333">
        <v>26536041</v>
      </c>
      <c r="V333" s="10" t="s">
        <v>1214</v>
      </c>
      <c r="W333" s="10" t="s">
        <v>1214</v>
      </c>
      <c r="Y333" s="1" t="s">
        <v>2170</v>
      </c>
      <c r="AI333" s="1">
        <v>204034</v>
      </c>
      <c r="AJ333" s="1" t="s">
        <v>119</v>
      </c>
      <c r="AK333" s="1" t="str">
        <f t="shared" si="79"/>
        <v/>
      </c>
      <c r="AL333" t="b">
        <f t="shared" si="80"/>
        <v>1</v>
      </c>
      <c r="AM333" s="49" t="str">
        <f t="shared" si="81"/>
        <v>Q</v>
      </c>
      <c r="AP333" s="10" t="s">
        <v>327</v>
      </c>
      <c r="AS333" t="s">
        <v>119</v>
      </c>
      <c r="AT333" s="6" t="s">
        <v>327</v>
      </c>
      <c r="AU333" s="6" t="str">
        <f t="shared" si="82"/>
        <v/>
      </c>
      <c r="AV333" s="6" t="s">
        <v>104</v>
      </c>
      <c r="AW333" s="6" t="str">
        <f t="shared" si="83"/>
        <v/>
      </c>
    </row>
    <row r="334" spans="1:49" ht="75">
      <c r="A334" s="1">
        <v>204034</v>
      </c>
      <c r="B334" t="str">
        <f t="shared" si="71"/>
        <v>1B37HR86840-79</v>
      </c>
      <c r="C334" s="6" t="str">
        <f t="shared" si="72"/>
        <v>CATEGORY B: PUBLIC HEALTH LAWYERS AND THEIR CLIENTS</v>
      </c>
      <c r="D334" s="6" t="str">
        <f t="shared" si="73"/>
        <v>NANOMAG, LLC</v>
      </c>
      <c r="E334">
        <f t="shared" si="74"/>
        <v>21769467</v>
      </c>
      <c r="F334" t="str">
        <f t="shared" si="75"/>
        <v>NIH</v>
      </c>
      <c r="G334" t="str">
        <f t="shared" si="76"/>
        <v>28-8723498</v>
      </c>
      <c r="H334">
        <f t="shared" ca="1" si="77"/>
        <v>2107998</v>
      </c>
      <c r="I334" t="str">
        <f t="shared" si="78"/>
        <v>Annual</v>
      </c>
      <c r="T334" s="52" t="s">
        <v>2171</v>
      </c>
      <c r="U334">
        <v>22264016</v>
      </c>
      <c r="V334" s="10" t="s">
        <v>1220</v>
      </c>
      <c r="W334" s="10" t="s">
        <v>1220</v>
      </c>
      <c r="Y334" s="1" t="s">
        <v>2172</v>
      </c>
      <c r="AI334" s="1">
        <v>204034</v>
      </c>
      <c r="AJ334" s="1" t="s">
        <v>119</v>
      </c>
      <c r="AK334" s="1" t="str">
        <f t="shared" si="79"/>
        <v/>
      </c>
      <c r="AL334" t="b">
        <f t="shared" si="80"/>
        <v>1</v>
      </c>
      <c r="AM334" s="49" t="str">
        <f t="shared" si="81"/>
        <v>Q</v>
      </c>
      <c r="AP334" s="10" t="s">
        <v>113</v>
      </c>
      <c r="AS334" t="s">
        <v>119</v>
      </c>
      <c r="AT334" s="6" t="s">
        <v>113</v>
      </c>
      <c r="AU334" s="6" t="str">
        <f t="shared" si="82"/>
        <v/>
      </c>
      <c r="AV334" s="6" t="s">
        <v>112</v>
      </c>
      <c r="AW334" s="6" t="str">
        <f t="shared" si="83"/>
        <v/>
      </c>
    </row>
    <row r="335" spans="1:49" ht="90">
      <c r="A335" s="1">
        <v>204121</v>
      </c>
      <c r="B335" t="str">
        <f t="shared" si="71"/>
        <v>1B41BR89048-30</v>
      </c>
      <c r="C335" s="6" t="str">
        <f t="shared" si="72"/>
        <v>PPHF 2014: TOBACCO USE PREVENTION PUBLIC
HEALTH APPROACHES FOR ENSURING QUITLINE CAPACITY</v>
      </c>
      <c r="D335" s="6" t="str">
        <f t="shared" si="73"/>
        <v>NANOMEDTRIX, LLC</v>
      </c>
      <c r="E335">
        <f t="shared" si="74"/>
        <v>21769467</v>
      </c>
      <c r="F335" t="str">
        <f t="shared" si="75"/>
        <v>FDA</v>
      </c>
      <c r="G335" t="str">
        <f t="shared" si="76"/>
        <v>28-8723499</v>
      </c>
      <c r="H335">
        <f t="shared" ca="1" si="77"/>
        <v>2841984</v>
      </c>
      <c r="I335" t="str">
        <f t="shared" si="78"/>
        <v>Annual</v>
      </c>
      <c r="T335" s="54" t="s">
        <v>1878</v>
      </c>
      <c r="U335">
        <v>22264016</v>
      </c>
      <c r="V335" s="10" t="s">
        <v>1225</v>
      </c>
      <c r="W335" s="10" t="s">
        <v>1225</v>
      </c>
      <c r="Y335" s="1" t="s">
        <v>2173</v>
      </c>
      <c r="AI335" s="1">
        <v>204121</v>
      </c>
      <c r="AJ335" s="1" t="s">
        <v>804</v>
      </c>
      <c r="AK335" s="1" t="str">
        <f t="shared" si="79"/>
        <v/>
      </c>
      <c r="AL335" t="b">
        <f t="shared" si="80"/>
        <v>0</v>
      </c>
      <c r="AM335" s="49" t="str">
        <f t="shared" si="81"/>
        <v>Q</v>
      </c>
      <c r="AP335" s="10" t="s">
        <v>97</v>
      </c>
      <c r="AS335" t="s">
        <v>119</v>
      </c>
      <c r="AT335" s="6" t="s">
        <v>97</v>
      </c>
      <c r="AU335" s="6" t="str">
        <f t="shared" si="82"/>
        <v/>
      </c>
      <c r="AV335" s="6" t="s">
        <v>96</v>
      </c>
      <c r="AW335" s="6" t="str">
        <f t="shared" si="83"/>
        <v/>
      </c>
    </row>
    <row r="336" spans="1:49" ht="75">
      <c r="A336" s="1">
        <v>204121</v>
      </c>
      <c r="B336" t="str">
        <f t="shared" si="71"/>
        <v>1B41BR89048-30</v>
      </c>
      <c r="C336" s="6" t="str">
        <f t="shared" si="72"/>
        <v>PPHF 2014: TOBACCO USE PREVENTION PUBLIC
HEALTH APPROACHES FOR ENSURING QUITLINE CAPACITY</v>
      </c>
      <c r="D336" s="6" t="str">
        <f t="shared" si="73"/>
        <v>NANOMEDTRIX, LLC</v>
      </c>
      <c r="E336">
        <f t="shared" si="74"/>
        <v>21769467</v>
      </c>
      <c r="F336" t="str">
        <f t="shared" si="75"/>
        <v>FDA</v>
      </c>
      <c r="G336" t="str">
        <f t="shared" si="76"/>
        <v>28-8723499</v>
      </c>
      <c r="H336">
        <f t="shared" ca="1" si="77"/>
        <v>2841984</v>
      </c>
      <c r="I336" t="str">
        <f t="shared" si="78"/>
        <v>Annual</v>
      </c>
      <c r="T336" s="53" t="s">
        <v>2174</v>
      </c>
      <c r="U336">
        <v>22264016</v>
      </c>
      <c r="V336" s="10" t="s">
        <v>1229</v>
      </c>
      <c r="W336" s="10" t="s">
        <v>1229</v>
      </c>
      <c r="Y336" s="1" t="s">
        <v>2175</v>
      </c>
      <c r="AI336" s="1">
        <v>204121</v>
      </c>
      <c r="AJ336" s="1" t="s">
        <v>804</v>
      </c>
      <c r="AK336" s="1" t="str">
        <f t="shared" si="79"/>
        <v/>
      </c>
      <c r="AL336" t="b">
        <f t="shared" si="80"/>
        <v>0</v>
      </c>
      <c r="AM336" s="49" t="str">
        <f t="shared" si="81"/>
        <v>Q</v>
      </c>
      <c r="AP336" s="10" t="s">
        <v>327</v>
      </c>
      <c r="AS336" t="s">
        <v>119</v>
      </c>
      <c r="AT336" s="6" t="s">
        <v>327</v>
      </c>
      <c r="AU336" s="6" t="str">
        <f t="shared" si="82"/>
        <v/>
      </c>
      <c r="AV336" s="6" t="s">
        <v>104</v>
      </c>
      <c r="AW336" s="6" t="str">
        <f t="shared" si="83"/>
        <v/>
      </c>
    </row>
    <row r="337" spans="1:49" ht="75">
      <c r="A337" s="1">
        <v>204121</v>
      </c>
      <c r="B337" t="str">
        <f t="shared" si="71"/>
        <v>1B41BR89048-30</v>
      </c>
      <c r="C337" s="6" t="str">
        <f t="shared" si="72"/>
        <v>PPHF 2014: TOBACCO USE PREVENTION PUBLIC
HEALTH APPROACHES FOR ENSURING QUITLINE CAPACITY</v>
      </c>
      <c r="D337" s="6" t="str">
        <f t="shared" si="73"/>
        <v>NANOMEDTRIX, LLC</v>
      </c>
      <c r="E337">
        <f t="shared" si="74"/>
        <v>21769467</v>
      </c>
      <c r="F337" t="str">
        <f t="shared" si="75"/>
        <v>FDA</v>
      </c>
      <c r="G337" t="str">
        <f t="shared" si="76"/>
        <v>28-8723499</v>
      </c>
      <c r="H337">
        <f t="shared" ca="1" si="77"/>
        <v>2841984</v>
      </c>
      <c r="I337" t="str">
        <f t="shared" si="78"/>
        <v>Annual</v>
      </c>
      <c r="T337" s="54" t="s">
        <v>2176</v>
      </c>
      <c r="U337">
        <v>22264016</v>
      </c>
      <c r="V337" s="10" t="s">
        <v>1234</v>
      </c>
      <c r="W337" s="10" t="s">
        <v>1234</v>
      </c>
      <c r="Y337" s="1" t="s">
        <v>2177</v>
      </c>
      <c r="AI337" s="1">
        <v>204121</v>
      </c>
      <c r="AJ337" s="1" t="s">
        <v>804</v>
      </c>
      <c r="AK337" s="1" t="str">
        <f t="shared" si="79"/>
        <v/>
      </c>
      <c r="AL337" t="b">
        <f t="shared" si="80"/>
        <v>0</v>
      </c>
      <c r="AM337" s="49" t="str">
        <f t="shared" si="81"/>
        <v>Q</v>
      </c>
      <c r="AP337" s="10" t="s">
        <v>113</v>
      </c>
      <c r="AS337" t="s">
        <v>119</v>
      </c>
      <c r="AT337" s="6" t="s">
        <v>113</v>
      </c>
      <c r="AU337" s="6" t="str">
        <f t="shared" si="82"/>
        <v/>
      </c>
      <c r="AV337" s="6" t="s">
        <v>112</v>
      </c>
      <c r="AW337" s="6" t="str">
        <f t="shared" si="83"/>
        <v/>
      </c>
    </row>
    <row r="338" spans="1:49" ht="75">
      <c r="A338" s="1">
        <v>204121</v>
      </c>
      <c r="B338" t="str">
        <f t="shared" si="71"/>
        <v>1B41BR89048-30</v>
      </c>
      <c r="C338" s="6" t="str">
        <f t="shared" si="72"/>
        <v>PPHF 2014: TOBACCO USE PREVENTION PUBLIC
HEALTH APPROACHES FOR ENSURING QUITLINE CAPACITY</v>
      </c>
      <c r="D338" s="6" t="str">
        <f t="shared" si="73"/>
        <v>NANOMEDTRIX, LLC</v>
      </c>
      <c r="E338">
        <f t="shared" si="74"/>
        <v>21769467</v>
      </c>
      <c r="F338" t="str">
        <f t="shared" si="75"/>
        <v>FDA</v>
      </c>
      <c r="G338" t="str">
        <f t="shared" si="76"/>
        <v>28-8723499</v>
      </c>
      <c r="H338">
        <f t="shared" ca="1" si="77"/>
        <v>2841984</v>
      </c>
      <c r="I338" t="str">
        <f t="shared" si="78"/>
        <v>Annual</v>
      </c>
      <c r="T338" s="54" t="s">
        <v>2178</v>
      </c>
      <c r="U338">
        <v>12989570</v>
      </c>
      <c r="V338" s="10" t="s">
        <v>1239</v>
      </c>
      <c r="W338" s="10" t="s">
        <v>1239</v>
      </c>
      <c r="Y338" s="1" t="s">
        <v>2179</v>
      </c>
      <c r="AI338" s="1">
        <v>204121</v>
      </c>
      <c r="AJ338" s="1" t="s">
        <v>804</v>
      </c>
      <c r="AK338" s="1" t="str">
        <f t="shared" si="79"/>
        <v/>
      </c>
      <c r="AL338" t="b">
        <f t="shared" si="80"/>
        <v>0</v>
      </c>
      <c r="AM338" s="49" t="str">
        <f t="shared" si="81"/>
        <v>Q</v>
      </c>
      <c r="AP338" s="10"/>
      <c r="AS338" t="s">
        <v>119</v>
      </c>
      <c r="AT338" s="6" t="s">
        <v>812</v>
      </c>
      <c r="AU338" s="6" t="str">
        <f t="shared" si="82"/>
        <v/>
      </c>
      <c r="AV338" s="6" t="s">
        <v>811</v>
      </c>
      <c r="AW338" s="6" t="str">
        <f t="shared" si="83"/>
        <v/>
      </c>
    </row>
    <row r="339" spans="1:49" ht="90">
      <c r="A339" s="1">
        <v>204132</v>
      </c>
      <c r="B339" t="str">
        <f t="shared" si="71"/>
        <v>9B81DR86044-85</v>
      </c>
      <c r="C339" s="6" t="str">
        <f t="shared" si="72"/>
        <v>TOBACCO CONTROL PROGRAM</v>
      </c>
      <c r="D339" s="6" t="str">
        <f t="shared" si="73"/>
        <v>NAVEGA THERAPEUTICS, INC.</v>
      </c>
      <c r="E339">
        <f t="shared" si="74"/>
        <v>34731265</v>
      </c>
      <c r="F339" t="str">
        <f t="shared" si="75"/>
        <v>ACF</v>
      </c>
      <c r="G339" t="str">
        <f t="shared" si="76"/>
        <v>28-8723500</v>
      </c>
      <c r="H339">
        <f t="shared" ca="1" si="77"/>
        <v>2318121</v>
      </c>
      <c r="I339" t="str">
        <f t="shared" si="78"/>
        <v>Annual</v>
      </c>
      <c r="T339" s="64" t="s">
        <v>2180</v>
      </c>
      <c r="U339">
        <v>12989570</v>
      </c>
      <c r="V339" s="10" t="s">
        <v>1244</v>
      </c>
      <c r="W339" s="10" t="s">
        <v>1244</v>
      </c>
      <c r="Y339" s="1" t="s">
        <v>2181</v>
      </c>
      <c r="AI339" s="1">
        <v>204132</v>
      </c>
      <c r="AJ339" s="1" t="s">
        <v>119</v>
      </c>
      <c r="AK339" s="1" t="str">
        <f t="shared" si="79"/>
        <v/>
      </c>
      <c r="AL339" t="b">
        <f t="shared" si="80"/>
        <v>1</v>
      </c>
      <c r="AM339" s="49" t="str">
        <f t="shared" si="81"/>
        <v>Q</v>
      </c>
      <c r="AP339" s="10" t="s">
        <v>97</v>
      </c>
      <c r="AS339" t="s">
        <v>119</v>
      </c>
      <c r="AT339" s="6" t="s">
        <v>97</v>
      </c>
      <c r="AU339" s="6" t="str">
        <f t="shared" si="82"/>
        <v/>
      </c>
      <c r="AV339" s="6" t="s">
        <v>96</v>
      </c>
      <c r="AW339" s="6" t="str">
        <f t="shared" si="83"/>
        <v/>
      </c>
    </row>
    <row r="340" spans="1:49" ht="75">
      <c r="A340" s="1">
        <v>204132</v>
      </c>
      <c r="B340" t="str">
        <f t="shared" si="71"/>
        <v>9B81DR86044-85</v>
      </c>
      <c r="C340" s="6" t="str">
        <f t="shared" si="72"/>
        <v>TOBACCO CONTROL PROGRAM</v>
      </c>
      <c r="D340" s="6" t="str">
        <f t="shared" si="73"/>
        <v>NAVEGA THERAPEUTICS, INC.</v>
      </c>
      <c r="E340">
        <f t="shared" si="74"/>
        <v>34731265</v>
      </c>
      <c r="F340" t="str">
        <f t="shared" si="75"/>
        <v>ACF</v>
      </c>
      <c r="G340" t="str">
        <f t="shared" si="76"/>
        <v>28-8723500</v>
      </c>
      <c r="H340">
        <f t="shared" ca="1" si="77"/>
        <v>2318121</v>
      </c>
      <c r="I340" t="str">
        <f t="shared" si="78"/>
        <v>Annual</v>
      </c>
      <c r="T340" s="52" t="s">
        <v>2182</v>
      </c>
      <c r="U340">
        <v>12989570</v>
      </c>
      <c r="V340" s="10" t="s">
        <v>1253</v>
      </c>
      <c r="W340" s="10" t="s">
        <v>1253</v>
      </c>
      <c r="Y340" s="1" t="s">
        <v>2183</v>
      </c>
      <c r="AI340" s="1">
        <v>204132</v>
      </c>
      <c r="AJ340" s="1" t="s">
        <v>119</v>
      </c>
      <c r="AK340" s="1" t="str">
        <f t="shared" si="79"/>
        <v/>
      </c>
      <c r="AL340" t="b">
        <f t="shared" si="80"/>
        <v>1</v>
      </c>
      <c r="AM340" s="49" t="str">
        <f t="shared" si="81"/>
        <v>Q</v>
      </c>
      <c r="AP340" s="10" t="s">
        <v>327</v>
      </c>
      <c r="AS340" t="s">
        <v>119</v>
      </c>
      <c r="AT340" s="6" t="s">
        <v>327</v>
      </c>
      <c r="AU340" s="6" t="str">
        <f t="shared" si="82"/>
        <v/>
      </c>
      <c r="AV340" s="6" t="s">
        <v>104</v>
      </c>
      <c r="AW340" s="6" t="str">
        <f t="shared" si="83"/>
        <v/>
      </c>
    </row>
    <row r="341" spans="1:49" ht="45">
      <c r="A341" s="1">
        <v>204132</v>
      </c>
      <c r="B341" t="str">
        <f t="shared" si="71"/>
        <v>9B81DR86044-85</v>
      </c>
      <c r="C341" s="6" t="str">
        <f t="shared" si="72"/>
        <v>TOBACCO CONTROL PROGRAM</v>
      </c>
      <c r="D341" s="6" t="str">
        <f t="shared" si="73"/>
        <v>NAVEGA THERAPEUTICS, INC.</v>
      </c>
      <c r="E341">
        <f t="shared" si="74"/>
        <v>34731265</v>
      </c>
      <c r="F341" t="str">
        <f t="shared" si="75"/>
        <v>ACF</v>
      </c>
      <c r="G341" t="str">
        <f t="shared" si="76"/>
        <v>28-8723500</v>
      </c>
      <c r="H341">
        <f t="shared" ca="1" si="77"/>
        <v>2318121</v>
      </c>
      <c r="I341" t="str">
        <f t="shared" si="78"/>
        <v>Annual</v>
      </c>
      <c r="T341" s="52" t="s">
        <v>2184</v>
      </c>
      <c r="U341">
        <v>12989570</v>
      </c>
      <c r="V341" s="10" t="s">
        <v>1257</v>
      </c>
      <c r="W341" s="10" t="s">
        <v>1257</v>
      </c>
      <c r="Y341" s="1" t="s">
        <v>2185</v>
      </c>
      <c r="AI341" s="1">
        <v>204132</v>
      </c>
      <c r="AJ341" s="1" t="s">
        <v>119</v>
      </c>
      <c r="AK341" s="1" t="str">
        <f t="shared" si="79"/>
        <v/>
      </c>
      <c r="AL341" t="b">
        <f t="shared" si="80"/>
        <v>1</v>
      </c>
      <c r="AM341" s="49" t="str">
        <f t="shared" si="81"/>
        <v>Q</v>
      </c>
      <c r="AP341" s="10" t="s">
        <v>113</v>
      </c>
      <c r="AS341" t="s">
        <v>119</v>
      </c>
      <c r="AT341" s="6" t="s">
        <v>113</v>
      </c>
      <c r="AU341" s="6" t="str">
        <f t="shared" si="82"/>
        <v/>
      </c>
      <c r="AV341" s="6" t="s">
        <v>112</v>
      </c>
      <c r="AW341" s="6" t="str">
        <f t="shared" si="83"/>
        <v/>
      </c>
    </row>
    <row r="342" spans="1:49" ht="90">
      <c r="A342" s="1">
        <v>204145</v>
      </c>
      <c r="B342" t="str">
        <f t="shared" si="71"/>
        <v>7D57BT86045-89</v>
      </c>
      <c r="C342" s="6" t="str">
        <f t="shared" si="72"/>
        <v>ADVANCING CALIFORNIA S OPPORTUNITIES TO RENEW NATIVE HEALTH SYSTEMS (ACORNS)</v>
      </c>
      <c r="D342" s="6" t="str">
        <f t="shared" si="73"/>
        <v>NAVIDEA BIOPHARMACEUTICALS, INC.</v>
      </c>
      <c r="E342">
        <f t="shared" si="74"/>
        <v>34731265</v>
      </c>
      <c r="F342" t="str">
        <f t="shared" si="75"/>
        <v>CDC</v>
      </c>
      <c r="G342" t="str">
        <f t="shared" si="76"/>
        <v>28-8723501</v>
      </c>
      <c r="H342">
        <f t="shared" ca="1" si="77"/>
        <v>2365259</v>
      </c>
      <c r="I342" t="str">
        <f t="shared" si="78"/>
        <v>Annual</v>
      </c>
      <c r="T342" s="58" t="s">
        <v>2186</v>
      </c>
      <c r="U342">
        <v>12989570</v>
      </c>
      <c r="V342" s="10" t="s">
        <v>1261</v>
      </c>
      <c r="W342" s="10" t="s">
        <v>1261</v>
      </c>
      <c r="Y342" s="1" t="s">
        <v>2187</v>
      </c>
      <c r="AI342" s="1">
        <v>204145</v>
      </c>
      <c r="AJ342" s="1" t="s">
        <v>804</v>
      </c>
      <c r="AK342" s="1" t="str">
        <f t="shared" si="79"/>
        <v/>
      </c>
      <c r="AL342" t="b">
        <f t="shared" si="80"/>
        <v>0</v>
      </c>
      <c r="AM342" s="49" t="str">
        <f t="shared" si="81"/>
        <v>Q</v>
      </c>
      <c r="AP342" s="10" t="s">
        <v>97</v>
      </c>
      <c r="AS342" t="s">
        <v>119</v>
      </c>
      <c r="AT342" s="6" t="s">
        <v>97</v>
      </c>
      <c r="AU342" s="6" t="str">
        <f t="shared" si="82"/>
        <v/>
      </c>
      <c r="AV342" s="6" t="s">
        <v>96</v>
      </c>
      <c r="AW342" s="6" t="str">
        <f t="shared" si="83"/>
        <v/>
      </c>
    </row>
    <row r="343" spans="1:49" ht="75">
      <c r="A343" s="1">
        <v>204145</v>
      </c>
      <c r="B343" t="str">
        <f t="shared" si="71"/>
        <v>7D57BT86045-89</v>
      </c>
      <c r="C343" s="6" t="str">
        <f t="shared" si="72"/>
        <v>ADVANCING CALIFORNIA S OPPORTUNITIES TO RENEW NATIVE HEALTH SYSTEMS (ACORNS)</v>
      </c>
      <c r="D343" s="6" t="str">
        <f t="shared" si="73"/>
        <v>NAVIDEA BIOPHARMACEUTICALS, INC.</v>
      </c>
      <c r="E343">
        <f t="shared" si="74"/>
        <v>34731265</v>
      </c>
      <c r="F343" t="str">
        <f t="shared" si="75"/>
        <v>CDC</v>
      </c>
      <c r="G343" t="str">
        <f t="shared" si="76"/>
        <v>28-8723501</v>
      </c>
      <c r="H343">
        <f t="shared" ca="1" si="77"/>
        <v>2365259</v>
      </c>
      <c r="I343" t="str">
        <f t="shared" si="78"/>
        <v>Annual</v>
      </c>
      <c r="T343" s="52" t="s">
        <v>2188</v>
      </c>
      <c r="U343">
        <v>12989570</v>
      </c>
      <c r="V343" s="10" t="s">
        <v>1265</v>
      </c>
      <c r="W343" s="10" t="s">
        <v>1265</v>
      </c>
      <c r="Y343" s="1" t="s">
        <v>2189</v>
      </c>
      <c r="AI343" s="1">
        <v>204145</v>
      </c>
      <c r="AJ343" s="1" t="s">
        <v>804</v>
      </c>
      <c r="AK343" s="1" t="str">
        <f t="shared" si="79"/>
        <v/>
      </c>
      <c r="AL343" t="b">
        <f t="shared" si="80"/>
        <v>0</v>
      </c>
      <c r="AM343" s="49" t="str">
        <f t="shared" si="81"/>
        <v>Q</v>
      </c>
      <c r="AP343" s="10" t="s">
        <v>327</v>
      </c>
      <c r="AS343" t="s">
        <v>119</v>
      </c>
      <c r="AT343" s="6" t="s">
        <v>327</v>
      </c>
      <c r="AU343" s="6" t="str">
        <f t="shared" si="82"/>
        <v/>
      </c>
      <c r="AV343" s="6" t="s">
        <v>104</v>
      </c>
      <c r="AW343" s="6" t="str">
        <f t="shared" si="83"/>
        <v/>
      </c>
    </row>
    <row r="344" spans="1:49" ht="75">
      <c r="A344" s="1">
        <v>204145</v>
      </c>
      <c r="B344" t="str">
        <f t="shared" si="71"/>
        <v>7D57BT86045-89</v>
      </c>
      <c r="C344" s="6" t="str">
        <f t="shared" si="72"/>
        <v>ADVANCING CALIFORNIA S OPPORTUNITIES TO RENEW NATIVE HEALTH SYSTEMS (ACORNS)</v>
      </c>
      <c r="D344" s="6" t="str">
        <f t="shared" si="73"/>
        <v>NAVIDEA BIOPHARMACEUTICALS, INC.</v>
      </c>
      <c r="E344">
        <f t="shared" si="74"/>
        <v>34731265</v>
      </c>
      <c r="F344" t="str">
        <f t="shared" si="75"/>
        <v>CDC</v>
      </c>
      <c r="G344" t="str">
        <f t="shared" si="76"/>
        <v>28-8723501</v>
      </c>
      <c r="H344">
        <f t="shared" ca="1" si="77"/>
        <v>2365259</v>
      </c>
      <c r="I344" t="str">
        <f t="shared" si="78"/>
        <v>Annual</v>
      </c>
      <c r="T344" s="54" t="s">
        <v>1882</v>
      </c>
      <c r="U344">
        <v>31656139</v>
      </c>
      <c r="V344" s="10" t="s">
        <v>1269</v>
      </c>
      <c r="W344" s="10" t="s">
        <v>1269</v>
      </c>
      <c r="Y344" s="1" t="s">
        <v>2190</v>
      </c>
      <c r="AI344" s="1">
        <v>204145</v>
      </c>
      <c r="AJ344" s="1" t="s">
        <v>804</v>
      </c>
      <c r="AK344" s="1" t="str">
        <f t="shared" si="79"/>
        <v/>
      </c>
      <c r="AL344" t="b">
        <f t="shared" si="80"/>
        <v>0</v>
      </c>
      <c r="AM344" s="49" t="str">
        <f t="shared" si="81"/>
        <v>Q</v>
      </c>
      <c r="AP344" s="10"/>
      <c r="AS344" t="s">
        <v>119</v>
      </c>
      <c r="AT344" s="6" t="s">
        <v>812</v>
      </c>
      <c r="AU344" s="6" t="str">
        <f t="shared" si="82"/>
        <v/>
      </c>
      <c r="AV344" s="6" t="s">
        <v>811</v>
      </c>
      <c r="AW344" s="6" t="str">
        <f t="shared" si="83"/>
        <v/>
      </c>
    </row>
    <row r="345" spans="1:49" ht="90">
      <c r="A345" s="1">
        <v>204274</v>
      </c>
      <c r="B345" t="str">
        <f t="shared" si="71"/>
        <v>9B84HR89548-41</v>
      </c>
      <c r="C345" s="6" t="str">
        <f t="shared" si="72"/>
        <v>PINOLEVILLE POMO NATION GHWIC PROJECT</v>
      </c>
      <c r="D345" s="6" t="str">
        <f t="shared" si="73"/>
        <v>NAVIGEN, INC.</v>
      </c>
      <c r="E345">
        <f t="shared" si="74"/>
        <v>34731265</v>
      </c>
      <c r="F345" t="str">
        <f t="shared" si="75"/>
        <v>NIH</v>
      </c>
      <c r="G345" t="str">
        <f t="shared" si="76"/>
        <v>28-8723502</v>
      </c>
      <c r="H345">
        <f t="shared" ca="1" si="77"/>
        <v>2120670</v>
      </c>
      <c r="I345" t="str">
        <f t="shared" si="78"/>
        <v>Annual</v>
      </c>
      <c r="T345" s="66" t="s">
        <v>2191</v>
      </c>
      <c r="U345">
        <v>31656139</v>
      </c>
      <c r="V345" s="10" t="s">
        <v>1273</v>
      </c>
      <c r="W345" s="10" t="s">
        <v>1273</v>
      </c>
      <c r="Y345" s="1" t="s">
        <v>2192</v>
      </c>
      <c r="AI345" s="1">
        <v>204274</v>
      </c>
      <c r="AJ345" s="1" t="s">
        <v>119</v>
      </c>
      <c r="AK345" s="1" t="str">
        <f t="shared" si="79"/>
        <v/>
      </c>
      <c r="AL345" t="b">
        <f t="shared" si="80"/>
        <v>1</v>
      </c>
      <c r="AM345" s="49" t="str">
        <f t="shared" si="81"/>
        <v>Q</v>
      </c>
      <c r="AP345" s="10" t="s">
        <v>97</v>
      </c>
      <c r="AS345" t="s">
        <v>119</v>
      </c>
      <c r="AT345" s="6" t="s">
        <v>97</v>
      </c>
      <c r="AU345" s="6" t="str">
        <f t="shared" si="82"/>
        <v/>
      </c>
      <c r="AV345" s="6" t="s">
        <v>96</v>
      </c>
      <c r="AW345" s="6" t="str">
        <f t="shared" si="83"/>
        <v/>
      </c>
    </row>
    <row r="346" spans="1:49" ht="75">
      <c r="A346" s="1">
        <v>204274</v>
      </c>
      <c r="B346" t="str">
        <f t="shared" si="71"/>
        <v>9B84HR89548-41</v>
      </c>
      <c r="C346" s="6" t="str">
        <f t="shared" si="72"/>
        <v>PINOLEVILLE POMO NATION GHWIC PROJECT</v>
      </c>
      <c r="D346" s="6" t="str">
        <f t="shared" si="73"/>
        <v>NAVIGEN, INC.</v>
      </c>
      <c r="E346">
        <f t="shared" si="74"/>
        <v>34731265</v>
      </c>
      <c r="F346" t="str">
        <f t="shared" si="75"/>
        <v>NIH</v>
      </c>
      <c r="G346" t="str">
        <f t="shared" si="76"/>
        <v>28-8723502</v>
      </c>
      <c r="H346">
        <f t="shared" ca="1" si="77"/>
        <v>2120670</v>
      </c>
      <c r="I346" t="str">
        <f t="shared" si="78"/>
        <v>Annual</v>
      </c>
      <c r="T346" s="53" t="s">
        <v>1868</v>
      </c>
      <c r="U346">
        <v>31656139</v>
      </c>
      <c r="V346" s="10" t="s">
        <v>1277</v>
      </c>
      <c r="W346" s="10" t="s">
        <v>1277</v>
      </c>
      <c r="Y346" s="1" t="s">
        <v>2193</v>
      </c>
      <c r="AI346" s="1">
        <v>204274</v>
      </c>
      <c r="AJ346" s="1" t="s">
        <v>119</v>
      </c>
      <c r="AK346" s="1" t="str">
        <f t="shared" si="79"/>
        <v/>
      </c>
      <c r="AL346" t="b">
        <f t="shared" si="80"/>
        <v>1</v>
      </c>
      <c r="AM346" s="49" t="str">
        <f t="shared" si="81"/>
        <v>Q</v>
      </c>
      <c r="AP346" s="10" t="s">
        <v>327</v>
      </c>
      <c r="AS346" t="s">
        <v>119</v>
      </c>
      <c r="AT346" s="6" t="s">
        <v>327</v>
      </c>
      <c r="AU346" s="6" t="str">
        <f t="shared" si="82"/>
        <v/>
      </c>
      <c r="AV346" s="6" t="s">
        <v>104</v>
      </c>
      <c r="AW346" s="6" t="str">
        <f t="shared" si="83"/>
        <v/>
      </c>
    </row>
    <row r="347" spans="1:49" ht="90">
      <c r="A347" s="1">
        <v>204276</v>
      </c>
      <c r="B347" t="str">
        <f t="shared" si="71"/>
        <v>8B89DR89260-92</v>
      </c>
      <c r="C347" s="6" t="str">
        <f t="shared" si="72"/>
        <v>ASIAN LANGUAGE TOBACCO QUITLINE</v>
      </c>
      <c r="D347" s="6" t="str">
        <f t="shared" si="73"/>
        <v>NE SCIENTIFIC, LLC</v>
      </c>
      <c r="E347">
        <f t="shared" si="74"/>
        <v>34731265</v>
      </c>
      <c r="F347" t="str">
        <f t="shared" si="75"/>
        <v>FDA</v>
      </c>
      <c r="G347" t="str">
        <f t="shared" si="76"/>
        <v>28-8723503</v>
      </c>
      <c r="H347">
        <f t="shared" ca="1" si="77"/>
        <v>2863009</v>
      </c>
      <c r="I347" t="str">
        <f t="shared" si="78"/>
        <v>Annual</v>
      </c>
      <c r="T347" s="54" t="s">
        <v>1882</v>
      </c>
      <c r="U347">
        <v>35017058</v>
      </c>
      <c r="V347" s="10" t="s">
        <v>1283</v>
      </c>
      <c r="W347" s="10" t="s">
        <v>1283</v>
      </c>
      <c r="Y347" s="1" t="s">
        <v>2194</v>
      </c>
      <c r="AI347" s="1">
        <v>204276</v>
      </c>
      <c r="AJ347" s="1" t="s">
        <v>119</v>
      </c>
      <c r="AK347" s="1" t="str">
        <f t="shared" si="79"/>
        <v/>
      </c>
      <c r="AL347" t="b">
        <f t="shared" si="80"/>
        <v>1</v>
      </c>
      <c r="AM347" s="49" t="str">
        <f t="shared" si="81"/>
        <v>Q</v>
      </c>
      <c r="AP347" s="10" t="s">
        <v>97</v>
      </c>
      <c r="AS347" t="s">
        <v>119</v>
      </c>
      <c r="AT347" s="6" t="s">
        <v>97</v>
      </c>
      <c r="AU347" s="6" t="str">
        <f t="shared" si="82"/>
        <v/>
      </c>
      <c r="AV347" s="6" t="s">
        <v>96</v>
      </c>
      <c r="AW347" s="6" t="str">
        <f t="shared" si="83"/>
        <v/>
      </c>
    </row>
    <row r="348" spans="1:49" ht="105">
      <c r="A348" s="1">
        <v>204276</v>
      </c>
      <c r="B348" t="str">
        <f t="shared" si="71"/>
        <v>8B89DR89260-92</v>
      </c>
      <c r="C348" s="6" t="str">
        <f t="shared" si="72"/>
        <v>ASIAN LANGUAGE TOBACCO QUITLINE</v>
      </c>
      <c r="D348" s="6" t="str">
        <f t="shared" si="73"/>
        <v>NE SCIENTIFIC, LLC</v>
      </c>
      <c r="E348">
        <f t="shared" si="74"/>
        <v>34731265</v>
      </c>
      <c r="F348" t="str">
        <f t="shared" si="75"/>
        <v>FDA</v>
      </c>
      <c r="G348" t="str">
        <f t="shared" si="76"/>
        <v>28-8723503</v>
      </c>
      <c r="H348">
        <f t="shared" ca="1" si="77"/>
        <v>2863009</v>
      </c>
      <c r="I348" t="str">
        <f t="shared" si="78"/>
        <v>Annual</v>
      </c>
      <c r="T348" s="52" t="s">
        <v>2022</v>
      </c>
      <c r="U348">
        <v>35017058</v>
      </c>
      <c r="V348" s="10" t="s">
        <v>1287</v>
      </c>
      <c r="W348" s="10" t="s">
        <v>1287</v>
      </c>
      <c r="Y348" s="1" t="s">
        <v>2195</v>
      </c>
      <c r="AI348" s="1">
        <v>204276</v>
      </c>
      <c r="AJ348" s="1" t="s">
        <v>119</v>
      </c>
      <c r="AK348" s="1" t="str">
        <f t="shared" si="79"/>
        <v/>
      </c>
      <c r="AL348" t="b">
        <f t="shared" si="80"/>
        <v>1</v>
      </c>
      <c r="AM348" s="49" t="str">
        <f t="shared" si="81"/>
        <v>Q</v>
      </c>
      <c r="AP348" s="10" t="s">
        <v>327</v>
      </c>
      <c r="AS348" t="s">
        <v>119</v>
      </c>
      <c r="AT348" s="6" t="s">
        <v>327</v>
      </c>
      <c r="AU348" s="6" t="str">
        <f t="shared" si="82"/>
        <v/>
      </c>
      <c r="AV348" s="6" t="s">
        <v>104</v>
      </c>
      <c r="AW348" s="6" t="str">
        <f t="shared" si="83"/>
        <v/>
      </c>
    </row>
    <row r="349" spans="1:49" ht="165">
      <c r="A349" s="1">
        <v>204529</v>
      </c>
      <c r="B349" t="str">
        <f t="shared" si="71"/>
        <v>2B66HR84008-37</v>
      </c>
      <c r="C349" s="6" t="str">
        <f t="shared" si="72"/>
        <v>EPIDEMIOLOGY AND LABORATORY CAPACITY FOR INFECTIOUS DISEASES (ELC) - BUILDING AND STRENGTHENING EPIDEMIOLOGY, LABORATORY AND HEALTH INFORMATION SYSTEMS CAPACITY
IN STATE AND LOCAL HEALTH DEPARTMENTS</v>
      </c>
      <c r="D349" s="6" t="str">
        <f t="shared" si="73"/>
        <v>NECTAGEN, INC.</v>
      </c>
      <c r="E349">
        <f t="shared" si="74"/>
        <v>39453249</v>
      </c>
      <c r="F349" t="str">
        <f t="shared" si="75"/>
        <v>ACF</v>
      </c>
      <c r="G349" t="str">
        <f t="shared" si="76"/>
        <v>28-8723504</v>
      </c>
      <c r="H349">
        <f t="shared" ca="1" si="77"/>
        <v>2051751</v>
      </c>
      <c r="I349" t="str">
        <f t="shared" si="78"/>
        <v>Annual</v>
      </c>
      <c r="T349" s="53" t="s">
        <v>2113</v>
      </c>
      <c r="U349">
        <v>35017058</v>
      </c>
      <c r="V349" s="10" t="s">
        <v>1295</v>
      </c>
      <c r="W349" s="10" t="s">
        <v>1295</v>
      </c>
      <c r="Y349" s="1" t="s">
        <v>2196</v>
      </c>
      <c r="AI349" s="1">
        <v>204529</v>
      </c>
      <c r="AJ349" s="1" t="s">
        <v>804</v>
      </c>
      <c r="AK349" s="1" t="str">
        <f t="shared" si="79"/>
        <v/>
      </c>
      <c r="AL349" t="b">
        <f t="shared" si="80"/>
        <v>0</v>
      </c>
      <c r="AM349" s="49" t="str">
        <f t="shared" si="81"/>
        <v>Q</v>
      </c>
      <c r="AP349" s="10" t="s">
        <v>97</v>
      </c>
      <c r="AS349" t="s">
        <v>119</v>
      </c>
      <c r="AT349" s="6" t="s">
        <v>97</v>
      </c>
      <c r="AU349" s="6" t="str">
        <f t="shared" si="82"/>
        <v/>
      </c>
      <c r="AV349" s="6" t="s">
        <v>96</v>
      </c>
      <c r="AW349" s="6" t="str">
        <f t="shared" si="83"/>
        <v/>
      </c>
    </row>
    <row r="350" spans="1:49" ht="165">
      <c r="A350" s="1">
        <v>204529</v>
      </c>
      <c r="B350" t="str">
        <f t="shared" si="71"/>
        <v>2B66HR84008-37</v>
      </c>
      <c r="C350" s="6" t="str">
        <f t="shared" si="72"/>
        <v>EPIDEMIOLOGY AND LABORATORY CAPACITY FOR INFECTIOUS DISEASES (ELC) - BUILDING AND STRENGTHENING EPIDEMIOLOGY, LABORATORY AND HEALTH INFORMATION SYSTEMS CAPACITY
IN STATE AND LOCAL HEALTH DEPARTMENTS</v>
      </c>
      <c r="D350" s="6" t="str">
        <f t="shared" si="73"/>
        <v>NECTAGEN, INC.</v>
      </c>
      <c r="E350">
        <f t="shared" si="74"/>
        <v>39453249</v>
      </c>
      <c r="F350" t="str">
        <f t="shared" si="75"/>
        <v>ACF</v>
      </c>
      <c r="G350" t="str">
        <f t="shared" si="76"/>
        <v>28-8723504</v>
      </c>
      <c r="H350">
        <f t="shared" ca="1" si="77"/>
        <v>2051751</v>
      </c>
      <c r="I350" t="str">
        <f t="shared" si="78"/>
        <v>Annual</v>
      </c>
      <c r="T350" s="72" t="s">
        <v>2197</v>
      </c>
      <c r="U350">
        <v>3340014</v>
      </c>
      <c r="V350" s="10" t="s">
        <v>1299</v>
      </c>
      <c r="W350" s="10" t="s">
        <v>1299</v>
      </c>
      <c r="Y350" s="1" t="s">
        <v>2198</v>
      </c>
      <c r="AI350" s="1">
        <v>204529</v>
      </c>
      <c r="AJ350" s="1" t="s">
        <v>804</v>
      </c>
      <c r="AK350" s="1" t="str">
        <f t="shared" si="79"/>
        <v/>
      </c>
      <c r="AL350" t="b">
        <f t="shared" si="80"/>
        <v>0</v>
      </c>
      <c r="AM350" s="49" t="str">
        <f t="shared" si="81"/>
        <v>Q</v>
      </c>
      <c r="AP350" s="10" t="s">
        <v>327</v>
      </c>
      <c r="AS350" t="s">
        <v>119</v>
      </c>
      <c r="AT350" s="6" t="s">
        <v>327</v>
      </c>
      <c r="AU350" s="6" t="str">
        <f t="shared" si="82"/>
        <v/>
      </c>
      <c r="AV350" s="6" t="s">
        <v>104</v>
      </c>
      <c r="AW350" s="6" t="str">
        <f t="shared" si="83"/>
        <v/>
      </c>
    </row>
    <row r="351" spans="1:49" ht="165">
      <c r="A351" s="1">
        <v>204529</v>
      </c>
      <c r="B351" t="str">
        <f t="shared" si="71"/>
        <v>2B66HR84008-37</v>
      </c>
      <c r="C351" s="6" t="str">
        <f t="shared" si="72"/>
        <v>EPIDEMIOLOGY AND LABORATORY CAPACITY FOR INFECTIOUS DISEASES (ELC) - BUILDING AND STRENGTHENING EPIDEMIOLOGY, LABORATORY AND HEALTH INFORMATION SYSTEMS CAPACITY
IN STATE AND LOCAL HEALTH DEPARTMENTS</v>
      </c>
      <c r="D351" s="6" t="str">
        <f t="shared" si="73"/>
        <v>NECTAGEN, INC.</v>
      </c>
      <c r="E351">
        <f t="shared" si="74"/>
        <v>39453249</v>
      </c>
      <c r="F351" t="str">
        <f t="shared" si="75"/>
        <v>ACF</v>
      </c>
      <c r="G351" t="str">
        <f t="shared" si="76"/>
        <v>28-8723504</v>
      </c>
      <c r="H351">
        <f t="shared" ca="1" si="77"/>
        <v>2051751</v>
      </c>
      <c r="I351" t="str">
        <f t="shared" si="78"/>
        <v>Annual</v>
      </c>
      <c r="T351" s="79" t="s">
        <v>2199</v>
      </c>
      <c r="U351">
        <v>3340014</v>
      </c>
      <c r="V351" s="10" t="s">
        <v>1304</v>
      </c>
      <c r="W351" s="10" t="s">
        <v>1304</v>
      </c>
      <c r="Y351" s="1" t="s">
        <v>2200</v>
      </c>
      <c r="AI351" s="1">
        <v>204529</v>
      </c>
      <c r="AJ351" s="1" t="s">
        <v>804</v>
      </c>
      <c r="AK351" s="1" t="str">
        <f t="shared" si="79"/>
        <v/>
      </c>
      <c r="AL351" t="b">
        <f t="shared" si="80"/>
        <v>0</v>
      </c>
      <c r="AM351" s="49" t="str">
        <f t="shared" si="81"/>
        <v>Q</v>
      </c>
      <c r="AP351" s="10" t="s">
        <v>113</v>
      </c>
      <c r="AS351" t="s">
        <v>119</v>
      </c>
      <c r="AT351" s="6" t="s">
        <v>113</v>
      </c>
      <c r="AU351" s="6" t="str">
        <f t="shared" si="82"/>
        <v/>
      </c>
      <c r="AV351" s="6" t="s">
        <v>112</v>
      </c>
      <c r="AW351" s="6" t="str">
        <f t="shared" si="83"/>
        <v/>
      </c>
    </row>
    <row r="352" spans="1:49" ht="90">
      <c r="A352" s="1">
        <v>204932</v>
      </c>
      <c r="B352" t="str">
        <f t="shared" si="71"/>
        <v>2B20AR88759-19</v>
      </c>
      <c r="C352" s="6" t="str">
        <f t="shared" si="72"/>
        <v>LOS ANGELES COUNTY EPIDEMIOLOGY AND LABORATORY CAPACITY COOPERATIVE AGREEMENT 2019</v>
      </c>
      <c r="D352" s="6" t="str">
        <f t="shared" si="73"/>
        <v>NEMAMETRIX, INC.</v>
      </c>
      <c r="E352">
        <f t="shared" si="74"/>
        <v>39453249</v>
      </c>
      <c r="F352" t="str">
        <f t="shared" si="75"/>
        <v>CDC</v>
      </c>
      <c r="G352" t="str">
        <f t="shared" si="76"/>
        <v>28-8723505</v>
      </c>
      <c r="H352">
        <f t="shared" ca="1" si="77"/>
        <v>2197038</v>
      </c>
      <c r="I352" t="str">
        <f t="shared" si="78"/>
        <v>Annual</v>
      </c>
      <c r="T352" s="77" t="s">
        <v>2201</v>
      </c>
      <c r="U352">
        <v>3340014</v>
      </c>
      <c r="V352" s="10" t="s">
        <v>1308</v>
      </c>
      <c r="W352" s="10" t="s">
        <v>1308</v>
      </c>
      <c r="Y352" s="1" t="s">
        <v>2202</v>
      </c>
      <c r="AI352" s="1">
        <v>204932</v>
      </c>
      <c r="AJ352" s="1" t="s">
        <v>119</v>
      </c>
      <c r="AK352" s="1" t="str">
        <f t="shared" si="79"/>
        <v/>
      </c>
      <c r="AL352" t="b">
        <f t="shared" si="80"/>
        <v>1</v>
      </c>
      <c r="AM352" s="49" t="str">
        <f t="shared" si="81"/>
        <v>Q</v>
      </c>
      <c r="AP352" s="10" t="s">
        <v>97</v>
      </c>
      <c r="AS352" t="s">
        <v>119</v>
      </c>
      <c r="AT352" s="6" t="s">
        <v>97</v>
      </c>
      <c r="AU352" s="6" t="str">
        <f t="shared" si="82"/>
        <v/>
      </c>
      <c r="AV352" s="6" t="s">
        <v>96</v>
      </c>
      <c r="AW352" s="6" t="str">
        <f t="shared" si="83"/>
        <v/>
      </c>
    </row>
    <row r="353" spans="1:49" ht="75">
      <c r="A353" s="1">
        <v>204932</v>
      </c>
      <c r="B353" t="str">
        <f t="shared" si="71"/>
        <v>2B20AR88759-19</v>
      </c>
      <c r="C353" s="6" t="str">
        <f t="shared" si="72"/>
        <v>LOS ANGELES COUNTY EPIDEMIOLOGY AND LABORATORY CAPACITY COOPERATIVE AGREEMENT 2019</v>
      </c>
      <c r="D353" s="6" t="str">
        <f t="shared" si="73"/>
        <v>NEMAMETRIX, INC.</v>
      </c>
      <c r="E353">
        <f t="shared" si="74"/>
        <v>39453249</v>
      </c>
      <c r="F353" t="str">
        <f t="shared" si="75"/>
        <v>CDC</v>
      </c>
      <c r="G353" t="str">
        <f t="shared" si="76"/>
        <v>28-8723505</v>
      </c>
      <c r="H353">
        <f t="shared" ca="1" si="77"/>
        <v>2197038</v>
      </c>
      <c r="I353" t="str">
        <f t="shared" si="78"/>
        <v>Annual</v>
      </c>
      <c r="T353" s="75" t="s">
        <v>2203</v>
      </c>
      <c r="U353">
        <v>18751427</v>
      </c>
      <c r="V353" s="10" t="s">
        <v>1314</v>
      </c>
      <c r="W353" s="10" t="s">
        <v>1314</v>
      </c>
      <c r="Y353" s="1" t="s">
        <v>2204</v>
      </c>
      <c r="AI353" s="1">
        <v>204932</v>
      </c>
      <c r="AJ353" s="1" t="s">
        <v>119</v>
      </c>
      <c r="AK353" s="1" t="str">
        <f t="shared" si="79"/>
        <v/>
      </c>
      <c r="AL353" t="b">
        <f t="shared" si="80"/>
        <v>1</v>
      </c>
      <c r="AM353" s="49" t="str">
        <f t="shared" si="81"/>
        <v>Q</v>
      </c>
      <c r="AP353" s="10" t="s">
        <v>327</v>
      </c>
      <c r="AS353" t="s">
        <v>119</v>
      </c>
      <c r="AT353" s="6" t="s">
        <v>327</v>
      </c>
      <c r="AU353" s="6" t="str">
        <f t="shared" si="82"/>
        <v/>
      </c>
      <c r="AV353" s="6" t="s">
        <v>104</v>
      </c>
      <c r="AW353" s="6" t="str">
        <f t="shared" si="83"/>
        <v/>
      </c>
    </row>
    <row r="354" spans="1:49" ht="90">
      <c r="A354" s="1">
        <v>204932</v>
      </c>
      <c r="B354" t="str">
        <f t="shared" si="71"/>
        <v>2B20AR88759-19</v>
      </c>
      <c r="C354" s="6" t="str">
        <f t="shared" si="72"/>
        <v>LOS ANGELES COUNTY EPIDEMIOLOGY AND LABORATORY CAPACITY COOPERATIVE AGREEMENT 2019</v>
      </c>
      <c r="D354" s="6" t="str">
        <f t="shared" si="73"/>
        <v>NEMAMETRIX, INC.</v>
      </c>
      <c r="E354">
        <f t="shared" si="74"/>
        <v>39453249</v>
      </c>
      <c r="F354" t="str">
        <f t="shared" si="75"/>
        <v>CDC</v>
      </c>
      <c r="G354" t="str">
        <f t="shared" si="76"/>
        <v>28-8723505</v>
      </c>
      <c r="H354">
        <f t="shared" ca="1" si="77"/>
        <v>2197038</v>
      </c>
      <c r="I354" t="str">
        <f t="shared" si="78"/>
        <v>Annual</v>
      </c>
      <c r="T354" s="77" t="s">
        <v>2205</v>
      </c>
      <c r="U354">
        <v>18751427</v>
      </c>
      <c r="V354" s="10" t="s">
        <v>1318</v>
      </c>
      <c r="W354" s="10" t="s">
        <v>1318</v>
      </c>
      <c r="Y354" s="1" t="s">
        <v>2206</v>
      </c>
      <c r="AI354" s="1">
        <v>204932</v>
      </c>
      <c r="AJ354" s="1" t="s">
        <v>119</v>
      </c>
      <c r="AK354" s="1" t="str">
        <f t="shared" si="79"/>
        <v/>
      </c>
      <c r="AL354" t="b">
        <f t="shared" si="80"/>
        <v>1</v>
      </c>
      <c r="AM354" s="49" t="str">
        <f t="shared" si="81"/>
        <v>Q</v>
      </c>
      <c r="AP354" s="10" t="s">
        <v>113</v>
      </c>
      <c r="AS354" t="s">
        <v>119</v>
      </c>
      <c r="AT354" s="6" t="s">
        <v>113</v>
      </c>
      <c r="AU354" s="6" t="str">
        <f t="shared" si="82"/>
        <v/>
      </c>
      <c r="AV354" s="6" t="s">
        <v>112</v>
      </c>
      <c r="AW354" s="6" t="str">
        <f t="shared" si="83"/>
        <v/>
      </c>
    </row>
    <row r="355" spans="1:49" ht="90">
      <c r="A355" s="1">
        <v>205167</v>
      </c>
      <c r="B355" t="str">
        <f t="shared" si="71"/>
        <v>9B52ER86229-71</v>
      </c>
      <c r="C355" s="6" t="str">
        <f t="shared" si="72"/>
        <v>CALIFORNIA ELC 2014</v>
      </c>
      <c r="D355" s="6" t="str">
        <f t="shared" si="73"/>
        <v>NEMOURS CHILDREN'S CLINIC</v>
      </c>
      <c r="E355">
        <f t="shared" si="74"/>
        <v>32432279</v>
      </c>
      <c r="F355" t="str">
        <f t="shared" si="75"/>
        <v>NIH</v>
      </c>
      <c r="G355" t="str">
        <f t="shared" si="76"/>
        <v>28-8723506</v>
      </c>
      <c r="H355">
        <f t="shared" ca="1" si="77"/>
        <v>2860542</v>
      </c>
      <c r="I355" t="str">
        <f t="shared" si="78"/>
        <v>Annual</v>
      </c>
      <c r="T355" s="77" t="s">
        <v>2207</v>
      </c>
      <c r="U355">
        <v>18751427</v>
      </c>
      <c r="V355" s="10" t="s">
        <v>1325</v>
      </c>
      <c r="W355" s="10" t="s">
        <v>1325</v>
      </c>
      <c r="Y355" s="1" t="s">
        <v>2208</v>
      </c>
      <c r="AI355" s="1">
        <v>205167</v>
      </c>
      <c r="AJ355" s="1" t="s">
        <v>85</v>
      </c>
      <c r="AK355" s="1" t="str">
        <f t="shared" si="79"/>
        <v/>
      </c>
      <c r="AL355" t="b">
        <f t="shared" si="80"/>
        <v>0</v>
      </c>
      <c r="AM355" s="49" t="str">
        <f t="shared" si="81"/>
        <v>Q</v>
      </c>
      <c r="AP355" s="10" t="s">
        <v>97</v>
      </c>
      <c r="AS355" t="s">
        <v>119</v>
      </c>
      <c r="AT355" s="6" t="s">
        <v>97</v>
      </c>
      <c r="AU355" s="6" t="str">
        <f t="shared" si="82"/>
        <v/>
      </c>
      <c r="AV355" s="6" t="s">
        <v>96</v>
      </c>
      <c r="AW355" s="6" t="str">
        <f t="shared" si="83"/>
        <v/>
      </c>
    </row>
    <row r="356" spans="1:49" ht="75">
      <c r="A356" s="1">
        <v>205167</v>
      </c>
      <c r="B356" t="str">
        <f t="shared" si="71"/>
        <v>9B52ER86229-71</v>
      </c>
      <c r="C356" s="6" t="str">
        <f t="shared" si="72"/>
        <v>CALIFORNIA ELC 2014</v>
      </c>
      <c r="D356" s="6" t="str">
        <f t="shared" si="73"/>
        <v>NEMOURS CHILDREN'S CLINIC</v>
      </c>
      <c r="E356">
        <f t="shared" si="74"/>
        <v>32432279</v>
      </c>
      <c r="F356" t="str">
        <f t="shared" si="75"/>
        <v>NIH</v>
      </c>
      <c r="G356" t="str">
        <f t="shared" si="76"/>
        <v>28-8723506</v>
      </c>
      <c r="H356">
        <f t="shared" ca="1" si="77"/>
        <v>2860542</v>
      </c>
      <c r="I356" t="str">
        <f t="shared" si="78"/>
        <v>Annual</v>
      </c>
      <c r="T356" s="77" t="s">
        <v>2209</v>
      </c>
      <c r="U356">
        <v>18751427</v>
      </c>
      <c r="V356" s="10" t="s">
        <v>1330</v>
      </c>
      <c r="W356" s="10" t="s">
        <v>1330</v>
      </c>
      <c r="Y356" s="1" t="s">
        <v>2210</v>
      </c>
      <c r="AI356" s="1">
        <v>205167</v>
      </c>
      <c r="AJ356" s="1" t="s">
        <v>85</v>
      </c>
      <c r="AK356" s="1" t="str">
        <f t="shared" si="79"/>
        <v/>
      </c>
      <c r="AL356" t="b">
        <f t="shared" si="80"/>
        <v>0</v>
      </c>
      <c r="AM356" s="49" t="str">
        <f t="shared" si="81"/>
        <v>Q</v>
      </c>
      <c r="AP356" s="10" t="s">
        <v>327</v>
      </c>
      <c r="AS356" t="s">
        <v>119</v>
      </c>
      <c r="AT356" s="6" t="s">
        <v>327</v>
      </c>
      <c r="AU356" s="6" t="str">
        <f t="shared" si="82"/>
        <v/>
      </c>
      <c r="AV356" s="6" t="s">
        <v>104</v>
      </c>
      <c r="AW356" s="6" t="str">
        <f t="shared" si="83"/>
        <v/>
      </c>
    </row>
    <row r="357" spans="1:49" ht="45">
      <c r="A357" s="1">
        <v>205167</v>
      </c>
      <c r="B357" t="str">
        <f t="shared" si="71"/>
        <v>9B52ER86229-71</v>
      </c>
      <c r="C357" s="6" t="str">
        <f t="shared" si="72"/>
        <v>CALIFORNIA ELC 2014</v>
      </c>
      <c r="D357" s="6" t="str">
        <f t="shared" si="73"/>
        <v>NEMOURS CHILDREN'S CLINIC</v>
      </c>
      <c r="E357">
        <f t="shared" si="74"/>
        <v>32432279</v>
      </c>
      <c r="F357" t="str">
        <f t="shared" si="75"/>
        <v>NIH</v>
      </c>
      <c r="G357" t="str">
        <f t="shared" si="76"/>
        <v>28-8723506</v>
      </c>
      <c r="H357">
        <f t="shared" ca="1" si="77"/>
        <v>2860542</v>
      </c>
      <c r="I357" t="str">
        <f t="shared" si="78"/>
        <v>Annual</v>
      </c>
      <c r="T357" s="75" t="s">
        <v>2211</v>
      </c>
      <c r="U357">
        <v>18751427</v>
      </c>
      <c r="V357" s="10" t="s">
        <v>1335</v>
      </c>
      <c r="W357" s="10" t="s">
        <v>1335</v>
      </c>
      <c r="Y357" s="1" t="s">
        <v>2212</v>
      </c>
      <c r="AI357" s="1">
        <v>205167</v>
      </c>
      <c r="AJ357" s="1" t="s">
        <v>85</v>
      </c>
      <c r="AK357" s="1" t="str">
        <f t="shared" si="79"/>
        <v/>
      </c>
      <c r="AL357" t="b">
        <f t="shared" si="80"/>
        <v>0</v>
      </c>
      <c r="AM357" s="49" t="str">
        <f t="shared" si="81"/>
        <v>Q</v>
      </c>
      <c r="AP357" s="10" t="s">
        <v>113</v>
      </c>
      <c r="AS357" t="s">
        <v>119</v>
      </c>
      <c r="AT357" s="6" t="s">
        <v>113</v>
      </c>
      <c r="AU357" s="6" t="str">
        <f t="shared" si="82"/>
        <v/>
      </c>
      <c r="AV357" s="6" t="s">
        <v>112</v>
      </c>
      <c r="AW357" s="6" t="str">
        <f t="shared" si="83"/>
        <v/>
      </c>
    </row>
    <row r="358" spans="1:49" ht="90">
      <c r="A358" s="1">
        <v>205482</v>
      </c>
      <c r="B358" t="str">
        <f t="shared" si="71"/>
        <v>4D31GT89234-76</v>
      </c>
      <c r="C358" s="6" t="str">
        <f t="shared" si="72"/>
        <v>PHFE CDPH ELC 2019-2024</v>
      </c>
      <c r="D358" s="6" t="str">
        <f t="shared" si="73"/>
        <v>NEOKERA, LLC</v>
      </c>
      <c r="E358">
        <f t="shared" si="74"/>
        <v>32432279</v>
      </c>
      <c r="F358" t="str">
        <f t="shared" si="75"/>
        <v>FDA</v>
      </c>
      <c r="G358" t="str">
        <f t="shared" si="76"/>
        <v>28-8723507</v>
      </c>
      <c r="H358">
        <f t="shared" ca="1" si="77"/>
        <v>2834348</v>
      </c>
      <c r="I358" t="str">
        <f t="shared" si="78"/>
        <v>Annual</v>
      </c>
      <c r="T358" s="73" t="s">
        <v>2213</v>
      </c>
      <c r="U358">
        <v>35699625</v>
      </c>
      <c r="V358" s="10" t="s">
        <v>1341</v>
      </c>
      <c r="W358" s="10" t="s">
        <v>1341</v>
      </c>
      <c r="Y358" s="1" t="s">
        <v>2214</v>
      </c>
      <c r="AI358" s="1">
        <v>205482</v>
      </c>
      <c r="AJ358" s="1" t="s">
        <v>119</v>
      </c>
      <c r="AK358" s="1" t="str">
        <f t="shared" si="79"/>
        <v/>
      </c>
      <c r="AL358" t="b">
        <f t="shared" si="80"/>
        <v>1</v>
      </c>
      <c r="AM358" s="49" t="str">
        <f t="shared" si="81"/>
        <v>Q</v>
      </c>
      <c r="AP358" s="10" t="s">
        <v>97</v>
      </c>
      <c r="AS358" t="s">
        <v>119</v>
      </c>
      <c r="AT358" s="6" t="s">
        <v>97</v>
      </c>
      <c r="AU358" s="6" t="str">
        <f t="shared" si="82"/>
        <v/>
      </c>
      <c r="AV358" s="6" t="s">
        <v>96</v>
      </c>
      <c r="AW358" s="6" t="str">
        <f t="shared" si="83"/>
        <v/>
      </c>
    </row>
    <row r="359" spans="1:49" ht="75">
      <c r="A359" s="1">
        <v>205482</v>
      </c>
      <c r="B359" t="str">
        <f t="shared" si="71"/>
        <v>4D31GT89234-76</v>
      </c>
      <c r="C359" s="6" t="str">
        <f t="shared" si="72"/>
        <v>PHFE CDPH ELC 2019-2024</v>
      </c>
      <c r="D359" s="6" t="str">
        <f t="shared" si="73"/>
        <v>NEOKERA, LLC</v>
      </c>
      <c r="E359">
        <f t="shared" si="74"/>
        <v>32432279</v>
      </c>
      <c r="F359" t="str">
        <f t="shared" si="75"/>
        <v>FDA</v>
      </c>
      <c r="G359" t="str">
        <f t="shared" si="76"/>
        <v>28-8723507</v>
      </c>
      <c r="H359">
        <f t="shared" ca="1" si="77"/>
        <v>2834348</v>
      </c>
      <c r="I359" t="str">
        <f t="shared" si="78"/>
        <v>Annual</v>
      </c>
      <c r="T359" s="75" t="s">
        <v>2215</v>
      </c>
      <c r="U359">
        <v>35699625</v>
      </c>
      <c r="V359" s="10" t="s">
        <v>1348</v>
      </c>
      <c r="W359" s="10" t="s">
        <v>1348</v>
      </c>
      <c r="Y359" s="1" t="s">
        <v>2216</v>
      </c>
      <c r="AI359" s="1">
        <v>205482</v>
      </c>
      <c r="AJ359" s="1" t="s">
        <v>119</v>
      </c>
      <c r="AK359" s="1" t="str">
        <f t="shared" si="79"/>
        <v/>
      </c>
      <c r="AL359" t="b">
        <f t="shared" si="80"/>
        <v>1</v>
      </c>
      <c r="AM359" s="49" t="str">
        <f t="shared" si="81"/>
        <v>Q</v>
      </c>
      <c r="AP359" s="10" t="s">
        <v>327</v>
      </c>
      <c r="AS359" t="s">
        <v>119</v>
      </c>
      <c r="AT359" s="6" t="s">
        <v>327</v>
      </c>
      <c r="AU359" s="6" t="str">
        <f t="shared" si="82"/>
        <v/>
      </c>
      <c r="AV359" s="6" t="s">
        <v>104</v>
      </c>
      <c r="AW359" s="6" t="str">
        <f t="shared" si="83"/>
        <v/>
      </c>
    </row>
    <row r="360" spans="1:49" ht="45">
      <c r="A360" s="1">
        <v>205482</v>
      </c>
      <c r="B360" t="str">
        <f t="shared" si="71"/>
        <v>4D31GT89234-76</v>
      </c>
      <c r="C360" s="6" t="str">
        <f t="shared" si="72"/>
        <v>PHFE CDPH ELC 2019-2024</v>
      </c>
      <c r="D360" s="6" t="str">
        <f t="shared" si="73"/>
        <v>NEOKERA, LLC</v>
      </c>
      <c r="E360">
        <f t="shared" si="74"/>
        <v>32432279</v>
      </c>
      <c r="F360" t="str">
        <f t="shared" si="75"/>
        <v>FDA</v>
      </c>
      <c r="G360" t="str">
        <f t="shared" si="76"/>
        <v>28-8723507</v>
      </c>
      <c r="H360">
        <f t="shared" ca="1" si="77"/>
        <v>2834348</v>
      </c>
      <c r="I360" t="str">
        <f t="shared" si="78"/>
        <v>Annual</v>
      </c>
      <c r="T360" s="75" t="s">
        <v>2217</v>
      </c>
      <c r="U360">
        <v>35699625</v>
      </c>
      <c r="V360" s="10" t="s">
        <v>1352</v>
      </c>
      <c r="W360" s="10" t="s">
        <v>1352</v>
      </c>
      <c r="Y360" s="1" t="s">
        <v>2218</v>
      </c>
      <c r="AI360" s="1">
        <v>205482</v>
      </c>
      <c r="AJ360" s="1" t="s">
        <v>119</v>
      </c>
      <c r="AK360" s="1" t="str">
        <f t="shared" si="79"/>
        <v/>
      </c>
      <c r="AL360" t="b">
        <f t="shared" si="80"/>
        <v>1</v>
      </c>
      <c r="AM360" s="49" t="str">
        <f t="shared" si="81"/>
        <v>Q</v>
      </c>
      <c r="AP360" s="10"/>
      <c r="AS360" t="s">
        <v>119</v>
      </c>
      <c r="AT360" s="6" t="s">
        <v>812</v>
      </c>
      <c r="AU360" s="6" t="str">
        <f t="shared" si="82"/>
        <v/>
      </c>
      <c r="AV360" s="6" t="s">
        <v>811</v>
      </c>
      <c r="AW360" s="6" t="str">
        <f t="shared" si="83"/>
        <v/>
      </c>
    </row>
    <row r="361" spans="1:49" ht="135">
      <c r="A361" s="1">
        <v>205633</v>
      </c>
      <c r="B361" t="str">
        <f t="shared" si="71"/>
        <v>2D14DT89912-52</v>
      </c>
      <c r="C361" s="6" t="str">
        <f t="shared" si="72"/>
        <v>GH16-1719, TITLED GLOBAL EMERGENCY RESPONSE AND RECOVERY PARTNER ENGAGEMENT: EXPANDING EFFORTS AND STRATEGIES TO IMPROVE RAPID RESPONSE TO
PUBLIC HEALTH EMERGENCIES GLOBALLY</v>
      </c>
      <c r="D361" s="6" t="str">
        <f t="shared" si="73"/>
        <v>NEONC TECHNOLOGIES, INC.</v>
      </c>
      <c r="E361">
        <f t="shared" si="74"/>
        <v>13622606</v>
      </c>
      <c r="F361" t="str">
        <f t="shared" si="75"/>
        <v>ACF</v>
      </c>
      <c r="G361" t="str">
        <f t="shared" si="76"/>
        <v>28-8723508</v>
      </c>
      <c r="H361">
        <f t="shared" ca="1" si="77"/>
        <v>2265515</v>
      </c>
      <c r="I361" t="str">
        <f t="shared" si="78"/>
        <v>Annual</v>
      </c>
      <c r="T361" s="80" t="s">
        <v>2219</v>
      </c>
      <c r="U361">
        <v>37407138</v>
      </c>
      <c r="V361" s="10" t="s">
        <v>1357</v>
      </c>
      <c r="W361" s="10" t="s">
        <v>1357</v>
      </c>
      <c r="Y361" s="1" t="s">
        <v>2220</v>
      </c>
      <c r="AI361" s="1">
        <v>205633</v>
      </c>
      <c r="AJ361" s="1" t="s">
        <v>119</v>
      </c>
      <c r="AK361" s="1" t="str">
        <f t="shared" si="79"/>
        <v/>
      </c>
      <c r="AL361" t="b">
        <f t="shared" si="80"/>
        <v>1</v>
      </c>
      <c r="AM361" s="49" t="str">
        <f t="shared" si="81"/>
        <v>Q</v>
      </c>
      <c r="AP361" s="10" t="s">
        <v>97</v>
      </c>
      <c r="AS361" t="s">
        <v>119</v>
      </c>
      <c r="AT361" s="6" t="s">
        <v>97</v>
      </c>
      <c r="AU361" s="6" t="str">
        <f t="shared" si="82"/>
        <v/>
      </c>
      <c r="AV361" s="6" t="s">
        <v>96</v>
      </c>
      <c r="AW361" s="6" t="str">
        <f t="shared" si="83"/>
        <v/>
      </c>
    </row>
    <row r="362" spans="1:49" ht="135">
      <c r="A362" s="1">
        <v>205633</v>
      </c>
      <c r="B362" t="str">
        <f t="shared" si="71"/>
        <v>2D14DT89912-52</v>
      </c>
      <c r="C362" s="6" t="str">
        <f t="shared" si="72"/>
        <v>GH16-1719, TITLED GLOBAL EMERGENCY RESPONSE AND RECOVERY PARTNER ENGAGEMENT: EXPANDING EFFORTS AND STRATEGIES TO IMPROVE RAPID RESPONSE TO
PUBLIC HEALTH EMERGENCIES GLOBALLY</v>
      </c>
      <c r="D362" s="6" t="str">
        <f t="shared" si="73"/>
        <v>NEONC TECHNOLOGIES, INC.</v>
      </c>
      <c r="E362">
        <f t="shared" si="74"/>
        <v>13622606</v>
      </c>
      <c r="F362" t="str">
        <f t="shared" si="75"/>
        <v>ACF</v>
      </c>
      <c r="G362" t="str">
        <f t="shared" si="76"/>
        <v>28-8723508</v>
      </c>
      <c r="H362">
        <f t="shared" ca="1" si="77"/>
        <v>2265515</v>
      </c>
      <c r="I362" t="str">
        <f t="shared" si="78"/>
        <v>Annual</v>
      </c>
      <c r="T362" s="76" t="s">
        <v>2221</v>
      </c>
      <c r="U362">
        <v>37407138</v>
      </c>
      <c r="V362" s="10" t="s">
        <v>1363</v>
      </c>
      <c r="W362" s="10" t="s">
        <v>1363</v>
      </c>
      <c r="Y362" s="1" t="s">
        <v>2222</v>
      </c>
      <c r="AI362" s="1">
        <v>205633</v>
      </c>
      <c r="AJ362" s="1" t="s">
        <v>119</v>
      </c>
      <c r="AK362" s="1" t="str">
        <f t="shared" si="79"/>
        <v/>
      </c>
      <c r="AL362" t="b">
        <f t="shared" si="80"/>
        <v>1</v>
      </c>
      <c r="AM362" s="49" t="str">
        <f t="shared" si="81"/>
        <v>Q</v>
      </c>
      <c r="AP362" s="10" t="s">
        <v>327</v>
      </c>
      <c r="AS362" t="s">
        <v>119</v>
      </c>
      <c r="AT362" s="6" t="s">
        <v>327</v>
      </c>
      <c r="AU362" s="6" t="str">
        <f t="shared" si="82"/>
        <v/>
      </c>
      <c r="AV362" s="6" t="s">
        <v>104</v>
      </c>
      <c r="AW362" s="6" t="str">
        <f t="shared" si="83"/>
        <v/>
      </c>
    </row>
    <row r="363" spans="1:49" ht="135">
      <c r="A363" s="1">
        <v>205633</v>
      </c>
      <c r="B363" t="str">
        <f t="shared" si="71"/>
        <v>2D14DT89912-52</v>
      </c>
      <c r="C363" s="6" t="str">
        <f t="shared" si="72"/>
        <v>GH16-1719, TITLED GLOBAL EMERGENCY RESPONSE AND RECOVERY PARTNER ENGAGEMENT: EXPANDING EFFORTS AND STRATEGIES TO IMPROVE RAPID RESPONSE TO
PUBLIC HEALTH EMERGENCIES GLOBALLY</v>
      </c>
      <c r="D363" s="6" t="str">
        <f t="shared" si="73"/>
        <v>NEONC TECHNOLOGIES, INC.</v>
      </c>
      <c r="E363">
        <f t="shared" si="74"/>
        <v>13622606</v>
      </c>
      <c r="F363" t="str">
        <f t="shared" si="75"/>
        <v>ACF</v>
      </c>
      <c r="G363" t="str">
        <f t="shared" si="76"/>
        <v>28-8723508</v>
      </c>
      <c r="H363">
        <f t="shared" ca="1" si="77"/>
        <v>2265515</v>
      </c>
      <c r="I363" t="str">
        <f t="shared" si="78"/>
        <v>Annual</v>
      </c>
      <c r="T363" s="79" t="s">
        <v>2223</v>
      </c>
      <c r="U363">
        <v>14160249</v>
      </c>
      <c r="V363" s="10" t="s">
        <v>1369</v>
      </c>
      <c r="W363" s="10" t="s">
        <v>1369</v>
      </c>
      <c r="Y363" s="1" t="s">
        <v>2224</v>
      </c>
      <c r="AI363" s="1">
        <v>205633</v>
      </c>
      <c r="AJ363" s="1" t="s">
        <v>119</v>
      </c>
      <c r="AK363" s="1" t="str">
        <f t="shared" si="79"/>
        <v/>
      </c>
      <c r="AL363" t="b">
        <f t="shared" si="80"/>
        <v>1</v>
      </c>
      <c r="AM363" s="49" t="str">
        <f t="shared" si="81"/>
        <v>Q</v>
      </c>
      <c r="AP363" s="10" t="s">
        <v>113</v>
      </c>
      <c r="AS363" t="s">
        <v>119</v>
      </c>
      <c r="AT363" s="6" t="s">
        <v>113</v>
      </c>
      <c r="AU363" s="6" t="str">
        <f t="shared" si="82"/>
        <v/>
      </c>
      <c r="AV363" s="6" t="s">
        <v>112</v>
      </c>
      <c r="AW363" s="6" t="str">
        <f t="shared" si="83"/>
        <v/>
      </c>
    </row>
    <row r="364" spans="1:49" ht="90">
      <c r="A364" s="1">
        <v>208713</v>
      </c>
      <c r="B364" t="str">
        <f t="shared" si="71"/>
        <v>7C29GS89914-42</v>
      </c>
      <c r="C364" s="6" t="str">
        <f t="shared" si="72"/>
        <v>LOS ANGELES COUNTY EPIDEMIOLOGY AND LABORATORY CAPACITY COOPERATIVE AGREEMENT 2019</v>
      </c>
      <c r="D364" s="6" t="str">
        <f t="shared" si="73"/>
        <v>NEOVATIVE, INC.</v>
      </c>
      <c r="E364">
        <f t="shared" si="74"/>
        <v>13622606</v>
      </c>
      <c r="F364" t="str">
        <f t="shared" si="75"/>
        <v>CDC</v>
      </c>
      <c r="G364" t="str">
        <f t="shared" si="76"/>
        <v>28-8723509</v>
      </c>
      <c r="H364">
        <f t="shared" ca="1" si="77"/>
        <v>2378005</v>
      </c>
      <c r="I364" t="str">
        <f t="shared" si="78"/>
        <v>Annual</v>
      </c>
      <c r="T364" s="79" t="s">
        <v>2225</v>
      </c>
      <c r="U364">
        <v>14160249</v>
      </c>
      <c r="V364" s="10" t="s">
        <v>1374</v>
      </c>
      <c r="W364" s="10" t="s">
        <v>1374</v>
      </c>
      <c r="Y364" s="1" t="s">
        <v>2226</v>
      </c>
      <c r="AI364" s="1">
        <v>208713</v>
      </c>
      <c r="AJ364" s="1" t="s">
        <v>119</v>
      </c>
      <c r="AK364" s="1" t="str">
        <f t="shared" si="79"/>
        <v/>
      </c>
      <c r="AL364" t="b">
        <f t="shared" si="80"/>
        <v>1</v>
      </c>
      <c r="AM364" s="49" t="str">
        <f t="shared" si="81"/>
        <v>Q</v>
      </c>
      <c r="AP364" s="10" t="s">
        <v>97</v>
      </c>
      <c r="AS364" t="s">
        <v>119</v>
      </c>
      <c r="AT364" s="6" t="s">
        <v>97</v>
      </c>
      <c r="AU364" s="6" t="str">
        <f t="shared" si="82"/>
        <v/>
      </c>
      <c r="AV364" s="6" t="s">
        <v>96</v>
      </c>
      <c r="AW364" s="6" t="str">
        <f t="shared" si="83"/>
        <v/>
      </c>
    </row>
    <row r="365" spans="1:49" ht="75">
      <c r="A365" s="1">
        <v>208713</v>
      </c>
      <c r="B365" t="str">
        <f t="shared" si="71"/>
        <v>7C29GS89914-42</v>
      </c>
      <c r="C365" s="6" t="str">
        <f t="shared" si="72"/>
        <v>LOS ANGELES COUNTY EPIDEMIOLOGY AND LABORATORY CAPACITY COOPERATIVE AGREEMENT 2019</v>
      </c>
      <c r="D365" s="6" t="str">
        <f t="shared" si="73"/>
        <v>NEOVATIVE, INC.</v>
      </c>
      <c r="E365">
        <f t="shared" si="74"/>
        <v>13622606</v>
      </c>
      <c r="F365" t="str">
        <f t="shared" si="75"/>
        <v>CDC</v>
      </c>
      <c r="G365" t="str">
        <f t="shared" si="76"/>
        <v>28-8723509</v>
      </c>
      <c r="H365">
        <f t="shared" ca="1" si="77"/>
        <v>2378005</v>
      </c>
      <c r="I365" t="str">
        <f t="shared" si="78"/>
        <v>Annual</v>
      </c>
      <c r="T365" s="80" t="s">
        <v>2227</v>
      </c>
      <c r="U365">
        <v>14160249</v>
      </c>
      <c r="V365" s="10" t="s">
        <v>1379</v>
      </c>
      <c r="W365" s="10" t="s">
        <v>1379</v>
      </c>
      <c r="Y365" s="1" t="s">
        <v>2228</v>
      </c>
      <c r="AI365" s="1">
        <v>208713</v>
      </c>
      <c r="AJ365" s="1" t="s">
        <v>119</v>
      </c>
      <c r="AK365" s="1" t="str">
        <f t="shared" si="79"/>
        <v/>
      </c>
      <c r="AL365" t="b">
        <f t="shared" si="80"/>
        <v>1</v>
      </c>
      <c r="AM365" s="49" t="str">
        <f t="shared" si="81"/>
        <v>Q</v>
      </c>
      <c r="AP365" s="10" t="s">
        <v>327</v>
      </c>
      <c r="AS365" t="s">
        <v>119</v>
      </c>
      <c r="AT365" s="6" t="s">
        <v>327</v>
      </c>
      <c r="AU365" s="6" t="str">
        <f t="shared" si="82"/>
        <v/>
      </c>
      <c r="AV365" s="6" t="s">
        <v>104</v>
      </c>
      <c r="AW365" s="6" t="str">
        <f t="shared" si="83"/>
        <v/>
      </c>
    </row>
    <row r="366" spans="1:49" ht="75">
      <c r="A366" s="1">
        <v>208713</v>
      </c>
      <c r="B366" t="str">
        <f t="shared" si="71"/>
        <v>7C29GS89914-42</v>
      </c>
      <c r="C366" s="6" t="str">
        <f t="shared" si="72"/>
        <v>LOS ANGELES COUNTY EPIDEMIOLOGY AND LABORATORY CAPACITY COOPERATIVE AGREEMENT 2019</v>
      </c>
      <c r="D366" s="6" t="str">
        <f t="shared" si="73"/>
        <v>NEOVATIVE, INC.</v>
      </c>
      <c r="E366">
        <f t="shared" si="74"/>
        <v>13622606</v>
      </c>
      <c r="F366" t="str">
        <f t="shared" si="75"/>
        <v>CDC</v>
      </c>
      <c r="G366" t="str">
        <f t="shared" si="76"/>
        <v>28-8723509</v>
      </c>
      <c r="H366">
        <f t="shared" ca="1" si="77"/>
        <v>2378005</v>
      </c>
      <c r="I366" t="str">
        <f t="shared" si="78"/>
        <v>Annual</v>
      </c>
      <c r="T366" s="77" t="s">
        <v>2229</v>
      </c>
      <c r="U366">
        <v>15122639</v>
      </c>
      <c r="V366" s="10" t="s">
        <v>1384</v>
      </c>
      <c r="W366" s="10" t="s">
        <v>1384</v>
      </c>
      <c r="Y366" s="1" t="s">
        <v>2230</v>
      </c>
      <c r="AI366" s="1">
        <v>208713</v>
      </c>
      <c r="AJ366" s="1" t="s">
        <v>119</v>
      </c>
      <c r="AK366" s="1" t="str">
        <f t="shared" si="79"/>
        <v/>
      </c>
      <c r="AL366" t="b">
        <f t="shared" si="80"/>
        <v>1</v>
      </c>
      <c r="AM366" s="49" t="str">
        <f t="shared" si="81"/>
        <v>Q</v>
      </c>
      <c r="AP366" s="10" t="s">
        <v>113</v>
      </c>
      <c r="AS366" t="s">
        <v>119</v>
      </c>
      <c r="AT366" s="6" t="s">
        <v>113</v>
      </c>
      <c r="AU366" s="6" t="str">
        <f t="shared" si="82"/>
        <v/>
      </c>
      <c r="AV366" s="6" t="s">
        <v>112</v>
      </c>
      <c r="AW366" s="6" t="str">
        <f t="shared" si="83"/>
        <v/>
      </c>
    </row>
    <row r="367" spans="1:49" ht="90">
      <c r="A367" s="1">
        <v>208717</v>
      </c>
      <c r="B367" t="str">
        <f t="shared" si="71"/>
        <v>1C39IS90679-33</v>
      </c>
      <c r="C367" s="6" t="str">
        <f t="shared" si="72"/>
        <v>PHFE CDPH ELC 2019-2024</v>
      </c>
      <c r="D367" s="6" t="str">
        <f t="shared" si="73"/>
        <v>NEOVAXSYN, INC.</v>
      </c>
      <c r="E367">
        <f t="shared" si="74"/>
        <v>13622606</v>
      </c>
      <c r="F367" t="str">
        <f t="shared" si="75"/>
        <v>NIH</v>
      </c>
      <c r="G367" t="str">
        <f t="shared" si="76"/>
        <v>28-8723510</v>
      </c>
      <c r="H367">
        <f t="shared" ca="1" si="77"/>
        <v>2509108</v>
      </c>
      <c r="I367" t="str">
        <f t="shared" si="78"/>
        <v>Annual</v>
      </c>
      <c r="T367" s="79" t="s">
        <v>2231</v>
      </c>
      <c r="U367">
        <v>15122639</v>
      </c>
      <c r="V367" s="10" t="s">
        <v>1389</v>
      </c>
      <c r="W367" s="10" t="s">
        <v>1389</v>
      </c>
      <c r="Y367" s="1" t="s">
        <v>2232</v>
      </c>
      <c r="AI367" s="1">
        <v>208717</v>
      </c>
      <c r="AJ367" s="1" t="s">
        <v>119</v>
      </c>
      <c r="AK367" s="1" t="str">
        <f t="shared" si="79"/>
        <v/>
      </c>
      <c r="AL367" t="b">
        <f t="shared" si="80"/>
        <v>1</v>
      </c>
      <c r="AM367" s="49" t="str">
        <f t="shared" si="81"/>
        <v>Q</v>
      </c>
      <c r="AP367" s="10" t="s">
        <v>97</v>
      </c>
      <c r="AS367" t="s">
        <v>119</v>
      </c>
      <c r="AT367" s="6" t="s">
        <v>97</v>
      </c>
      <c r="AU367" s="6" t="str">
        <f t="shared" si="82"/>
        <v/>
      </c>
      <c r="AV367" s="6" t="s">
        <v>96</v>
      </c>
      <c r="AW367" s="6" t="str">
        <f t="shared" si="83"/>
        <v/>
      </c>
    </row>
    <row r="368" spans="1:49" ht="75">
      <c r="A368" s="1">
        <v>208717</v>
      </c>
      <c r="B368" t="str">
        <f t="shared" si="71"/>
        <v>1C39IS90679-33</v>
      </c>
      <c r="C368" s="6" t="str">
        <f t="shared" si="72"/>
        <v>PHFE CDPH ELC 2019-2024</v>
      </c>
      <c r="D368" s="6" t="str">
        <f t="shared" si="73"/>
        <v>NEOVAXSYN, INC.</v>
      </c>
      <c r="E368">
        <f t="shared" si="74"/>
        <v>13622606</v>
      </c>
      <c r="F368" t="str">
        <f t="shared" si="75"/>
        <v>NIH</v>
      </c>
      <c r="G368" t="str">
        <f t="shared" si="76"/>
        <v>28-8723510</v>
      </c>
      <c r="H368">
        <f t="shared" ca="1" si="77"/>
        <v>2509108</v>
      </c>
      <c r="I368" t="str">
        <f t="shared" si="78"/>
        <v>Annual</v>
      </c>
      <c r="T368" s="74" t="s">
        <v>2233</v>
      </c>
      <c r="U368">
        <v>15122639</v>
      </c>
      <c r="V368" s="10" t="s">
        <v>1394</v>
      </c>
      <c r="W368" s="10" t="s">
        <v>1394</v>
      </c>
      <c r="Y368" s="1" t="s">
        <v>2234</v>
      </c>
      <c r="AI368" s="1">
        <v>208717</v>
      </c>
      <c r="AJ368" s="1" t="s">
        <v>119</v>
      </c>
      <c r="AK368" s="1" t="str">
        <f t="shared" si="79"/>
        <v/>
      </c>
      <c r="AL368" t="b">
        <f t="shared" si="80"/>
        <v>1</v>
      </c>
      <c r="AM368" s="49" t="str">
        <f t="shared" si="81"/>
        <v>Q</v>
      </c>
      <c r="AP368" s="10" t="s">
        <v>327</v>
      </c>
      <c r="AS368" t="s">
        <v>119</v>
      </c>
      <c r="AT368" s="6" t="s">
        <v>327</v>
      </c>
      <c r="AU368" s="6" t="str">
        <f t="shared" si="82"/>
        <v/>
      </c>
      <c r="AV368" s="6" t="s">
        <v>104</v>
      </c>
      <c r="AW368" s="6" t="str">
        <f t="shared" si="83"/>
        <v/>
      </c>
    </row>
    <row r="369" spans="1:49" ht="90">
      <c r="A369" s="1">
        <v>208738</v>
      </c>
      <c r="B369" t="str">
        <f t="shared" si="71"/>
        <v>1C80CS88903-28</v>
      </c>
      <c r="C369" s="6" t="str">
        <f t="shared" si="72"/>
        <v>STRENGTHENING GLOBAL PUBLIC HEALTH WORKFORCE CAPACITY IN PARTNERSHIP WITH
ACADEMIA</v>
      </c>
      <c r="D369" s="6" t="str">
        <f t="shared" si="73"/>
        <v>NEPHROPATHOLOGY ASSOCIATES</v>
      </c>
      <c r="E369">
        <f t="shared" si="74"/>
        <v>13622606</v>
      </c>
      <c r="F369" t="str">
        <f t="shared" si="75"/>
        <v>FDA</v>
      </c>
      <c r="G369" t="str">
        <f t="shared" si="76"/>
        <v>31-4234734</v>
      </c>
      <c r="H369">
        <f t="shared" ca="1" si="77"/>
        <v>2061565</v>
      </c>
      <c r="I369" t="str">
        <f t="shared" si="78"/>
        <v>Annual</v>
      </c>
      <c r="T369" s="75" t="s">
        <v>2235</v>
      </c>
      <c r="U369">
        <v>4196102</v>
      </c>
      <c r="V369" s="10" t="s">
        <v>1400</v>
      </c>
      <c r="W369" s="10" t="s">
        <v>1400</v>
      </c>
      <c r="Y369" s="1" t="s">
        <v>2236</v>
      </c>
      <c r="AI369" s="1">
        <v>208738</v>
      </c>
      <c r="AJ369" s="1" t="s">
        <v>119</v>
      </c>
      <c r="AK369" s="1" t="str">
        <f t="shared" si="79"/>
        <v/>
      </c>
      <c r="AL369" t="b">
        <f t="shared" si="80"/>
        <v>1</v>
      </c>
      <c r="AM369" s="49" t="str">
        <f t="shared" si="81"/>
        <v>Q</v>
      </c>
      <c r="AP369" s="10" t="s">
        <v>97</v>
      </c>
      <c r="AS369" t="s">
        <v>119</v>
      </c>
      <c r="AT369" s="6" t="s">
        <v>97</v>
      </c>
      <c r="AU369" s="6" t="str">
        <f t="shared" si="82"/>
        <v/>
      </c>
      <c r="AV369" s="6" t="s">
        <v>96</v>
      </c>
      <c r="AW369" s="6" t="str">
        <f t="shared" si="83"/>
        <v/>
      </c>
    </row>
    <row r="370" spans="1:49" ht="75">
      <c r="A370" s="1">
        <v>208738</v>
      </c>
      <c r="B370" t="str">
        <f t="shared" si="71"/>
        <v>1C80CS88903-28</v>
      </c>
      <c r="C370" s="6" t="str">
        <f t="shared" si="72"/>
        <v>STRENGTHENING GLOBAL PUBLIC HEALTH WORKFORCE CAPACITY IN PARTNERSHIP WITH
ACADEMIA</v>
      </c>
      <c r="D370" s="6" t="str">
        <f t="shared" si="73"/>
        <v>NEPHROPATHOLOGY ASSOCIATES</v>
      </c>
      <c r="E370">
        <f t="shared" si="74"/>
        <v>13622606</v>
      </c>
      <c r="F370" t="str">
        <f t="shared" si="75"/>
        <v>FDA</v>
      </c>
      <c r="G370" t="str">
        <f t="shared" si="76"/>
        <v>31-4234734</v>
      </c>
      <c r="H370">
        <f t="shared" ca="1" si="77"/>
        <v>2061565</v>
      </c>
      <c r="I370" t="str">
        <f t="shared" si="78"/>
        <v>Annual</v>
      </c>
      <c r="T370" s="81" t="s">
        <v>2237</v>
      </c>
      <c r="U370">
        <v>4196102</v>
      </c>
      <c r="V370" s="10" t="s">
        <v>1406</v>
      </c>
      <c r="W370" s="10" t="s">
        <v>1406</v>
      </c>
      <c r="Y370" s="1" t="s">
        <v>2238</v>
      </c>
      <c r="AI370" s="1">
        <v>208738</v>
      </c>
      <c r="AJ370" s="1" t="s">
        <v>119</v>
      </c>
      <c r="AK370" s="1" t="str">
        <f t="shared" si="79"/>
        <v/>
      </c>
      <c r="AL370" t="b">
        <f t="shared" si="80"/>
        <v>1</v>
      </c>
      <c r="AM370" s="49" t="str">
        <f t="shared" si="81"/>
        <v>Q</v>
      </c>
      <c r="AP370" s="10" t="s">
        <v>327</v>
      </c>
      <c r="AS370" t="s">
        <v>119</v>
      </c>
      <c r="AT370" s="6" t="s">
        <v>327</v>
      </c>
      <c r="AU370" s="6" t="str">
        <f t="shared" si="82"/>
        <v/>
      </c>
      <c r="AV370" s="6" t="s">
        <v>104</v>
      </c>
      <c r="AW370" s="6" t="str">
        <f t="shared" si="83"/>
        <v/>
      </c>
    </row>
    <row r="371" spans="1:49" ht="75">
      <c r="A371" s="1">
        <v>208738</v>
      </c>
      <c r="B371" t="str">
        <f t="shared" si="71"/>
        <v>1C80CS88903-28</v>
      </c>
      <c r="C371" s="6" t="str">
        <f t="shared" si="72"/>
        <v>STRENGTHENING GLOBAL PUBLIC HEALTH WORKFORCE CAPACITY IN PARTNERSHIP WITH
ACADEMIA</v>
      </c>
      <c r="D371" s="6" t="str">
        <f t="shared" si="73"/>
        <v>NEPHROPATHOLOGY ASSOCIATES</v>
      </c>
      <c r="E371">
        <f t="shared" si="74"/>
        <v>13622606</v>
      </c>
      <c r="F371" t="str">
        <f t="shared" si="75"/>
        <v>FDA</v>
      </c>
      <c r="G371" t="str">
        <f t="shared" si="76"/>
        <v>31-4234734</v>
      </c>
      <c r="H371">
        <f t="shared" ca="1" si="77"/>
        <v>2061565</v>
      </c>
      <c r="I371" t="str">
        <f t="shared" si="78"/>
        <v>Annual</v>
      </c>
      <c r="T371" s="77" t="s">
        <v>2239</v>
      </c>
      <c r="U371">
        <v>4196102</v>
      </c>
      <c r="V371" s="10" t="s">
        <v>1410</v>
      </c>
      <c r="W371" s="10" t="s">
        <v>1410</v>
      </c>
      <c r="Y371" s="1" t="s">
        <v>2240</v>
      </c>
      <c r="AI371" s="1">
        <v>208738</v>
      </c>
      <c r="AJ371" s="1" t="s">
        <v>119</v>
      </c>
      <c r="AK371" s="1" t="str">
        <f t="shared" si="79"/>
        <v/>
      </c>
      <c r="AL371" t="b">
        <f t="shared" si="80"/>
        <v>1</v>
      </c>
      <c r="AM371" s="49" t="str">
        <f t="shared" si="81"/>
        <v>Q</v>
      </c>
      <c r="AP371" s="10"/>
      <c r="AS371" t="s">
        <v>119</v>
      </c>
      <c r="AT371" s="6" t="s">
        <v>812</v>
      </c>
      <c r="AU371" s="6" t="str">
        <f t="shared" si="82"/>
        <v/>
      </c>
      <c r="AV371" s="6" t="s">
        <v>811</v>
      </c>
      <c r="AW371" s="6" t="str">
        <f t="shared" si="83"/>
        <v/>
      </c>
    </row>
    <row r="372" spans="1:49" ht="75">
      <c r="A372" s="1">
        <v>208738</v>
      </c>
      <c r="B372" t="str">
        <f t="shared" si="71"/>
        <v>1C80CS88903-28</v>
      </c>
      <c r="C372" s="6" t="str">
        <f t="shared" si="72"/>
        <v>STRENGTHENING GLOBAL PUBLIC HEALTH WORKFORCE CAPACITY IN PARTNERSHIP WITH
ACADEMIA</v>
      </c>
      <c r="D372" s="6" t="str">
        <f t="shared" si="73"/>
        <v>NEPHROPATHOLOGY ASSOCIATES</v>
      </c>
      <c r="E372">
        <f t="shared" si="74"/>
        <v>13622606</v>
      </c>
      <c r="F372" t="str">
        <f t="shared" si="75"/>
        <v>FDA</v>
      </c>
      <c r="G372" t="str">
        <f t="shared" si="76"/>
        <v>31-4234734</v>
      </c>
      <c r="H372">
        <f t="shared" ca="1" si="77"/>
        <v>2061565</v>
      </c>
      <c r="I372" t="str">
        <f t="shared" si="78"/>
        <v>Annual</v>
      </c>
      <c r="T372" s="80" t="s">
        <v>2241</v>
      </c>
      <c r="U372">
        <v>29975965</v>
      </c>
      <c r="V372" s="10" t="s">
        <v>1414</v>
      </c>
      <c r="W372" s="10" t="s">
        <v>1414</v>
      </c>
      <c r="Y372" s="1" t="s">
        <v>2242</v>
      </c>
      <c r="AI372" s="1">
        <v>208738</v>
      </c>
      <c r="AJ372" s="1" t="s">
        <v>119</v>
      </c>
      <c r="AK372" s="1" t="str">
        <f t="shared" si="79"/>
        <v/>
      </c>
      <c r="AL372" t="b">
        <f t="shared" si="80"/>
        <v>1</v>
      </c>
      <c r="AM372" s="49" t="str">
        <f t="shared" si="81"/>
        <v>Q</v>
      </c>
      <c r="AP372" s="10"/>
      <c r="AS372" t="s">
        <v>119</v>
      </c>
      <c r="AT372" s="6" t="s">
        <v>812</v>
      </c>
      <c r="AU372" s="6" t="str">
        <f t="shared" si="82"/>
        <v/>
      </c>
      <c r="AV372" s="6" t="s">
        <v>811</v>
      </c>
      <c r="AW372" s="6" t="str">
        <f t="shared" si="83"/>
        <v/>
      </c>
    </row>
    <row r="373" spans="1:49" ht="90">
      <c r="A373" s="1">
        <v>210120</v>
      </c>
      <c r="B373" t="str">
        <f t="shared" si="71"/>
        <v>5C70ES88902-78</v>
      </c>
      <c r="C373" s="6" t="str">
        <f t="shared" si="72"/>
        <v>PHFE CDPH ELC 2019-2024</v>
      </c>
      <c r="D373" s="6" t="str">
        <f t="shared" si="73"/>
        <v>NEURAMEDICA, LLC</v>
      </c>
      <c r="E373">
        <f t="shared" si="74"/>
        <v>13622606</v>
      </c>
      <c r="F373" t="str">
        <f t="shared" si="75"/>
        <v>ACF</v>
      </c>
      <c r="G373" t="str">
        <f t="shared" si="76"/>
        <v>31-4234735</v>
      </c>
      <c r="H373">
        <f t="shared" ca="1" si="77"/>
        <v>2853979</v>
      </c>
      <c r="I373" t="str">
        <f t="shared" si="78"/>
        <v>Annual</v>
      </c>
      <c r="T373" s="78" t="s">
        <v>2233</v>
      </c>
      <c r="U373">
        <v>29975965</v>
      </c>
      <c r="V373" s="10" t="s">
        <v>1420</v>
      </c>
      <c r="W373" s="10" t="s">
        <v>1420</v>
      </c>
      <c r="Y373" s="1" t="s">
        <v>2243</v>
      </c>
      <c r="AI373" s="1">
        <v>210120</v>
      </c>
      <c r="AJ373" s="1" t="s">
        <v>119</v>
      </c>
      <c r="AK373" s="1" t="str">
        <f t="shared" si="79"/>
        <v/>
      </c>
      <c r="AL373" t="b">
        <f t="shared" si="80"/>
        <v>1</v>
      </c>
      <c r="AM373" s="49" t="str">
        <f t="shared" si="81"/>
        <v>Q</v>
      </c>
      <c r="AP373" s="10" t="s">
        <v>97</v>
      </c>
      <c r="AS373" t="s">
        <v>119</v>
      </c>
      <c r="AT373" s="6" t="s">
        <v>97</v>
      </c>
      <c r="AU373" s="6" t="str">
        <f t="shared" si="82"/>
        <v/>
      </c>
      <c r="AV373" s="6" t="s">
        <v>96</v>
      </c>
      <c r="AW373" s="6" t="str">
        <f t="shared" si="83"/>
        <v/>
      </c>
    </row>
    <row r="374" spans="1:49" ht="120">
      <c r="A374" s="1">
        <v>210120</v>
      </c>
      <c r="B374" t="str">
        <f t="shared" si="71"/>
        <v>5C70ES88902-78</v>
      </c>
      <c r="C374" s="6" t="str">
        <f t="shared" si="72"/>
        <v>PHFE CDPH ELC 2019-2024</v>
      </c>
      <c r="D374" s="6" t="str">
        <f t="shared" si="73"/>
        <v>NEURAMEDICA, LLC</v>
      </c>
      <c r="E374">
        <f t="shared" si="74"/>
        <v>13622606</v>
      </c>
      <c r="F374" t="str">
        <f t="shared" si="75"/>
        <v>ACF</v>
      </c>
      <c r="G374" t="str">
        <f t="shared" si="76"/>
        <v>31-4234735</v>
      </c>
      <c r="H374">
        <f t="shared" ca="1" si="77"/>
        <v>2853979</v>
      </c>
      <c r="I374" t="str">
        <f t="shared" si="78"/>
        <v>Annual</v>
      </c>
      <c r="T374" s="77" t="s">
        <v>2244</v>
      </c>
      <c r="U374">
        <v>29975965</v>
      </c>
      <c r="V374" s="10" t="s">
        <v>1425</v>
      </c>
      <c r="W374" s="10" t="s">
        <v>1425</v>
      </c>
      <c r="Y374" s="1" t="s">
        <v>2245</v>
      </c>
      <c r="AI374" s="1">
        <v>210120</v>
      </c>
      <c r="AJ374" s="1" t="s">
        <v>119</v>
      </c>
      <c r="AK374" s="1" t="str">
        <f t="shared" si="79"/>
        <v/>
      </c>
      <c r="AL374" t="b">
        <f t="shared" si="80"/>
        <v>1</v>
      </c>
      <c r="AM374" s="49" t="str">
        <f t="shared" si="81"/>
        <v>Q</v>
      </c>
      <c r="AP374" s="10" t="s">
        <v>327</v>
      </c>
      <c r="AS374" t="s">
        <v>119</v>
      </c>
      <c r="AT374" s="6" t="s">
        <v>327</v>
      </c>
      <c r="AU374" s="6" t="str">
        <f t="shared" si="82"/>
        <v/>
      </c>
      <c r="AV374" s="6" t="s">
        <v>104</v>
      </c>
      <c r="AW374" s="6" t="str">
        <f t="shared" si="83"/>
        <v/>
      </c>
    </row>
    <row r="375" spans="1:49" ht="90">
      <c r="A375" s="1">
        <v>210998</v>
      </c>
      <c r="B375" t="str">
        <f t="shared" si="71"/>
        <v>6C66CS86068-27</v>
      </c>
      <c r="C375" s="6" t="str">
        <f t="shared" si="72"/>
        <v>PREVENTIVE HEALTH AND HEALTH SERVICES BLOCK GRANT</v>
      </c>
      <c r="D375" s="6" t="str">
        <f t="shared" si="73"/>
        <v>NEURANO BIOSCIENCE</v>
      </c>
      <c r="E375">
        <f t="shared" si="74"/>
        <v>19982294</v>
      </c>
      <c r="F375" t="str">
        <f t="shared" si="75"/>
        <v>CDC</v>
      </c>
      <c r="G375" t="str">
        <f t="shared" si="76"/>
        <v>31-4234736</v>
      </c>
      <c r="H375">
        <f t="shared" ca="1" si="77"/>
        <v>2921957</v>
      </c>
      <c r="I375" t="str">
        <f t="shared" si="78"/>
        <v>Annual</v>
      </c>
      <c r="T375" s="75" t="s">
        <v>2246</v>
      </c>
      <c r="U375">
        <v>39965852</v>
      </c>
      <c r="V375" s="10" t="s">
        <v>1436</v>
      </c>
      <c r="W375" s="10" t="s">
        <v>1436</v>
      </c>
      <c r="Y375" s="1" t="s">
        <v>2247</v>
      </c>
      <c r="AI375" s="1">
        <v>210998</v>
      </c>
      <c r="AJ375" s="1" t="s">
        <v>119</v>
      </c>
      <c r="AK375" s="1" t="str">
        <f t="shared" si="79"/>
        <v/>
      </c>
      <c r="AL375" t="b">
        <f t="shared" si="80"/>
        <v>1</v>
      </c>
      <c r="AM375" s="49" t="str">
        <f t="shared" si="81"/>
        <v>Q</v>
      </c>
      <c r="AP375" s="10" t="s">
        <v>97</v>
      </c>
      <c r="AS375" t="s">
        <v>119</v>
      </c>
      <c r="AT375" s="6" t="s">
        <v>97</v>
      </c>
      <c r="AU375" s="6" t="str">
        <f t="shared" si="82"/>
        <v/>
      </c>
      <c r="AV375" s="6" t="s">
        <v>96</v>
      </c>
      <c r="AW375" s="6" t="str">
        <f t="shared" si="83"/>
        <v/>
      </c>
    </row>
    <row r="376" spans="1:49" ht="75">
      <c r="A376" s="1">
        <v>210998</v>
      </c>
      <c r="B376" t="str">
        <f t="shared" si="71"/>
        <v>6C66CS86068-27</v>
      </c>
      <c r="C376" s="6" t="str">
        <f t="shared" si="72"/>
        <v>PREVENTIVE HEALTH AND HEALTH SERVICES BLOCK GRANT</v>
      </c>
      <c r="D376" s="6" t="str">
        <f t="shared" si="73"/>
        <v>NEURANO BIOSCIENCE</v>
      </c>
      <c r="E376">
        <f t="shared" si="74"/>
        <v>19982294</v>
      </c>
      <c r="F376" t="str">
        <f t="shared" si="75"/>
        <v>CDC</v>
      </c>
      <c r="G376" t="str">
        <f t="shared" si="76"/>
        <v>31-4234736</v>
      </c>
      <c r="H376">
        <f t="shared" ca="1" si="77"/>
        <v>2921957</v>
      </c>
      <c r="I376" t="str">
        <f t="shared" si="78"/>
        <v>Annual</v>
      </c>
      <c r="T376" s="80" t="s">
        <v>2248</v>
      </c>
      <c r="U376">
        <v>39965852</v>
      </c>
      <c r="V376" s="10" t="s">
        <v>1441</v>
      </c>
      <c r="W376" s="10" t="s">
        <v>1441</v>
      </c>
      <c r="Y376" s="1" t="s">
        <v>2249</v>
      </c>
      <c r="AI376" s="1">
        <v>210998</v>
      </c>
      <c r="AJ376" s="1" t="s">
        <v>119</v>
      </c>
      <c r="AK376" s="1" t="str">
        <f t="shared" si="79"/>
        <v/>
      </c>
      <c r="AL376" t="b">
        <f t="shared" si="80"/>
        <v>1</v>
      </c>
      <c r="AM376" s="49" t="str">
        <f t="shared" si="81"/>
        <v>Q</v>
      </c>
      <c r="AP376" s="10" t="s">
        <v>327</v>
      </c>
      <c r="AS376" t="s">
        <v>119</v>
      </c>
      <c r="AT376" s="6" t="s">
        <v>327</v>
      </c>
      <c r="AU376" s="6" t="str">
        <f t="shared" si="82"/>
        <v/>
      </c>
      <c r="AV376" s="6" t="s">
        <v>104</v>
      </c>
      <c r="AW376" s="6" t="str">
        <f t="shared" si="83"/>
        <v/>
      </c>
    </row>
    <row r="377" spans="1:49" ht="60">
      <c r="A377" s="1">
        <v>210998</v>
      </c>
      <c r="B377" t="str">
        <f t="shared" si="71"/>
        <v>6C66CS86068-27</v>
      </c>
      <c r="C377" s="6" t="str">
        <f t="shared" si="72"/>
        <v>PREVENTIVE HEALTH AND HEALTH SERVICES BLOCK GRANT</v>
      </c>
      <c r="D377" s="6" t="str">
        <f t="shared" si="73"/>
        <v>NEURANO BIOSCIENCE</v>
      </c>
      <c r="E377">
        <f t="shared" si="74"/>
        <v>19982294</v>
      </c>
      <c r="F377" t="str">
        <f t="shared" si="75"/>
        <v>CDC</v>
      </c>
      <c r="G377" t="str">
        <f t="shared" si="76"/>
        <v>31-4234736</v>
      </c>
      <c r="H377">
        <f t="shared" ca="1" si="77"/>
        <v>2921957</v>
      </c>
      <c r="I377" t="str">
        <f t="shared" si="78"/>
        <v>Annual</v>
      </c>
      <c r="T377" s="79" t="s">
        <v>2250</v>
      </c>
      <c r="U377">
        <v>39965852</v>
      </c>
      <c r="V377" s="10" t="s">
        <v>1447</v>
      </c>
      <c r="W377" s="10" t="s">
        <v>1447</v>
      </c>
      <c r="Y377" s="1" t="s">
        <v>2251</v>
      </c>
      <c r="AI377" s="1">
        <v>210998</v>
      </c>
      <c r="AJ377" s="1" t="s">
        <v>119</v>
      </c>
      <c r="AK377" s="1" t="str">
        <f t="shared" si="79"/>
        <v/>
      </c>
      <c r="AL377" t="b">
        <f t="shared" si="80"/>
        <v>1</v>
      </c>
      <c r="AM377" s="49" t="str">
        <f t="shared" si="81"/>
        <v>Q</v>
      </c>
      <c r="AP377" s="10" t="s">
        <v>113</v>
      </c>
      <c r="AS377" t="s">
        <v>119</v>
      </c>
      <c r="AT377" s="6" t="s">
        <v>113</v>
      </c>
      <c r="AU377" s="6" t="str">
        <f t="shared" si="82"/>
        <v/>
      </c>
      <c r="AV377" s="6" t="s">
        <v>112</v>
      </c>
      <c r="AW377" s="6" t="str">
        <f t="shared" si="83"/>
        <v/>
      </c>
    </row>
    <row r="378" spans="1:49" ht="105">
      <c r="A378" s="1">
        <v>211960</v>
      </c>
      <c r="B378" t="str">
        <f t="shared" si="71"/>
        <v>3D95IT90888-38</v>
      </c>
      <c r="C378" s="6" t="str">
        <f t="shared" si="72"/>
        <v>UCLA PUBLIC HEALTH SCHOLARS TRAINING PROGRAM</v>
      </c>
      <c r="D378" s="6" t="str">
        <f t="shared" si="73"/>
        <v>NEURO DEVICES, INC.</v>
      </c>
      <c r="E378">
        <f t="shared" si="74"/>
        <v>19982294</v>
      </c>
      <c r="F378" t="str">
        <f t="shared" si="75"/>
        <v>NIH</v>
      </c>
      <c r="G378" t="str">
        <f t="shared" si="76"/>
        <v>31-4234737</v>
      </c>
      <c r="H378">
        <f t="shared" ca="1" si="77"/>
        <v>2636878</v>
      </c>
      <c r="I378" t="str">
        <f t="shared" si="78"/>
        <v>Annual</v>
      </c>
      <c r="T378" s="71" t="s">
        <v>2252</v>
      </c>
      <c r="U378">
        <v>39965852</v>
      </c>
      <c r="V378" s="10" t="s">
        <v>1452</v>
      </c>
      <c r="W378" s="10" t="s">
        <v>1452</v>
      </c>
      <c r="Y378" s="1" t="s">
        <v>2253</v>
      </c>
      <c r="AI378" s="1">
        <v>211960</v>
      </c>
      <c r="AJ378" s="1" t="s">
        <v>119</v>
      </c>
      <c r="AK378" s="1" t="str">
        <f t="shared" si="79"/>
        <v/>
      </c>
      <c r="AL378" t="b">
        <f t="shared" si="80"/>
        <v>1</v>
      </c>
      <c r="AM378" s="49" t="str">
        <f t="shared" si="81"/>
        <v>Q</v>
      </c>
      <c r="AP378" s="10" t="s">
        <v>97</v>
      </c>
      <c r="AS378" t="s">
        <v>119</v>
      </c>
      <c r="AT378" s="6" t="s">
        <v>97</v>
      </c>
      <c r="AU378" s="6" t="str">
        <f t="shared" si="82"/>
        <v/>
      </c>
      <c r="AV378" s="6" t="s">
        <v>96</v>
      </c>
      <c r="AW378" s="6" t="str">
        <f t="shared" si="83"/>
        <v/>
      </c>
    </row>
    <row r="379" spans="1:49" ht="105">
      <c r="A379" s="1">
        <v>211960</v>
      </c>
      <c r="B379" t="str">
        <f t="shared" si="71"/>
        <v>3D95IT90888-38</v>
      </c>
      <c r="C379" s="6" t="str">
        <f t="shared" si="72"/>
        <v>UCLA PUBLIC HEALTH SCHOLARS TRAINING PROGRAM</v>
      </c>
      <c r="D379" s="6" t="str">
        <f t="shared" si="73"/>
        <v>NEURO DEVICES, INC.</v>
      </c>
      <c r="E379">
        <f t="shared" si="74"/>
        <v>19982294</v>
      </c>
      <c r="F379" t="str">
        <f t="shared" si="75"/>
        <v>NIH</v>
      </c>
      <c r="G379" t="str">
        <f t="shared" si="76"/>
        <v>31-4234737</v>
      </c>
      <c r="H379">
        <f t="shared" ca="1" si="77"/>
        <v>2636878</v>
      </c>
      <c r="I379" t="str">
        <f t="shared" si="78"/>
        <v>Annual</v>
      </c>
      <c r="T379" s="57" t="s">
        <v>1903</v>
      </c>
      <c r="U379">
        <v>5128395</v>
      </c>
      <c r="V379" s="10" t="s">
        <v>1457</v>
      </c>
      <c r="W379" s="10" t="s">
        <v>1457</v>
      </c>
      <c r="Y379" s="1" t="s">
        <v>2254</v>
      </c>
      <c r="AI379" s="1">
        <v>211960</v>
      </c>
      <c r="AJ379" s="1" t="s">
        <v>119</v>
      </c>
      <c r="AK379" s="1" t="str">
        <f t="shared" si="79"/>
        <v/>
      </c>
      <c r="AL379" t="b">
        <f t="shared" si="80"/>
        <v>1</v>
      </c>
      <c r="AM379" s="49" t="str">
        <f t="shared" si="81"/>
        <v>Q</v>
      </c>
      <c r="AP379" s="10" t="s">
        <v>327</v>
      </c>
      <c r="AS379" t="s">
        <v>119</v>
      </c>
      <c r="AT379" s="6" t="s">
        <v>327</v>
      </c>
      <c r="AU379" s="6" t="str">
        <f t="shared" si="82"/>
        <v/>
      </c>
      <c r="AV379" s="6" t="s">
        <v>104</v>
      </c>
      <c r="AW379" s="6" t="str">
        <f t="shared" si="83"/>
        <v/>
      </c>
    </row>
    <row r="380" spans="1:49" ht="75">
      <c r="A380" s="1">
        <v>211960</v>
      </c>
      <c r="B380" t="str">
        <f t="shared" si="71"/>
        <v>3D95IT90888-38</v>
      </c>
      <c r="C380" s="6" t="str">
        <f t="shared" si="72"/>
        <v>UCLA PUBLIC HEALTH SCHOLARS TRAINING PROGRAM</v>
      </c>
      <c r="D380" s="6" t="str">
        <f t="shared" si="73"/>
        <v>NEURO DEVICES, INC.</v>
      </c>
      <c r="E380">
        <f t="shared" si="74"/>
        <v>19982294</v>
      </c>
      <c r="F380" t="str">
        <f t="shared" si="75"/>
        <v>NIH</v>
      </c>
      <c r="G380" t="str">
        <f t="shared" si="76"/>
        <v>31-4234737</v>
      </c>
      <c r="H380">
        <f t="shared" ca="1" si="77"/>
        <v>2636878</v>
      </c>
      <c r="I380" t="str">
        <f t="shared" si="78"/>
        <v>Annual</v>
      </c>
      <c r="T380" s="64" t="s">
        <v>2255</v>
      </c>
      <c r="U380">
        <v>5128395</v>
      </c>
      <c r="V380" s="10" t="s">
        <v>1462</v>
      </c>
      <c r="W380" s="10" t="s">
        <v>1462</v>
      </c>
      <c r="Y380" s="1" t="s">
        <v>2256</v>
      </c>
      <c r="AI380" s="1">
        <v>211960</v>
      </c>
      <c r="AJ380" s="1" t="s">
        <v>119</v>
      </c>
      <c r="AK380" s="1" t="str">
        <f t="shared" si="79"/>
        <v/>
      </c>
      <c r="AL380" t="b">
        <f t="shared" si="80"/>
        <v>1</v>
      </c>
      <c r="AM380" s="49" t="str">
        <f t="shared" si="81"/>
        <v>Q</v>
      </c>
      <c r="AP380" s="10" t="s">
        <v>113</v>
      </c>
      <c r="AS380" t="s">
        <v>119</v>
      </c>
      <c r="AT380" s="6" t="s">
        <v>113</v>
      </c>
      <c r="AU380" s="6" t="str">
        <f t="shared" si="82"/>
        <v/>
      </c>
      <c r="AV380" s="6" t="s">
        <v>112</v>
      </c>
      <c r="AW380" s="6" t="str">
        <f t="shared" si="83"/>
        <v/>
      </c>
    </row>
    <row r="381" spans="1:49" ht="90">
      <c r="A381" s="1">
        <v>212050</v>
      </c>
      <c r="B381" t="str">
        <f t="shared" si="71"/>
        <v>5D70DT90656-62</v>
      </c>
      <c r="C381" s="6" t="str">
        <f t="shared" si="72"/>
        <v>LOS ANGELES COUNTY EPIDEMIOLOGY AND LABORATORY CAPACITY COOPERATIVE AGREEMENT 2019</v>
      </c>
      <c r="D381" s="6" t="str">
        <f t="shared" si="73"/>
        <v>NEURO KINETICS, INC.</v>
      </c>
      <c r="E381">
        <f t="shared" si="74"/>
        <v>29252479</v>
      </c>
      <c r="F381" t="str">
        <f t="shared" si="75"/>
        <v>FDA</v>
      </c>
      <c r="G381" t="str">
        <f t="shared" si="76"/>
        <v>31-4234738</v>
      </c>
      <c r="H381">
        <f t="shared" ca="1" si="77"/>
        <v>2984860</v>
      </c>
      <c r="I381" t="str">
        <f t="shared" si="78"/>
        <v>Annual</v>
      </c>
      <c r="T381" s="53" t="s">
        <v>2257</v>
      </c>
      <c r="U381">
        <v>5128395</v>
      </c>
      <c r="V381" s="10" t="s">
        <v>1470</v>
      </c>
      <c r="W381" s="10" t="s">
        <v>1470</v>
      </c>
      <c r="Y381" s="1" t="s">
        <v>2258</v>
      </c>
      <c r="AI381" s="1">
        <v>212050</v>
      </c>
      <c r="AJ381" s="1" t="s">
        <v>119</v>
      </c>
      <c r="AK381" s="1" t="str">
        <f t="shared" si="79"/>
        <v/>
      </c>
      <c r="AL381" t="b">
        <f t="shared" si="80"/>
        <v>1</v>
      </c>
      <c r="AM381" s="49" t="str">
        <f t="shared" si="81"/>
        <v>Q</v>
      </c>
      <c r="AP381" s="10" t="s">
        <v>97</v>
      </c>
      <c r="AS381" t="s">
        <v>119</v>
      </c>
      <c r="AT381" s="6" t="s">
        <v>97</v>
      </c>
      <c r="AU381" s="6" t="str">
        <f t="shared" si="82"/>
        <v/>
      </c>
      <c r="AV381" s="6" t="s">
        <v>96</v>
      </c>
      <c r="AW381" s="6" t="str">
        <f t="shared" si="83"/>
        <v/>
      </c>
    </row>
    <row r="382" spans="1:49" ht="90">
      <c r="A382" s="1">
        <v>212050</v>
      </c>
      <c r="B382" t="str">
        <f t="shared" si="71"/>
        <v>5D70DT90656-62</v>
      </c>
      <c r="C382" s="6" t="str">
        <f t="shared" si="72"/>
        <v>LOS ANGELES COUNTY EPIDEMIOLOGY AND LABORATORY CAPACITY COOPERATIVE AGREEMENT 2019</v>
      </c>
      <c r="D382" s="6" t="str">
        <f t="shared" si="73"/>
        <v>NEURO KINETICS, INC.</v>
      </c>
      <c r="E382">
        <f t="shared" si="74"/>
        <v>29252479</v>
      </c>
      <c r="F382" t="str">
        <f t="shared" si="75"/>
        <v>FDA</v>
      </c>
      <c r="G382" t="str">
        <f t="shared" si="76"/>
        <v>31-4234738</v>
      </c>
      <c r="H382">
        <f t="shared" ca="1" si="77"/>
        <v>2984860</v>
      </c>
      <c r="I382" t="str">
        <f t="shared" si="78"/>
        <v>Annual</v>
      </c>
      <c r="T382" s="52" t="s">
        <v>2241</v>
      </c>
      <c r="U382">
        <v>6291334</v>
      </c>
      <c r="V382" s="10" t="s">
        <v>1479</v>
      </c>
      <c r="W382" s="10" t="s">
        <v>1479</v>
      </c>
      <c r="Y382" s="1" t="s">
        <v>2259</v>
      </c>
      <c r="AI382" s="1">
        <v>212050</v>
      </c>
      <c r="AJ382" s="1" t="s">
        <v>119</v>
      </c>
      <c r="AK382" s="1" t="str">
        <f t="shared" si="79"/>
        <v/>
      </c>
      <c r="AL382" t="b">
        <f t="shared" si="80"/>
        <v>1</v>
      </c>
      <c r="AM382" s="49" t="str">
        <f t="shared" si="81"/>
        <v>Q</v>
      </c>
      <c r="AP382" s="10" t="s">
        <v>327</v>
      </c>
      <c r="AS382" t="s">
        <v>119</v>
      </c>
      <c r="AT382" s="6" t="s">
        <v>327</v>
      </c>
      <c r="AU382" s="6" t="str">
        <f t="shared" si="82"/>
        <v/>
      </c>
      <c r="AV382" s="6" t="s">
        <v>104</v>
      </c>
      <c r="AW382" s="6" t="str">
        <f t="shared" si="83"/>
        <v/>
      </c>
    </row>
    <row r="383" spans="1:49" ht="75">
      <c r="A383" s="1">
        <v>212050</v>
      </c>
      <c r="B383" t="str">
        <f t="shared" si="71"/>
        <v>5D70DT90656-62</v>
      </c>
      <c r="C383" s="6" t="str">
        <f t="shared" si="72"/>
        <v>LOS ANGELES COUNTY EPIDEMIOLOGY AND LABORATORY CAPACITY COOPERATIVE AGREEMENT 2019</v>
      </c>
      <c r="D383" s="6" t="str">
        <f t="shared" si="73"/>
        <v>NEURO KINETICS, INC.</v>
      </c>
      <c r="E383">
        <f t="shared" si="74"/>
        <v>29252479</v>
      </c>
      <c r="F383" t="str">
        <f t="shared" si="75"/>
        <v>FDA</v>
      </c>
      <c r="G383" t="str">
        <f t="shared" si="76"/>
        <v>31-4234738</v>
      </c>
      <c r="H383">
        <f t="shared" ca="1" si="77"/>
        <v>2984860</v>
      </c>
      <c r="I383" t="str">
        <f t="shared" si="78"/>
        <v>Annual</v>
      </c>
      <c r="T383" s="53" t="s">
        <v>2260</v>
      </c>
      <c r="U383">
        <v>6291334</v>
      </c>
      <c r="V383" s="10" t="s">
        <v>1485</v>
      </c>
      <c r="W383" s="10" t="s">
        <v>1485</v>
      </c>
      <c r="Y383" s="1" t="s">
        <v>2261</v>
      </c>
      <c r="AI383" s="1">
        <v>212050</v>
      </c>
      <c r="AJ383" s="1" t="s">
        <v>119</v>
      </c>
      <c r="AK383" s="1" t="str">
        <f t="shared" si="79"/>
        <v/>
      </c>
      <c r="AL383" t="b">
        <f t="shared" si="80"/>
        <v>1</v>
      </c>
      <c r="AM383" s="49" t="str">
        <f t="shared" si="81"/>
        <v>Q</v>
      </c>
      <c r="AP383" s="10" t="s">
        <v>113</v>
      </c>
      <c r="AS383" t="s">
        <v>119</v>
      </c>
      <c r="AT383" s="6" t="s">
        <v>113</v>
      </c>
      <c r="AU383" s="6" t="str">
        <f t="shared" si="82"/>
        <v/>
      </c>
      <c r="AV383" s="6" t="s">
        <v>112</v>
      </c>
      <c r="AW383" s="6" t="str">
        <f t="shared" si="83"/>
        <v/>
      </c>
    </row>
    <row r="384" spans="1:49" ht="90">
      <c r="A384" s="1">
        <v>212051</v>
      </c>
      <c r="B384" t="str">
        <f t="shared" si="71"/>
        <v>1D35HT90689-48</v>
      </c>
      <c r="C384" s="6" t="str">
        <f t="shared" si="72"/>
        <v>PHFE CDPH ELC 2019-2024</v>
      </c>
      <c r="D384" s="6" t="str">
        <f t="shared" si="73"/>
        <v>NEUROBEHAVIORAL RESEARCH, INC.</v>
      </c>
      <c r="E384">
        <f t="shared" si="74"/>
        <v>29252479</v>
      </c>
      <c r="F384" t="str">
        <f t="shared" si="75"/>
        <v>ACF</v>
      </c>
      <c r="G384" t="str">
        <f t="shared" si="76"/>
        <v>31-4234739</v>
      </c>
      <c r="H384">
        <f t="shared" ca="1" si="77"/>
        <v>2073794</v>
      </c>
      <c r="I384" t="str">
        <f t="shared" si="78"/>
        <v>Annual</v>
      </c>
      <c r="T384" s="54" t="s">
        <v>2262</v>
      </c>
      <c r="U384">
        <v>6291334</v>
      </c>
      <c r="V384" s="10" t="s">
        <v>1490</v>
      </c>
      <c r="W384" s="10" t="s">
        <v>1490</v>
      </c>
      <c r="Y384" s="1" t="s">
        <v>2263</v>
      </c>
      <c r="AI384" s="1">
        <v>212051</v>
      </c>
      <c r="AJ384" s="1" t="s">
        <v>119</v>
      </c>
      <c r="AK384" s="1" t="str">
        <f t="shared" si="79"/>
        <v/>
      </c>
      <c r="AL384" t="b">
        <f t="shared" si="80"/>
        <v>1</v>
      </c>
      <c r="AM384" s="49" t="str">
        <f t="shared" si="81"/>
        <v>Q</v>
      </c>
      <c r="AP384" s="10" t="s">
        <v>97</v>
      </c>
      <c r="AS384" t="s">
        <v>119</v>
      </c>
      <c r="AT384" s="6" t="s">
        <v>97</v>
      </c>
      <c r="AU384" s="6" t="str">
        <f t="shared" si="82"/>
        <v/>
      </c>
      <c r="AV384" s="6" t="s">
        <v>96</v>
      </c>
      <c r="AW384" s="6" t="str">
        <f t="shared" si="83"/>
        <v/>
      </c>
    </row>
    <row r="385" spans="1:49" ht="75">
      <c r="A385" s="1">
        <v>212051</v>
      </c>
      <c r="B385" t="str">
        <f t="shared" si="71"/>
        <v>1D35HT90689-48</v>
      </c>
      <c r="C385" s="6" t="str">
        <f t="shared" si="72"/>
        <v>PHFE CDPH ELC 2019-2024</v>
      </c>
      <c r="D385" s="6" t="str">
        <f t="shared" si="73"/>
        <v>NEUROBEHAVIORAL RESEARCH, INC.</v>
      </c>
      <c r="E385">
        <f t="shared" si="74"/>
        <v>29252479</v>
      </c>
      <c r="F385" t="str">
        <f t="shared" si="75"/>
        <v>ACF</v>
      </c>
      <c r="G385" t="str">
        <f t="shared" si="76"/>
        <v>31-4234739</v>
      </c>
      <c r="H385">
        <f t="shared" ca="1" si="77"/>
        <v>2073794</v>
      </c>
      <c r="I385" t="str">
        <f t="shared" si="78"/>
        <v>Annual</v>
      </c>
      <c r="T385" s="64" t="s">
        <v>2264</v>
      </c>
      <c r="U385">
        <v>25647785</v>
      </c>
      <c r="V385" s="10" t="s">
        <v>1499</v>
      </c>
      <c r="W385" s="10" t="s">
        <v>1499</v>
      </c>
      <c r="Y385" s="1" t="s">
        <v>2265</v>
      </c>
      <c r="AI385" s="1">
        <v>212051</v>
      </c>
      <c r="AJ385" s="1" t="s">
        <v>119</v>
      </c>
      <c r="AK385" s="1" t="str">
        <f t="shared" si="79"/>
        <v/>
      </c>
      <c r="AL385" t="b">
        <f t="shared" si="80"/>
        <v>1</v>
      </c>
      <c r="AM385" s="49" t="str">
        <f t="shared" si="81"/>
        <v>Q</v>
      </c>
      <c r="AP385" s="10" t="s">
        <v>327</v>
      </c>
      <c r="AS385" t="s">
        <v>119</v>
      </c>
      <c r="AT385" s="6" t="s">
        <v>327</v>
      </c>
      <c r="AU385" s="6" t="str">
        <f t="shared" si="82"/>
        <v/>
      </c>
      <c r="AV385" s="6" t="s">
        <v>104</v>
      </c>
      <c r="AW385" s="6" t="str">
        <f t="shared" si="83"/>
        <v/>
      </c>
    </row>
    <row r="386" spans="1:49" ht="60">
      <c r="A386" s="1">
        <v>212051</v>
      </c>
      <c r="B386" t="str">
        <f t="shared" si="71"/>
        <v>1D35HT90689-48</v>
      </c>
      <c r="C386" s="6" t="str">
        <f t="shared" si="72"/>
        <v>PHFE CDPH ELC 2019-2024</v>
      </c>
      <c r="D386" s="6" t="str">
        <f t="shared" si="73"/>
        <v>NEUROBEHAVIORAL RESEARCH, INC.</v>
      </c>
      <c r="E386">
        <f t="shared" si="74"/>
        <v>29252479</v>
      </c>
      <c r="F386" t="str">
        <f t="shared" si="75"/>
        <v>ACF</v>
      </c>
      <c r="G386" t="str">
        <f t="shared" si="76"/>
        <v>31-4234739</v>
      </c>
      <c r="H386">
        <f t="shared" ca="1" si="77"/>
        <v>2073794</v>
      </c>
      <c r="I386" t="str">
        <f t="shared" si="78"/>
        <v>Annual</v>
      </c>
      <c r="T386" s="56" t="s">
        <v>2233</v>
      </c>
      <c r="U386">
        <v>25647785</v>
      </c>
      <c r="V386" s="10" t="s">
        <v>1507</v>
      </c>
      <c r="W386" s="10" t="s">
        <v>1507</v>
      </c>
      <c r="Y386" s="1" t="s">
        <v>2266</v>
      </c>
      <c r="AI386" s="1">
        <v>212051</v>
      </c>
      <c r="AJ386" s="1" t="s">
        <v>119</v>
      </c>
      <c r="AK386" s="1" t="str">
        <f t="shared" si="79"/>
        <v/>
      </c>
      <c r="AL386" t="b">
        <f t="shared" si="80"/>
        <v>1</v>
      </c>
      <c r="AM386" s="49" t="str">
        <f t="shared" si="81"/>
        <v>Q</v>
      </c>
      <c r="AP386" s="10" t="s">
        <v>113</v>
      </c>
      <c r="AS386" t="s">
        <v>119</v>
      </c>
      <c r="AT386" s="6" t="s">
        <v>113</v>
      </c>
      <c r="AU386" s="6" t="str">
        <f t="shared" si="82"/>
        <v/>
      </c>
      <c r="AV386" s="6" t="s">
        <v>112</v>
      </c>
      <c r="AW386" s="6" t="str">
        <f t="shared" si="83"/>
        <v/>
      </c>
    </row>
    <row r="387" spans="1:49" ht="90">
      <c r="A387" s="1">
        <v>212053</v>
      </c>
      <c r="B387" t="str">
        <f t="shared" ref="B387:B450" si="84">VLOOKUP(A387,$N$2:$Q$206,4,FALSE)</f>
        <v>6C52FS90738-38</v>
      </c>
      <c r="C387" s="6" t="str">
        <f t="shared" ref="C387:C450" si="85">VLOOKUP(A387,$N$2:$T$206,7,FALSE)</f>
        <v>PREVENTION POLICY MODELING LAB</v>
      </c>
      <c r="D387" s="6" t="str">
        <f t="shared" ref="D387:D450" si="86">VLOOKUP(A387,$N$2:$W$206,10,FALSE)</f>
        <v>NEUROBEHAVIORAL SYSTEMS, INC.</v>
      </c>
      <c r="E387">
        <f t="shared" ref="E387:E450" si="87">VLOOKUP(A387,$N$2:$U$206,8,FALSE)</f>
        <v>29068479</v>
      </c>
      <c r="F387" t="str">
        <f t="shared" ref="F387:F450" si="88">VLOOKUP(A387,$N$2:$X$206,11,FALSE)</f>
        <v>CDC</v>
      </c>
      <c r="G387" t="str">
        <f t="shared" ref="G387:G450" si="89">VLOOKUP(A387,$N$2:$Y$206,12,FALSE)</f>
        <v>31-4234740</v>
      </c>
      <c r="H387">
        <f t="shared" ref="H387:H450" ca="1" si="90">VLOOKUP(A387,$N$2:$AA$206,14,FALSE)</f>
        <v>2830120</v>
      </c>
      <c r="I387" t="str">
        <f t="shared" ref="I387:I450" si="91">VLOOKUP(A387,$N$2:$AB$206,15,FALSE)</f>
        <v>Annual</v>
      </c>
      <c r="T387" s="56" t="s">
        <v>2267</v>
      </c>
      <c r="U387">
        <v>17782020</v>
      </c>
      <c r="V387" s="10" t="s">
        <v>1512</v>
      </c>
      <c r="W387" s="10" t="s">
        <v>1512</v>
      </c>
      <c r="Y387" s="1" t="s">
        <v>2268</v>
      </c>
      <c r="AI387" s="1">
        <v>212053</v>
      </c>
      <c r="AJ387" s="1" t="s">
        <v>119</v>
      </c>
      <c r="AK387" s="1" t="str">
        <f t="shared" ref="AK387:AK450" si="92">IF(ISNUMBER(SEARCH("C",AJ387)),"Y","")</f>
        <v/>
      </c>
      <c r="AL387" t="b">
        <f t="shared" ref="AL387:AL450" si="93">OR(LEN(AJ387)=0, ISBLANK(AJ387))</f>
        <v>1</v>
      </c>
      <c r="AM387" s="49" t="str">
        <f t="shared" ref="AM387:AM450" si="94">IF(ISNUMBER(SEARCH("C",AJ387)),"A",IF(ISNUMBER(SEARCH("B",AJ387)),"Q",IF(ISNUMBER(SEARCH("FALSE",AL387)),"Q","Q")))</f>
        <v>Q</v>
      </c>
      <c r="AP387" s="10" t="s">
        <v>97</v>
      </c>
      <c r="AS387" t="s">
        <v>119</v>
      </c>
      <c r="AT387" s="6" t="s">
        <v>97</v>
      </c>
      <c r="AU387" s="6" t="str">
        <f t="shared" ref="AU387:AU450" si="95">IF(LEN(AS387)&gt;0, AT387,"")</f>
        <v/>
      </c>
      <c r="AV387" s="6" t="s">
        <v>96</v>
      </c>
      <c r="AW387" s="6" t="str">
        <f t="shared" ref="AW387:AW450" si="96">IF(LEN(AS387)&gt;0, AV387,"")</f>
        <v/>
      </c>
    </row>
    <row r="388" spans="1:49" ht="105">
      <c r="A388" s="1">
        <v>212053</v>
      </c>
      <c r="B388" t="str">
        <f t="shared" si="84"/>
        <v>6C52FS90738-38</v>
      </c>
      <c r="C388" s="6" t="str">
        <f t="shared" si="85"/>
        <v>PREVENTION POLICY MODELING LAB</v>
      </c>
      <c r="D388" s="6" t="str">
        <f t="shared" si="86"/>
        <v>NEUROBEHAVIORAL SYSTEMS, INC.</v>
      </c>
      <c r="E388">
        <f t="shared" si="87"/>
        <v>29068479</v>
      </c>
      <c r="F388" t="str">
        <f t="shared" si="88"/>
        <v>CDC</v>
      </c>
      <c r="G388" t="str">
        <f t="shared" si="89"/>
        <v>31-4234740</v>
      </c>
      <c r="H388">
        <f t="shared" ca="1" si="90"/>
        <v>2830120</v>
      </c>
      <c r="I388" t="str">
        <f t="shared" si="91"/>
        <v>Annual</v>
      </c>
      <c r="T388" s="50" t="s">
        <v>2269</v>
      </c>
      <c r="U388">
        <v>17782020</v>
      </c>
      <c r="V388" s="10" t="s">
        <v>1516</v>
      </c>
      <c r="W388" s="10" t="s">
        <v>1516</v>
      </c>
      <c r="Y388" s="1" t="s">
        <v>2270</v>
      </c>
      <c r="AI388" s="1">
        <v>212053</v>
      </c>
      <c r="AJ388" s="1" t="s">
        <v>119</v>
      </c>
      <c r="AK388" s="1" t="str">
        <f t="shared" si="92"/>
        <v/>
      </c>
      <c r="AL388" t="b">
        <f t="shared" si="93"/>
        <v>1</v>
      </c>
      <c r="AM388" s="49" t="str">
        <f t="shared" si="94"/>
        <v>Q</v>
      </c>
      <c r="AP388" s="10" t="s">
        <v>327</v>
      </c>
      <c r="AS388" t="s">
        <v>119</v>
      </c>
      <c r="AT388" s="6" t="s">
        <v>327</v>
      </c>
      <c r="AU388" s="6" t="str">
        <f t="shared" si="95"/>
        <v/>
      </c>
      <c r="AV388" s="6" t="s">
        <v>104</v>
      </c>
      <c r="AW388" s="6" t="str">
        <f t="shared" si="96"/>
        <v/>
      </c>
    </row>
    <row r="389" spans="1:49" ht="75">
      <c r="A389" s="1">
        <v>212053</v>
      </c>
      <c r="B389" t="str">
        <f t="shared" si="84"/>
        <v>6C52FS90738-38</v>
      </c>
      <c r="C389" s="6" t="str">
        <f t="shared" si="85"/>
        <v>PREVENTION POLICY MODELING LAB</v>
      </c>
      <c r="D389" s="6" t="str">
        <f t="shared" si="86"/>
        <v>NEUROBEHAVIORAL SYSTEMS, INC.</v>
      </c>
      <c r="E389">
        <f t="shared" si="87"/>
        <v>29068479</v>
      </c>
      <c r="F389" t="str">
        <f t="shared" si="88"/>
        <v>CDC</v>
      </c>
      <c r="G389" t="str">
        <f t="shared" si="89"/>
        <v>31-4234740</v>
      </c>
      <c r="H389">
        <f t="shared" ca="1" si="90"/>
        <v>2830120</v>
      </c>
      <c r="I389" t="str">
        <f t="shared" si="91"/>
        <v>Annual</v>
      </c>
      <c r="T389" s="56" t="s">
        <v>2271</v>
      </c>
      <c r="U389">
        <v>13699748</v>
      </c>
      <c r="V389" s="10" t="s">
        <v>1522</v>
      </c>
      <c r="W389" s="10" t="s">
        <v>1522</v>
      </c>
      <c r="Y389" s="1" t="s">
        <v>2272</v>
      </c>
      <c r="AI389" s="1">
        <v>212053</v>
      </c>
      <c r="AJ389" s="1" t="s">
        <v>119</v>
      </c>
      <c r="AK389" s="1" t="str">
        <f t="shared" si="92"/>
        <v/>
      </c>
      <c r="AL389" t="b">
        <f t="shared" si="93"/>
        <v>1</v>
      </c>
      <c r="AM389" s="49" t="str">
        <f t="shared" si="94"/>
        <v>Q</v>
      </c>
      <c r="AP389" s="10" t="s">
        <v>113</v>
      </c>
      <c r="AS389" t="s">
        <v>119</v>
      </c>
      <c r="AT389" s="6" t="s">
        <v>113</v>
      </c>
      <c r="AU389" s="6" t="str">
        <f t="shared" si="95"/>
        <v/>
      </c>
      <c r="AV389" s="6" t="s">
        <v>112</v>
      </c>
      <c r="AW389" s="6" t="str">
        <f t="shared" si="96"/>
        <v/>
      </c>
    </row>
    <row r="390" spans="1:49" ht="90">
      <c r="A390" s="1">
        <v>212054</v>
      </c>
      <c r="B390" t="str">
        <f t="shared" si="84"/>
        <v>8B13GR90739-75</v>
      </c>
      <c r="C390" s="6" t="str">
        <f t="shared" si="85"/>
        <v>STD SURVEILLANCE NETWORK (SSUN)</v>
      </c>
      <c r="D390" s="6" t="str">
        <f t="shared" si="86"/>
        <v>NEUROCOG TRIALS, INC.</v>
      </c>
      <c r="E390">
        <f t="shared" si="87"/>
        <v>29068479</v>
      </c>
      <c r="F390" t="str">
        <f t="shared" si="88"/>
        <v>NIH</v>
      </c>
      <c r="G390" t="str">
        <f t="shared" si="89"/>
        <v>31-4234741</v>
      </c>
      <c r="H390">
        <f t="shared" ca="1" si="90"/>
        <v>2874993</v>
      </c>
      <c r="I390" t="str">
        <f t="shared" si="91"/>
        <v>Annual</v>
      </c>
      <c r="T390" s="54" t="s">
        <v>2273</v>
      </c>
      <c r="U390">
        <v>13699748</v>
      </c>
      <c r="V390" s="10" t="s">
        <v>1530</v>
      </c>
      <c r="W390" s="10" t="s">
        <v>1530</v>
      </c>
      <c r="Y390" s="1" t="s">
        <v>2274</v>
      </c>
      <c r="AI390" s="1">
        <v>212054</v>
      </c>
      <c r="AJ390" s="1" t="s">
        <v>119</v>
      </c>
      <c r="AK390" s="1" t="str">
        <f t="shared" si="92"/>
        <v/>
      </c>
      <c r="AL390" t="b">
        <f t="shared" si="93"/>
        <v>1</v>
      </c>
      <c r="AM390" s="49" t="str">
        <f t="shared" si="94"/>
        <v>Q</v>
      </c>
      <c r="AP390" s="10" t="s">
        <v>97</v>
      </c>
      <c r="AS390" t="s">
        <v>119</v>
      </c>
      <c r="AT390" s="6" t="s">
        <v>97</v>
      </c>
      <c r="AU390" s="6" t="str">
        <f t="shared" si="95"/>
        <v/>
      </c>
      <c r="AV390" s="6" t="s">
        <v>96</v>
      </c>
      <c r="AW390" s="6" t="str">
        <f t="shared" si="96"/>
        <v/>
      </c>
    </row>
    <row r="391" spans="1:49" ht="120">
      <c r="A391" s="1">
        <v>212054</v>
      </c>
      <c r="B391" t="str">
        <f t="shared" si="84"/>
        <v>8B13GR90739-75</v>
      </c>
      <c r="C391" s="6" t="str">
        <f t="shared" si="85"/>
        <v>STD SURVEILLANCE NETWORK (SSUN)</v>
      </c>
      <c r="D391" s="6" t="str">
        <f t="shared" si="86"/>
        <v>NEUROCOG TRIALS, INC.</v>
      </c>
      <c r="E391">
        <f t="shared" si="87"/>
        <v>29068479</v>
      </c>
      <c r="F391" t="str">
        <f t="shared" si="88"/>
        <v>NIH</v>
      </c>
      <c r="G391" t="str">
        <f t="shared" si="89"/>
        <v>31-4234741</v>
      </c>
      <c r="H391">
        <f t="shared" ca="1" si="90"/>
        <v>2874993</v>
      </c>
      <c r="I391" t="str">
        <f t="shared" si="91"/>
        <v>Annual</v>
      </c>
      <c r="T391" s="64" t="s">
        <v>2275</v>
      </c>
      <c r="U391">
        <v>13699748</v>
      </c>
      <c r="V391" s="10" t="s">
        <v>1537</v>
      </c>
      <c r="W391" s="10" t="s">
        <v>1537</v>
      </c>
      <c r="Y391" s="1" t="s">
        <v>2276</v>
      </c>
      <c r="AI391" s="1">
        <v>212054</v>
      </c>
      <c r="AJ391" s="1" t="s">
        <v>119</v>
      </c>
      <c r="AK391" s="1" t="str">
        <f t="shared" si="92"/>
        <v/>
      </c>
      <c r="AL391" t="b">
        <f t="shared" si="93"/>
        <v>1</v>
      </c>
      <c r="AM391" s="49" t="str">
        <f t="shared" si="94"/>
        <v>Q</v>
      </c>
      <c r="AP391" s="10" t="s">
        <v>327</v>
      </c>
      <c r="AS391" t="s">
        <v>119</v>
      </c>
      <c r="AT391" s="6" t="s">
        <v>327</v>
      </c>
      <c r="AU391" s="6" t="str">
        <f t="shared" si="95"/>
        <v/>
      </c>
      <c r="AV391" s="6" t="s">
        <v>104</v>
      </c>
      <c r="AW391" s="6" t="str">
        <f t="shared" si="96"/>
        <v/>
      </c>
    </row>
    <row r="392" spans="1:49" ht="90">
      <c r="A392" s="1">
        <v>212054</v>
      </c>
      <c r="B392" t="str">
        <f t="shared" si="84"/>
        <v>8B13GR90739-75</v>
      </c>
      <c r="C392" s="6" t="str">
        <f t="shared" si="85"/>
        <v>STD SURVEILLANCE NETWORK (SSUN)</v>
      </c>
      <c r="D392" s="6" t="str">
        <f t="shared" si="86"/>
        <v>NEUROCOG TRIALS, INC.</v>
      </c>
      <c r="E392">
        <f t="shared" si="87"/>
        <v>29068479</v>
      </c>
      <c r="F392" t="str">
        <f t="shared" si="88"/>
        <v>NIH</v>
      </c>
      <c r="G392" t="str">
        <f t="shared" si="89"/>
        <v>31-4234741</v>
      </c>
      <c r="H392">
        <f t="shared" ca="1" si="90"/>
        <v>2874993</v>
      </c>
      <c r="I392" t="str">
        <f t="shared" si="91"/>
        <v>Annual</v>
      </c>
      <c r="T392" s="53" t="s">
        <v>2277</v>
      </c>
      <c r="U392">
        <v>36727513</v>
      </c>
      <c r="V392" s="10" t="s">
        <v>1543</v>
      </c>
      <c r="W392" s="10" t="s">
        <v>1543</v>
      </c>
      <c r="Y392" s="1" t="s">
        <v>2278</v>
      </c>
      <c r="AI392" s="1">
        <v>212054</v>
      </c>
      <c r="AJ392" s="1" t="s">
        <v>119</v>
      </c>
      <c r="AK392" s="1" t="str">
        <f t="shared" si="92"/>
        <v/>
      </c>
      <c r="AL392" t="b">
        <f t="shared" si="93"/>
        <v>1</v>
      </c>
      <c r="AM392" s="49" t="str">
        <f t="shared" si="94"/>
        <v>Q</v>
      </c>
      <c r="AP392" s="10" t="s">
        <v>113</v>
      </c>
      <c r="AS392" t="s">
        <v>119</v>
      </c>
      <c r="AT392" s="6" t="s">
        <v>113</v>
      </c>
      <c r="AU392" s="6" t="str">
        <f t="shared" si="95"/>
        <v/>
      </c>
      <c r="AV392" s="6" t="s">
        <v>112</v>
      </c>
      <c r="AW392" s="6" t="str">
        <f t="shared" si="96"/>
        <v/>
      </c>
    </row>
    <row r="393" spans="1:49" ht="90">
      <c r="A393" s="1">
        <v>213158</v>
      </c>
      <c r="B393" t="str">
        <f t="shared" si="84"/>
        <v>5B75GR90875-16</v>
      </c>
      <c r="C393" s="6" t="str">
        <f t="shared" si="85"/>
        <v>LOS ANGELES COUNTY EPIDEMIOLOGY AND LABORATORY CAPACITY COOPERATIVE AGREEMENT 2019</v>
      </c>
      <c r="D393" s="6" t="str">
        <f t="shared" si="86"/>
        <v>NEUROCOMP SYSTEMS, INC.</v>
      </c>
      <c r="E393">
        <f t="shared" si="87"/>
        <v>27563204</v>
      </c>
      <c r="F393" t="str">
        <f t="shared" si="88"/>
        <v>FDA</v>
      </c>
      <c r="G393" t="str">
        <f t="shared" si="89"/>
        <v>31-4234742</v>
      </c>
      <c r="H393">
        <f t="shared" ca="1" si="90"/>
        <v>2342557</v>
      </c>
      <c r="I393" t="str">
        <f t="shared" si="91"/>
        <v>Annual</v>
      </c>
      <c r="T393" s="52" t="s">
        <v>2279</v>
      </c>
      <c r="U393">
        <v>36727513</v>
      </c>
      <c r="V393" s="10" t="s">
        <v>1548</v>
      </c>
      <c r="W393" s="10" t="s">
        <v>1548</v>
      </c>
      <c r="Y393" s="1" t="s">
        <v>2280</v>
      </c>
      <c r="AI393" s="1">
        <v>213158</v>
      </c>
      <c r="AJ393" s="1" t="s">
        <v>119</v>
      </c>
      <c r="AK393" s="1" t="str">
        <f t="shared" si="92"/>
        <v/>
      </c>
      <c r="AL393" t="b">
        <f t="shared" si="93"/>
        <v>1</v>
      </c>
      <c r="AM393" s="49" t="str">
        <f t="shared" si="94"/>
        <v>Q</v>
      </c>
      <c r="AP393" s="10" t="s">
        <v>97</v>
      </c>
      <c r="AS393" t="s">
        <v>119</v>
      </c>
      <c r="AT393" s="6" t="s">
        <v>97</v>
      </c>
      <c r="AU393" s="6" t="str">
        <f t="shared" si="95"/>
        <v/>
      </c>
      <c r="AV393" s="6" t="s">
        <v>96</v>
      </c>
      <c r="AW393" s="6" t="str">
        <f t="shared" si="96"/>
        <v/>
      </c>
    </row>
    <row r="394" spans="1:49" ht="75">
      <c r="A394" s="1">
        <v>213158</v>
      </c>
      <c r="B394" t="str">
        <f t="shared" si="84"/>
        <v>5B75GR90875-16</v>
      </c>
      <c r="C394" s="6" t="str">
        <f t="shared" si="85"/>
        <v>LOS ANGELES COUNTY EPIDEMIOLOGY AND LABORATORY CAPACITY COOPERATIVE AGREEMENT 2019</v>
      </c>
      <c r="D394" s="6" t="str">
        <f t="shared" si="86"/>
        <v>NEUROCOMP SYSTEMS, INC.</v>
      </c>
      <c r="E394">
        <f t="shared" si="87"/>
        <v>27563204</v>
      </c>
      <c r="F394" t="str">
        <f t="shared" si="88"/>
        <v>FDA</v>
      </c>
      <c r="G394" t="str">
        <f t="shared" si="89"/>
        <v>31-4234742</v>
      </c>
      <c r="H394">
        <f t="shared" ca="1" si="90"/>
        <v>2342557</v>
      </c>
      <c r="I394" t="str">
        <f t="shared" si="91"/>
        <v>Annual</v>
      </c>
      <c r="T394" s="54" t="s">
        <v>2281</v>
      </c>
      <c r="U394">
        <v>36727513</v>
      </c>
      <c r="V394" s="10" t="s">
        <v>1552</v>
      </c>
      <c r="W394" s="10" t="s">
        <v>1552</v>
      </c>
      <c r="Y394" s="1" t="s">
        <v>2282</v>
      </c>
      <c r="AI394" s="1">
        <v>213158</v>
      </c>
      <c r="AJ394" s="1" t="s">
        <v>119</v>
      </c>
      <c r="AK394" s="1" t="str">
        <f t="shared" si="92"/>
        <v/>
      </c>
      <c r="AL394" t="b">
        <f t="shared" si="93"/>
        <v>1</v>
      </c>
      <c r="AM394" s="49" t="str">
        <f t="shared" si="94"/>
        <v>Q</v>
      </c>
      <c r="AP394" s="10" t="s">
        <v>327</v>
      </c>
      <c r="AS394" t="s">
        <v>119</v>
      </c>
      <c r="AT394" s="6" t="s">
        <v>327</v>
      </c>
      <c r="AU394" s="6" t="str">
        <f t="shared" si="95"/>
        <v/>
      </c>
      <c r="AV394" s="6" t="s">
        <v>104</v>
      </c>
      <c r="AW394" s="6" t="str">
        <f t="shared" si="96"/>
        <v/>
      </c>
    </row>
    <row r="395" spans="1:49" ht="90">
      <c r="A395" s="1">
        <v>213214</v>
      </c>
      <c r="B395" t="str">
        <f t="shared" si="84"/>
        <v>1B70BR89764-56</v>
      </c>
      <c r="C395" s="6" t="str">
        <f t="shared" si="85"/>
        <v>CALIFORNIA EMERGING INFECTIONS PROGRAM 2019</v>
      </c>
      <c r="D395" s="6" t="str">
        <f t="shared" si="86"/>
        <v>NEUROCYCLE THERAPEUTICS, INC.</v>
      </c>
      <c r="E395">
        <f t="shared" si="87"/>
        <v>27563204</v>
      </c>
      <c r="F395" t="str">
        <f t="shared" si="88"/>
        <v>ACF</v>
      </c>
      <c r="G395" t="str">
        <f t="shared" si="89"/>
        <v>31-4234743</v>
      </c>
      <c r="H395">
        <f t="shared" ca="1" si="90"/>
        <v>2073712</v>
      </c>
      <c r="I395" t="str">
        <f t="shared" si="91"/>
        <v>Annual</v>
      </c>
      <c r="T395" s="56" t="s">
        <v>1881</v>
      </c>
      <c r="U395">
        <v>25502079</v>
      </c>
      <c r="V395" s="10" t="s">
        <v>1559</v>
      </c>
      <c r="W395" s="10" t="s">
        <v>1559</v>
      </c>
      <c r="Y395" s="1" t="s">
        <v>2283</v>
      </c>
      <c r="AI395" s="1">
        <v>213214</v>
      </c>
      <c r="AJ395" s="1" t="s">
        <v>119</v>
      </c>
      <c r="AK395" s="1" t="str">
        <f t="shared" si="92"/>
        <v/>
      </c>
      <c r="AL395" t="b">
        <f t="shared" si="93"/>
        <v>1</v>
      </c>
      <c r="AM395" s="49" t="str">
        <f t="shared" si="94"/>
        <v>Q</v>
      </c>
      <c r="AP395" s="10" t="s">
        <v>97</v>
      </c>
      <c r="AS395" t="s">
        <v>119</v>
      </c>
      <c r="AT395" s="6" t="s">
        <v>97</v>
      </c>
      <c r="AU395" s="6" t="str">
        <f t="shared" si="95"/>
        <v/>
      </c>
      <c r="AV395" s="6" t="s">
        <v>96</v>
      </c>
      <c r="AW395" s="6" t="str">
        <f t="shared" si="96"/>
        <v/>
      </c>
    </row>
    <row r="396" spans="1:49" ht="75">
      <c r="A396" s="1">
        <v>213214</v>
      </c>
      <c r="B396" t="str">
        <f t="shared" si="84"/>
        <v>1B70BR89764-56</v>
      </c>
      <c r="C396" s="6" t="str">
        <f t="shared" si="85"/>
        <v>CALIFORNIA EMERGING INFECTIONS PROGRAM 2019</v>
      </c>
      <c r="D396" s="6" t="str">
        <f t="shared" si="86"/>
        <v>NEUROCYCLE THERAPEUTICS, INC.</v>
      </c>
      <c r="E396">
        <f t="shared" si="87"/>
        <v>27563204</v>
      </c>
      <c r="F396" t="str">
        <f t="shared" si="88"/>
        <v>ACF</v>
      </c>
      <c r="G396" t="str">
        <f t="shared" si="89"/>
        <v>31-4234743</v>
      </c>
      <c r="H396">
        <f t="shared" ca="1" si="90"/>
        <v>2073712</v>
      </c>
      <c r="I396" t="str">
        <f t="shared" si="91"/>
        <v>Annual</v>
      </c>
      <c r="T396" s="58" t="s">
        <v>2223</v>
      </c>
      <c r="U396">
        <v>25502079</v>
      </c>
      <c r="V396" s="10" t="s">
        <v>1565</v>
      </c>
      <c r="W396" s="10" t="s">
        <v>1565</v>
      </c>
      <c r="Y396" s="1" t="s">
        <v>2284</v>
      </c>
      <c r="AI396" s="1">
        <v>213214</v>
      </c>
      <c r="AJ396" s="1" t="s">
        <v>119</v>
      </c>
      <c r="AK396" s="1" t="str">
        <f t="shared" si="92"/>
        <v/>
      </c>
      <c r="AL396" t="b">
        <f t="shared" si="93"/>
        <v>1</v>
      </c>
      <c r="AM396" s="49" t="str">
        <f t="shared" si="94"/>
        <v>Q</v>
      </c>
      <c r="AP396" s="10" t="s">
        <v>327</v>
      </c>
      <c r="AS396" t="s">
        <v>119</v>
      </c>
      <c r="AT396" s="6" t="s">
        <v>327</v>
      </c>
      <c r="AU396" s="6" t="str">
        <f t="shared" si="95"/>
        <v/>
      </c>
      <c r="AV396" s="6" t="s">
        <v>104</v>
      </c>
      <c r="AW396" s="6" t="str">
        <f t="shared" si="96"/>
        <v/>
      </c>
    </row>
    <row r="397" spans="1:49" ht="90">
      <c r="A397" s="1">
        <v>213715</v>
      </c>
      <c r="B397" t="str">
        <f t="shared" si="84"/>
        <v>6B50CR88795-70</v>
      </c>
      <c r="C397" s="6" t="str">
        <f t="shared" si="85"/>
        <v>PHFE CDPH ELC 2019-2024</v>
      </c>
      <c r="D397" s="6" t="str">
        <f t="shared" si="86"/>
        <v>NEURODEX INC</v>
      </c>
      <c r="E397">
        <f t="shared" si="87"/>
        <v>2134389</v>
      </c>
      <c r="F397" t="str">
        <f t="shared" si="88"/>
        <v>CDC</v>
      </c>
      <c r="G397" t="str">
        <f t="shared" si="89"/>
        <v>31-4234744</v>
      </c>
      <c r="H397">
        <f t="shared" ca="1" si="90"/>
        <v>2660721</v>
      </c>
      <c r="I397" t="str">
        <f t="shared" si="91"/>
        <v>Annual</v>
      </c>
      <c r="T397" s="52" t="s">
        <v>2285</v>
      </c>
      <c r="U397">
        <v>25502079</v>
      </c>
      <c r="V397" s="10" t="s">
        <v>1571</v>
      </c>
      <c r="W397" s="10" t="s">
        <v>1571</v>
      </c>
      <c r="Y397" s="1" t="s">
        <v>2286</v>
      </c>
      <c r="AI397" s="1">
        <v>213715</v>
      </c>
      <c r="AJ397" s="1" t="s">
        <v>119</v>
      </c>
      <c r="AK397" s="1" t="str">
        <f t="shared" si="92"/>
        <v/>
      </c>
      <c r="AL397" t="b">
        <f t="shared" si="93"/>
        <v>1</v>
      </c>
      <c r="AM397" s="49" t="str">
        <f t="shared" si="94"/>
        <v>Q</v>
      </c>
      <c r="AP397" s="10" t="s">
        <v>97</v>
      </c>
      <c r="AS397" t="s">
        <v>119</v>
      </c>
      <c r="AT397" s="6" t="s">
        <v>97</v>
      </c>
      <c r="AU397" s="6" t="str">
        <f t="shared" si="95"/>
        <v/>
      </c>
      <c r="AV397" s="6" t="s">
        <v>96</v>
      </c>
      <c r="AW397" s="6" t="str">
        <f t="shared" si="96"/>
        <v/>
      </c>
    </row>
    <row r="398" spans="1:49" ht="75">
      <c r="A398" s="1">
        <v>213715</v>
      </c>
      <c r="B398" t="str">
        <f t="shared" si="84"/>
        <v>6B50CR88795-70</v>
      </c>
      <c r="C398" s="6" t="str">
        <f t="shared" si="85"/>
        <v>PHFE CDPH ELC 2019-2024</v>
      </c>
      <c r="D398" s="6" t="str">
        <f t="shared" si="86"/>
        <v>NEURODEX INC</v>
      </c>
      <c r="E398">
        <f t="shared" si="87"/>
        <v>2134389</v>
      </c>
      <c r="F398" t="str">
        <f t="shared" si="88"/>
        <v>CDC</v>
      </c>
      <c r="G398" t="str">
        <f t="shared" si="89"/>
        <v>31-4234744</v>
      </c>
      <c r="H398">
        <f t="shared" ca="1" si="90"/>
        <v>2660721</v>
      </c>
      <c r="I398" t="str">
        <f t="shared" si="91"/>
        <v>Annual</v>
      </c>
      <c r="T398" s="54" t="s">
        <v>2287</v>
      </c>
      <c r="U398">
        <v>26594444</v>
      </c>
      <c r="V398" s="10" t="s">
        <v>1577</v>
      </c>
      <c r="W398" s="10" t="s">
        <v>1577</v>
      </c>
      <c r="Y398" s="1" t="s">
        <v>2288</v>
      </c>
      <c r="AI398" s="1">
        <v>213715</v>
      </c>
      <c r="AJ398" s="1" t="s">
        <v>119</v>
      </c>
      <c r="AK398" s="1" t="str">
        <f t="shared" si="92"/>
        <v/>
      </c>
      <c r="AL398" t="b">
        <f t="shared" si="93"/>
        <v>1</v>
      </c>
      <c r="AM398" s="49" t="str">
        <f t="shared" si="94"/>
        <v>Q</v>
      </c>
      <c r="AP398" s="10" t="s">
        <v>327</v>
      </c>
      <c r="AS398" t="s">
        <v>119</v>
      </c>
      <c r="AT398" s="6" t="s">
        <v>327</v>
      </c>
      <c r="AU398" s="6" t="str">
        <f t="shared" si="95"/>
        <v/>
      </c>
      <c r="AV398" s="6" t="s">
        <v>104</v>
      </c>
      <c r="AW398" s="6" t="str">
        <f t="shared" si="96"/>
        <v/>
      </c>
    </row>
    <row r="399" spans="1:49" ht="60">
      <c r="A399" s="1">
        <v>213715</v>
      </c>
      <c r="B399" t="str">
        <f t="shared" si="84"/>
        <v>6B50CR88795-70</v>
      </c>
      <c r="C399" s="6" t="str">
        <f t="shared" si="85"/>
        <v>PHFE CDPH ELC 2019-2024</v>
      </c>
      <c r="D399" s="6" t="str">
        <f t="shared" si="86"/>
        <v>NEURODEX INC</v>
      </c>
      <c r="E399">
        <f t="shared" si="87"/>
        <v>2134389</v>
      </c>
      <c r="F399" t="str">
        <f t="shared" si="88"/>
        <v>CDC</v>
      </c>
      <c r="G399" t="str">
        <f t="shared" si="89"/>
        <v>31-4234744</v>
      </c>
      <c r="H399">
        <f t="shared" ca="1" si="90"/>
        <v>2660721</v>
      </c>
      <c r="I399" t="str">
        <f t="shared" si="91"/>
        <v>Annual</v>
      </c>
      <c r="T399" s="54" t="s">
        <v>2289</v>
      </c>
      <c r="U399">
        <v>26594444</v>
      </c>
      <c r="V399" s="10" t="s">
        <v>1583</v>
      </c>
      <c r="W399" s="10" t="s">
        <v>1583</v>
      </c>
      <c r="Y399" s="1" t="s">
        <v>2290</v>
      </c>
      <c r="AI399" s="1">
        <v>213715</v>
      </c>
      <c r="AJ399" s="1" t="s">
        <v>119</v>
      </c>
      <c r="AK399" s="1" t="str">
        <f t="shared" si="92"/>
        <v/>
      </c>
      <c r="AL399" t="b">
        <f t="shared" si="93"/>
        <v>1</v>
      </c>
      <c r="AM399" s="49" t="str">
        <f t="shared" si="94"/>
        <v>Q</v>
      </c>
      <c r="AP399" s="10"/>
      <c r="AS399" t="s">
        <v>119</v>
      </c>
      <c r="AT399" s="6" t="s">
        <v>812</v>
      </c>
      <c r="AU399" s="6" t="str">
        <f t="shared" si="95"/>
        <v/>
      </c>
      <c r="AV399" s="6" t="s">
        <v>811</v>
      </c>
      <c r="AW399" s="6" t="str">
        <f t="shared" si="96"/>
        <v/>
      </c>
    </row>
    <row r="400" spans="1:49" ht="90">
      <c r="A400" s="1">
        <v>213892</v>
      </c>
      <c r="B400" t="str">
        <f t="shared" si="84"/>
        <v>6B88IR87856-42</v>
      </c>
      <c r="C400" s="6" t="str">
        <f t="shared" si="85"/>
        <v>TB CENTERS OF EXCELLENCE FOR TRAINING, EDUCATION AND MEDICAL CONSULTATION (TB COE)</v>
      </c>
      <c r="D400" s="6" t="str">
        <f t="shared" si="86"/>
        <v>NEUROENE THERAPEUTICS, LLC</v>
      </c>
      <c r="E400">
        <f t="shared" si="87"/>
        <v>2134389</v>
      </c>
      <c r="F400" t="str">
        <f t="shared" si="88"/>
        <v>NIH</v>
      </c>
      <c r="G400" t="str">
        <f t="shared" si="89"/>
        <v>31-4234745</v>
      </c>
      <c r="H400">
        <f t="shared" ca="1" si="90"/>
        <v>2538159</v>
      </c>
      <c r="I400" t="str">
        <f t="shared" si="91"/>
        <v>Annual</v>
      </c>
      <c r="T400" s="54" t="s">
        <v>2291</v>
      </c>
      <c r="U400">
        <v>26594444</v>
      </c>
      <c r="V400" s="10" t="s">
        <v>1589</v>
      </c>
      <c r="W400" s="10" t="s">
        <v>1589</v>
      </c>
      <c r="Y400" s="1" t="s">
        <v>2292</v>
      </c>
      <c r="AI400" s="1">
        <v>213892</v>
      </c>
      <c r="AJ400" s="1" t="s">
        <v>119</v>
      </c>
      <c r="AK400" s="1" t="str">
        <f t="shared" si="92"/>
        <v/>
      </c>
      <c r="AL400" t="b">
        <f t="shared" si="93"/>
        <v>1</v>
      </c>
      <c r="AM400" s="49" t="str">
        <f t="shared" si="94"/>
        <v>Q</v>
      </c>
      <c r="AP400" s="10" t="s">
        <v>97</v>
      </c>
      <c r="AS400" t="s">
        <v>119</v>
      </c>
      <c r="AT400" s="6" t="s">
        <v>97</v>
      </c>
      <c r="AU400" s="6" t="str">
        <f t="shared" si="95"/>
        <v/>
      </c>
      <c r="AV400" s="6" t="s">
        <v>96</v>
      </c>
      <c r="AW400" s="6" t="str">
        <f t="shared" si="96"/>
        <v/>
      </c>
    </row>
    <row r="401" spans="1:49" ht="75">
      <c r="A401" s="1">
        <v>213892</v>
      </c>
      <c r="B401" t="str">
        <f t="shared" si="84"/>
        <v>6B88IR87856-42</v>
      </c>
      <c r="C401" s="6" t="str">
        <f t="shared" si="85"/>
        <v>TB CENTERS OF EXCELLENCE FOR TRAINING, EDUCATION AND MEDICAL CONSULTATION (TB COE)</v>
      </c>
      <c r="D401" s="6" t="str">
        <f t="shared" si="86"/>
        <v>NEUROENE THERAPEUTICS, LLC</v>
      </c>
      <c r="E401">
        <f t="shared" si="87"/>
        <v>2134389</v>
      </c>
      <c r="F401" t="str">
        <f t="shared" si="88"/>
        <v>NIH</v>
      </c>
      <c r="G401" t="str">
        <f t="shared" si="89"/>
        <v>31-4234745</v>
      </c>
      <c r="H401">
        <f t="shared" ca="1" si="90"/>
        <v>2538159</v>
      </c>
      <c r="I401" t="str">
        <f t="shared" si="91"/>
        <v>Annual</v>
      </c>
      <c r="T401" s="54" t="s">
        <v>2287</v>
      </c>
      <c r="U401">
        <v>22812986</v>
      </c>
      <c r="V401" s="10" t="s">
        <v>1594</v>
      </c>
      <c r="W401" s="10" t="s">
        <v>1594</v>
      </c>
      <c r="Y401" s="1" t="s">
        <v>2293</v>
      </c>
      <c r="AI401" s="1">
        <v>213892</v>
      </c>
      <c r="AJ401" s="1" t="s">
        <v>119</v>
      </c>
      <c r="AK401" s="1" t="str">
        <f t="shared" si="92"/>
        <v/>
      </c>
      <c r="AL401" t="b">
        <f t="shared" si="93"/>
        <v>1</v>
      </c>
      <c r="AM401" s="49" t="str">
        <f t="shared" si="94"/>
        <v>Q</v>
      </c>
      <c r="AP401" s="10" t="s">
        <v>327</v>
      </c>
      <c r="AS401" t="s">
        <v>119</v>
      </c>
      <c r="AT401" s="6" t="s">
        <v>327</v>
      </c>
      <c r="AU401" s="6" t="str">
        <f t="shared" si="95"/>
        <v/>
      </c>
      <c r="AV401" s="6" t="s">
        <v>104</v>
      </c>
      <c r="AW401" s="6" t="str">
        <f t="shared" si="96"/>
        <v/>
      </c>
    </row>
    <row r="402" spans="1:49" ht="60">
      <c r="A402" s="1">
        <v>213892</v>
      </c>
      <c r="B402" t="str">
        <f t="shared" si="84"/>
        <v>6B88IR87856-42</v>
      </c>
      <c r="C402" s="6" t="str">
        <f t="shared" si="85"/>
        <v>TB CENTERS OF EXCELLENCE FOR TRAINING, EDUCATION AND MEDICAL CONSULTATION (TB COE)</v>
      </c>
      <c r="D402" s="6" t="str">
        <f t="shared" si="86"/>
        <v>NEUROENE THERAPEUTICS, LLC</v>
      </c>
      <c r="E402">
        <f t="shared" si="87"/>
        <v>2134389</v>
      </c>
      <c r="F402" t="str">
        <f t="shared" si="88"/>
        <v>NIH</v>
      </c>
      <c r="G402" t="str">
        <f t="shared" si="89"/>
        <v>31-4234745</v>
      </c>
      <c r="H402">
        <f t="shared" ca="1" si="90"/>
        <v>2538159</v>
      </c>
      <c r="I402" t="str">
        <f t="shared" si="91"/>
        <v>Annual</v>
      </c>
      <c r="T402" s="54" t="s">
        <v>2294</v>
      </c>
      <c r="U402">
        <v>22812986</v>
      </c>
      <c r="V402" s="10" t="s">
        <v>1599</v>
      </c>
      <c r="W402" s="10" t="s">
        <v>1599</v>
      </c>
      <c r="Y402" s="1" t="s">
        <v>2295</v>
      </c>
      <c r="AI402" s="1">
        <v>213892</v>
      </c>
      <c r="AJ402" s="1" t="s">
        <v>119</v>
      </c>
      <c r="AK402" s="1" t="str">
        <f t="shared" si="92"/>
        <v/>
      </c>
      <c r="AL402" t="b">
        <f t="shared" si="93"/>
        <v>1</v>
      </c>
      <c r="AM402" s="49" t="str">
        <f t="shared" si="94"/>
        <v>Q</v>
      </c>
      <c r="AP402" s="10" t="s">
        <v>113</v>
      </c>
      <c r="AS402" t="s">
        <v>119</v>
      </c>
      <c r="AT402" s="6" t="s">
        <v>113</v>
      </c>
      <c r="AU402" s="6" t="str">
        <f t="shared" si="95"/>
        <v/>
      </c>
      <c r="AV402" s="6" t="s">
        <v>112</v>
      </c>
      <c r="AW402" s="6" t="str">
        <f t="shared" si="96"/>
        <v/>
      </c>
    </row>
    <row r="403" spans="1:49" ht="90">
      <c r="A403" s="1">
        <v>213919</v>
      </c>
      <c r="B403" t="str">
        <f t="shared" si="84"/>
        <v>5B70BR83522-30</v>
      </c>
      <c r="C403" s="6" t="str">
        <f t="shared" si="85"/>
        <v>STD SURVEILLANCE NETWORK (SSUN)</v>
      </c>
      <c r="D403" s="6" t="str">
        <f t="shared" si="86"/>
        <v>NEUROFIT, INC.</v>
      </c>
      <c r="E403">
        <f t="shared" si="87"/>
        <v>2134389</v>
      </c>
      <c r="F403" t="str">
        <f t="shared" si="88"/>
        <v>FDA</v>
      </c>
      <c r="G403" t="str">
        <f t="shared" si="89"/>
        <v>31-4234746</v>
      </c>
      <c r="H403">
        <f t="shared" ca="1" si="90"/>
        <v>2471679</v>
      </c>
      <c r="I403" t="str">
        <f t="shared" si="91"/>
        <v>Annual</v>
      </c>
      <c r="T403" s="66" t="s">
        <v>2296</v>
      </c>
      <c r="U403">
        <v>22812986</v>
      </c>
      <c r="V403" s="10" t="s">
        <v>1605</v>
      </c>
      <c r="W403" s="10" t="s">
        <v>1605</v>
      </c>
      <c r="Y403" s="1" t="s">
        <v>2297</v>
      </c>
      <c r="AI403" s="1">
        <v>213919</v>
      </c>
      <c r="AJ403" s="1" t="s">
        <v>119</v>
      </c>
      <c r="AK403" s="1" t="str">
        <f t="shared" si="92"/>
        <v/>
      </c>
      <c r="AL403" t="b">
        <f t="shared" si="93"/>
        <v>1</v>
      </c>
      <c r="AM403" s="49" t="str">
        <f t="shared" si="94"/>
        <v>Q</v>
      </c>
      <c r="AP403" s="10" t="s">
        <v>97</v>
      </c>
      <c r="AS403" t="s">
        <v>119</v>
      </c>
      <c r="AT403" s="6" t="s">
        <v>97</v>
      </c>
      <c r="AU403" s="6" t="str">
        <f t="shared" si="95"/>
        <v/>
      </c>
      <c r="AV403" s="6" t="s">
        <v>96</v>
      </c>
      <c r="AW403" s="6" t="str">
        <f t="shared" si="96"/>
        <v/>
      </c>
    </row>
    <row r="404" spans="1:49" ht="75">
      <c r="A404" s="1">
        <v>213919</v>
      </c>
      <c r="B404" t="str">
        <f t="shared" si="84"/>
        <v>5B70BR83522-30</v>
      </c>
      <c r="C404" s="6" t="str">
        <f t="shared" si="85"/>
        <v>STD SURVEILLANCE NETWORK (SSUN)</v>
      </c>
      <c r="D404" s="6" t="str">
        <f t="shared" si="86"/>
        <v>NEUROFIT, INC.</v>
      </c>
      <c r="E404">
        <f t="shared" si="87"/>
        <v>2134389</v>
      </c>
      <c r="F404" t="str">
        <f t="shared" si="88"/>
        <v>FDA</v>
      </c>
      <c r="G404" t="str">
        <f t="shared" si="89"/>
        <v>31-4234746</v>
      </c>
      <c r="H404">
        <f t="shared" ca="1" si="90"/>
        <v>2471679</v>
      </c>
      <c r="I404" t="str">
        <f t="shared" si="91"/>
        <v>Annual</v>
      </c>
      <c r="T404" s="64" t="s">
        <v>2298</v>
      </c>
      <c r="U404">
        <v>26046847</v>
      </c>
      <c r="V404" s="10" t="s">
        <v>1612</v>
      </c>
      <c r="W404" s="10" t="s">
        <v>1612</v>
      </c>
      <c r="Y404" s="1" t="s">
        <v>2299</v>
      </c>
      <c r="AI404" s="1">
        <v>213919</v>
      </c>
      <c r="AJ404" s="1" t="s">
        <v>119</v>
      </c>
      <c r="AK404" s="1" t="str">
        <f t="shared" si="92"/>
        <v/>
      </c>
      <c r="AL404" t="b">
        <f t="shared" si="93"/>
        <v>1</v>
      </c>
      <c r="AM404" s="49" t="str">
        <f t="shared" si="94"/>
        <v>Q</v>
      </c>
      <c r="AP404" s="10" t="s">
        <v>327</v>
      </c>
      <c r="AS404" t="s">
        <v>119</v>
      </c>
      <c r="AT404" s="6" t="s">
        <v>327</v>
      </c>
      <c r="AU404" s="6" t="str">
        <f t="shared" si="95"/>
        <v/>
      </c>
      <c r="AV404" s="6" t="s">
        <v>104</v>
      </c>
      <c r="AW404" s="6" t="str">
        <f t="shared" si="96"/>
        <v/>
      </c>
    </row>
    <row r="405" spans="1:49" ht="45">
      <c r="A405" s="1">
        <v>213919</v>
      </c>
      <c r="B405" t="str">
        <f t="shared" si="84"/>
        <v>5B70BR83522-30</v>
      </c>
      <c r="C405" s="6" t="str">
        <f t="shared" si="85"/>
        <v>STD SURVEILLANCE NETWORK (SSUN)</v>
      </c>
      <c r="D405" s="6" t="str">
        <f t="shared" si="86"/>
        <v>NEUROFIT, INC.</v>
      </c>
      <c r="E405">
        <f t="shared" si="87"/>
        <v>2134389</v>
      </c>
      <c r="F405" t="str">
        <f t="shared" si="88"/>
        <v>FDA</v>
      </c>
      <c r="G405" t="str">
        <f t="shared" si="89"/>
        <v>31-4234746</v>
      </c>
      <c r="H405">
        <f t="shared" ca="1" si="90"/>
        <v>2471679</v>
      </c>
      <c r="I405" t="str">
        <f t="shared" si="91"/>
        <v>Annual</v>
      </c>
      <c r="T405" s="50" t="s">
        <v>2300</v>
      </c>
      <c r="U405">
        <v>26046847</v>
      </c>
      <c r="V405" s="10" t="s">
        <v>1618</v>
      </c>
      <c r="W405" s="10" t="s">
        <v>1618</v>
      </c>
      <c r="Y405" s="1" t="s">
        <v>2301</v>
      </c>
      <c r="AI405" s="1">
        <v>213919</v>
      </c>
      <c r="AJ405" s="1" t="s">
        <v>119</v>
      </c>
      <c r="AK405" s="1" t="str">
        <f t="shared" si="92"/>
        <v/>
      </c>
      <c r="AL405" t="b">
        <f t="shared" si="93"/>
        <v>1</v>
      </c>
      <c r="AM405" s="49" t="str">
        <f t="shared" si="94"/>
        <v>Q</v>
      </c>
      <c r="AP405" s="10" t="s">
        <v>113</v>
      </c>
      <c r="AS405" t="s">
        <v>119</v>
      </c>
      <c r="AT405" s="6" t="s">
        <v>113</v>
      </c>
      <c r="AU405" s="6" t="str">
        <f t="shared" si="95"/>
        <v/>
      </c>
      <c r="AV405" s="6" t="s">
        <v>112</v>
      </c>
      <c r="AW405" s="6" t="str">
        <f t="shared" si="96"/>
        <v/>
      </c>
    </row>
    <row r="406" spans="1:49" ht="90">
      <c r="A406" s="1">
        <v>214317</v>
      </c>
      <c r="B406" t="str">
        <f t="shared" si="84"/>
        <v>7B18HR90474-78</v>
      </c>
      <c r="C406" s="6" t="str">
        <f t="shared" si="85"/>
        <v>LOS ANGELES COUNTY EPIDEMIOLOGY AND LABORATORY CAPACITY COOPERATIVE AGREEMENT 2019</v>
      </c>
      <c r="D406" s="6" t="str">
        <f t="shared" si="86"/>
        <v>NEUROGAMI MEDICAL, INC.</v>
      </c>
      <c r="E406">
        <f t="shared" si="87"/>
        <v>37698842</v>
      </c>
      <c r="F406" t="str">
        <f t="shared" si="88"/>
        <v>ACF</v>
      </c>
      <c r="G406" t="str">
        <f t="shared" si="89"/>
        <v>31-4234747</v>
      </c>
      <c r="H406">
        <f t="shared" ca="1" si="90"/>
        <v>2777516</v>
      </c>
      <c r="I406" t="str">
        <f t="shared" si="91"/>
        <v>Annual</v>
      </c>
      <c r="T406" s="54" t="s">
        <v>2302</v>
      </c>
      <c r="U406">
        <v>26046847</v>
      </c>
      <c r="V406" s="10" t="s">
        <v>1622</v>
      </c>
      <c r="W406" s="10" t="s">
        <v>1622</v>
      </c>
      <c r="Y406" s="1" t="s">
        <v>2303</v>
      </c>
      <c r="AI406" s="1">
        <v>214317</v>
      </c>
      <c r="AJ406" s="1" t="s">
        <v>119</v>
      </c>
      <c r="AK406" s="1" t="str">
        <f t="shared" si="92"/>
        <v/>
      </c>
      <c r="AL406" t="b">
        <f t="shared" si="93"/>
        <v>1</v>
      </c>
      <c r="AM406" s="49" t="str">
        <f t="shared" si="94"/>
        <v>Q</v>
      </c>
      <c r="AP406" s="10" t="s">
        <v>97</v>
      </c>
      <c r="AS406" t="s">
        <v>119</v>
      </c>
      <c r="AT406" s="6" t="s">
        <v>97</v>
      </c>
      <c r="AU406" s="6" t="str">
        <f t="shared" si="95"/>
        <v/>
      </c>
      <c r="AV406" s="6" t="s">
        <v>96</v>
      </c>
      <c r="AW406" s="6" t="str">
        <f t="shared" si="96"/>
        <v/>
      </c>
    </row>
    <row r="407" spans="1:49" ht="75">
      <c r="A407" s="1">
        <v>214317</v>
      </c>
      <c r="B407" t="str">
        <f t="shared" si="84"/>
        <v>7B18HR90474-78</v>
      </c>
      <c r="C407" s="6" t="str">
        <f t="shared" si="85"/>
        <v>LOS ANGELES COUNTY EPIDEMIOLOGY AND LABORATORY CAPACITY COOPERATIVE AGREEMENT 2019</v>
      </c>
      <c r="D407" s="6" t="str">
        <f t="shared" si="86"/>
        <v>NEUROGAMI MEDICAL, INC.</v>
      </c>
      <c r="E407">
        <f t="shared" si="87"/>
        <v>37698842</v>
      </c>
      <c r="F407" t="str">
        <f t="shared" si="88"/>
        <v>ACF</v>
      </c>
      <c r="G407" t="str">
        <f t="shared" si="89"/>
        <v>31-4234747</v>
      </c>
      <c r="H407">
        <f t="shared" ca="1" si="90"/>
        <v>2777516</v>
      </c>
      <c r="I407" t="str">
        <f t="shared" si="91"/>
        <v>Annual</v>
      </c>
      <c r="T407" s="54" t="s">
        <v>2304</v>
      </c>
      <c r="U407">
        <v>4636531</v>
      </c>
      <c r="V407" s="10" t="s">
        <v>1627</v>
      </c>
      <c r="W407" s="10" t="s">
        <v>1627</v>
      </c>
      <c r="Y407" s="1" t="s">
        <v>2305</v>
      </c>
      <c r="AI407" s="1">
        <v>214317</v>
      </c>
      <c r="AJ407" s="1" t="s">
        <v>119</v>
      </c>
      <c r="AK407" s="1" t="str">
        <f t="shared" si="92"/>
        <v/>
      </c>
      <c r="AL407" t="b">
        <f t="shared" si="93"/>
        <v>1</v>
      </c>
      <c r="AM407" s="49" t="str">
        <f t="shared" si="94"/>
        <v>Q</v>
      </c>
      <c r="AP407" s="10" t="s">
        <v>327</v>
      </c>
      <c r="AS407" t="s">
        <v>119</v>
      </c>
      <c r="AT407" s="6" t="s">
        <v>327</v>
      </c>
      <c r="AU407" s="6" t="str">
        <f t="shared" si="95"/>
        <v/>
      </c>
      <c r="AV407" s="6" t="s">
        <v>104</v>
      </c>
      <c r="AW407" s="6" t="str">
        <f t="shared" si="96"/>
        <v/>
      </c>
    </row>
    <row r="408" spans="1:49" ht="90">
      <c r="A408" s="1">
        <v>214715</v>
      </c>
      <c r="B408" t="str">
        <f t="shared" si="84"/>
        <v>5D27HT89451-50</v>
      </c>
      <c r="C408" s="6" t="str">
        <f t="shared" si="85"/>
        <v>THE EMERGENCY ID NET STUDY GROUP</v>
      </c>
      <c r="D408" s="6" t="str">
        <f t="shared" si="86"/>
        <v>NEUROKINE THERAPEUTICS, LLC</v>
      </c>
      <c r="E408">
        <f t="shared" si="87"/>
        <v>37698842</v>
      </c>
      <c r="F408" t="str">
        <f t="shared" si="88"/>
        <v>CDC</v>
      </c>
      <c r="G408" t="str">
        <f t="shared" si="89"/>
        <v>31-4234748</v>
      </c>
      <c r="H408">
        <f t="shared" ca="1" si="90"/>
        <v>2626990</v>
      </c>
      <c r="I408" t="str">
        <f t="shared" si="91"/>
        <v>Annual</v>
      </c>
      <c r="T408" s="53" t="s">
        <v>2223</v>
      </c>
      <c r="U408">
        <v>4636531</v>
      </c>
      <c r="V408" s="10" t="s">
        <v>84</v>
      </c>
      <c r="W408" s="10" t="s">
        <v>84</v>
      </c>
      <c r="Y408" s="1" t="s">
        <v>2306</v>
      </c>
      <c r="AI408" s="1">
        <v>214715</v>
      </c>
      <c r="AJ408" s="1" t="s">
        <v>119</v>
      </c>
      <c r="AK408" s="1" t="str">
        <f t="shared" si="92"/>
        <v/>
      </c>
      <c r="AL408" t="b">
        <f t="shared" si="93"/>
        <v>1</v>
      </c>
      <c r="AM408" s="49" t="str">
        <f t="shared" si="94"/>
        <v>Q</v>
      </c>
      <c r="AP408" s="10" t="s">
        <v>97</v>
      </c>
      <c r="AS408" t="s">
        <v>119</v>
      </c>
      <c r="AT408" s="6" t="s">
        <v>97</v>
      </c>
      <c r="AU408" s="6" t="str">
        <f t="shared" si="95"/>
        <v/>
      </c>
      <c r="AV408" s="6" t="s">
        <v>96</v>
      </c>
      <c r="AW408" s="6" t="str">
        <f t="shared" si="96"/>
        <v/>
      </c>
    </row>
    <row r="409" spans="1:49" ht="75">
      <c r="A409" s="1">
        <v>214715</v>
      </c>
      <c r="B409" t="str">
        <f t="shared" si="84"/>
        <v>5D27HT89451-50</v>
      </c>
      <c r="C409" s="6" t="str">
        <f t="shared" si="85"/>
        <v>THE EMERGENCY ID NET STUDY GROUP</v>
      </c>
      <c r="D409" s="6" t="str">
        <f t="shared" si="86"/>
        <v>NEUROKINE THERAPEUTICS, LLC</v>
      </c>
      <c r="E409">
        <f t="shared" si="87"/>
        <v>37698842</v>
      </c>
      <c r="F409" t="str">
        <f t="shared" si="88"/>
        <v>CDC</v>
      </c>
      <c r="G409" t="str">
        <f t="shared" si="89"/>
        <v>31-4234748</v>
      </c>
      <c r="H409">
        <f t="shared" ca="1" si="90"/>
        <v>2626990</v>
      </c>
      <c r="I409" t="str">
        <f t="shared" si="91"/>
        <v>Annual</v>
      </c>
      <c r="T409" s="53" t="s">
        <v>1884</v>
      </c>
      <c r="U409">
        <v>22821464</v>
      </c>
      <c r="V409" s="10" t="s">
        <v>116</v>
      </c>
      <c r="W409" s="10" t="s">
        <v>116</v>
      </c>
      <c r="Y409" s="1" t="s">
        <v>2307</v>
      </c>
      <c r="AI409" s="1">
        <v>214715</v>
      </c>
      <c r="AJ409" s="1" t="s">
        <v>119</v>
      </c>
      <c r="AK409" s="1" t="str">
        <f t="shared" si="92"/>
        <v/>
      </c>
      <c r="AL409" t="b">
        <f t="shared" si="93"/>
        <v>1</v>
      </c>
      <c r="AM409" s="49" t="str">
        <f t="shared" si="94"/>
        <v>Q</v>
      </c>
      <c r="AP409" s="10" t="s">
        <v>327</v>
      </c>
      <c r="AS409" t="s">
        <v>119</v>
      </c>
      <c r="AT409" s="6" t="s">
        <v>327</v>
      </c>
      <c r="AU409" s="6" t="str">
        <f t="shared" si="95"/>
        <v/>
      </c>
      <c r="AV409" s="6" t="s">
        <v>104</v>
      </c>
      <c r="AW409" s="6" t="str">
        <f t="shared" si="96"/>
        <v/>
      </c>
    </row>
    <row r="410" spans="1:49" ht="75">
      <c r="A410" s="1">
        <v>214715</v>
      </c>
      <c r="B410" t="str">
        <f t="shared" si="84"/>
        <v>5D27HT89451-50</v>
      </c>
      <c r="C410" s="6" t="str">
        <f t="shared" si="85"/>
        <v>THE EMERGENCY ID NET STUDY GROUP</v>
      </c>
      <c r="D410" s="6" t="str">
        <f t="shared" si="86"/>
        <v>NEUROKINE THERAPEUTICS, LLC</v>
      </c>
      <c r="E410">
        <f t="shared" si="87"/>
        <v>37698842</v>
      </c>
      <c r="F410" t="str">
        <f t="shared" si="88"/>
        <v>CDC</v>
      </c>
      <c r="G410" t="str">
        <f t="shared" si="89"/>
        <v>31-4234748</v>
      </c>
      <c r="H410">
        <f t="shared" ca="1" si="90"/>
        <v>2626990</v>
      </c>
      <c r="I410" t="str">
        <f t="shared" si="91"/>
        <v>Annual</v>
      </c>
      <c r="T410" s="64" t="s">
        <v>2308</v>
      </c>
      <c r="U410">
        <v>22821464</v>
      </c>
      <c r="V410" s="10" t="s">
        <v>131</v>
      </c>
      <c r="W410" s="10" t="s">
        <v>131</v>
      </c>
      <c r="Y410" s="1" t="s">
        <v>2309</v>
      </c>
      <c r="AI410" s="1">
        <v>214715</v>
      </c>
      <c r="AJ410" s="1" t="s">
        <v>119</v>
      </c>
      <c r="AK410" s="1" t="str">
        <f t="shared" si="92"/>
        <v/>
      </c>
      <c r="AL410" t="b">
        <f t="shared" si="93"/>
        <v>1</v>
      </c>
      <c r="AM410" s="49" t="str">
        <f t="shared" si="94"/>
        <v>Q</v>
      </c>
      <c r="AP410" s="10" t="s">
        <v>113</v>
      </c>
      <c r="AS410" t="s">
        <v>119</v>
      </c>
      <c r="AT410" s="6" t="s">
        <v>113</v>
      </c>
      <c r="AU410" s="6" t="str">
        <f t="shared" si="95"/>
        <v/>
      </c>
      <c r="AV410" s="6" t="s">
        <v>112</v>
      </c>
      <c r="AW410" s="6" t="str">
        <f t="shared" si="96"/>
        <v/>
      </c>
    </row>
    <row r="411" spans="1:49" ht="105">
      <c r="A411" s="1">
        <v>215111</v>
      </c>
      <c r="B411" t="str">
        <f t="shared" si="84"/>
        <v>6B50DR88815-17</v>
      </c>
      <c r="C411" s="6" t="str">
        <f t="shared" si="85"/>
        <v>CALIFORNIA EMERGING INFECTIONS PROGRAM 2019</v>
      </c>
      <c r="D411" s="6" t="str">
        <f t="shared" si="86"/>
        <v>NEUROLUX, INC.</v>
      </c>
      <c r="E411">
        <f t="shared" si="87"/>
        <v>37698842</v>
      </c>
      <c r="F411" t="str">
        <f t="shared" si="88"/>
        <v>NIH</v>
      </c>
      <c r="G411" t="str">
        <f t="shared" si="89"/>
        <v>31-4234749</v>
      </c>
      <c r="H411">
        <f t="shared" ca="1" si="90"/>
        <v>2039209</v>
      </c>
      <c r="I411" t="str">
        <f t="shared" si="91"/>
        <v>Annual</v>
      </c>
      <c r="T411" s="54" t="s">
        <v>2287</v>
      </c>
      <c r="U411">
        <v>22821464</v>
      </c>
      <c r="V411" s="10" t="s">
        <v>149</v>
      </c>
      <c r="W411" s="10" t="s">
        <v>149</v>
      </c>
      <c r="Y411" s="1" t="s">
        <v>2310</v>
      </c>
      <c r="AI411" s="1">
        <v>215111</v>
      </c>
      <c r="AJ411" s="1" t="s">
        <v>119</v>
      </c>
      <c r="AK411" s="1" t="str">
        <f t="shared" si="92"/>
        <v/>
      </c>
      <c r="AL411" t="b">
        <f t="shared" si="93"/>
        <v>1</v>
      </c>
      <c r="AM411" s="49" t="str">
        <f t="shared" si="94"/>
        <v>Q</v>
      </c>
      <c r="AP411" s="10" t="s">
        <v>97</v>
      </c>
      <c r="AS411" t="s">
        <v>119</v>
      </c>
      <c r="AT411" s="6" t="s">
        <v>97</v>
      </c>
      <c r="AU411" s="6" t="str">
        <f t="shared" si="95"/>
        <v/>
      </c>
      <c r="AV411" s="6" t="s">
        <v>96</v>
      </c>
      <c r="AW411" s="6" t="str">
        <f t="shared" si="96"/>
        <v/>
      </c>
    </row>
    <row r="412" spans="1:49" ht="75">
      <c r="A412" s="1">
        <v>215111</v>
      </c>
      <c r="B412" t="str">
        <f t="shared" si="84"/>
        <v>6B50DR88815-17</v>
      </c>
      <c r="C412" s="6" t="str">
        <f t="shared" si="85"/>
        <v>CALIFORNIA EMERGING INFECTIONS PROGRAM 2019</v>
      </c>
      <c r="D412" s="6" t="str">
        <f t="shared" si="86"/>
        <v>NEUROLUX, INC.</v>
      </c>
      <c r="E412">
        <f t="shared" si="87"/>
        <v>37698842</v>
      </c>
      <c r="F412" t="str">
        <f t="shared" si="88"/>
        <v>NIH</v>
      </c>
      <c r="G412" t="str">
        <f t="shared" si="89"/>
        <v>31-4234749</v>
      </c>
      <c r="H412">
        <f t="shared" ca="1" si="90"/>
        <v>2039209</v>
      </c>
      <c r="I412" t="str">
        <f t="shared" si="91"/>
        <v>Annual</v>
      </c>
      <c r="T412" s="66" t="s">
        <v>2296</v>
      </c>
      <c r="U412">
        <v>22821464</v>
      </c>
      <c r="V412" s="10" t="s">
        <v>165</v>
      </c>
      <c r="W412" s="10" t="s">
        <v>165</v>
      </c>
      <c r="Y412" s="1" t="s">
        <v>2311</v>
      </c>
      <c r="AI412" s="1">
        <v>215111</v>
      </c>
      <c r="AJ412" s="1" t="s">
        <v>119</v>
      </c>
      <c r="AK412" s="1" t="str">
        <f t="shared" si="92"/>
        <v/>
      </c>
      <c r="AL412" t="b">
        <f t="shared" si="93"/>
        <v>1</v>
      </c>
      <c r="AM412" s="49" t="str">
        <f t="shared" si="94"/>
        <v>Q</v>
      </c>
      <c r="AP412" s="10" t="s">
        <v>327</v>
      </c>
      <c r="AS412" t="s">
        <v>119</v>
      </c>
      <c r="AT412" s="6" t="s">
        <v>327</v>
      </c>
      <c r="AU412" s="6" t="str">
        <f t="shared" si="95"/>
        <v/>
      </c>
      <c r="AV412" s="6" t="s">
        <v>104</v>
      </c>
      <c r="AW412" s="6" t="str">
        <f t="shared" si="96"/>
        <v/>
      </c>
    </row>
    <row r="413" spans="1:49" ht="90">
      <c r="A413" s="1">
        <v>215111</v>
      </c>
      <c r="B413" t="str">
        <f t="shared" si="84"/>
        <v>6B50DR88815-17</v>
      </c>
      <c r="C413" s="6" t="str">
        <f t="shared" si="85"/>
        <v>CALIFORNIA EMERGING INFECTIONS PROGRAM 2019</v>
      </c>
      <c r="D413" s="6" t="str">
        <f t="shared" si="86"/>
        <v>NEUROLUX, INC.</v>
      </c>
      <c r="E413">
        <f t="shared" si="87"/>
        <v>37698842</v>
      </c>
      <c r="F413" t="str">
        <f t="shared" si="88"/>
        <v>NIH</v>
      </c>
      <c r="G413" t="str">
        <f t="shared" si="89"/>
        <v>31-4234749</v>
      </c>
      <c r="H413">
        <f t="shared" ca="1" si="90"/>
        <v>2039209</v>
      </c>
      <c r="I413" t="str">
        <f t="shared" si="91"/>
        <v>Annual</v>
      </c>
      <c r="T413" s="54" t="s">
        <v>2287</v>
      </c>
      <c r="U413">
        <v>17613001</v>
      </c>
      <c r="V413" s="10" t="s">
        <v>180</v>
      </c>
      <c r="W413" s="10" t="s">
        <v>180</v>
      </c>
      <c r="Y413" s="1" t="s">
        <v>2312</v>
      </c>
      <c r="AI413" s="1">
        <v>215111</v>
      </c>
      <c r="AJ413" s="1" t="s">
        <v>119</v>
      </c>
      <c r="AK413" s="1" t="str">
        <f t="shared" si="92"/>
        <v/>
      </c>
      <c r="AL413" t="b">
        <f t="shared" si="93"/>
        <v>1</v>
      </c>
      <c r="AM413" s="49" t="str">
        <f t="shared" si="94"/>
        <v>Q</v>
      </c>
      <c r="AP413" s="10" t="s">
        <v>113</v>
      </c>
      <c r="AS413" t="s">
        <v>119</v>
      </c>
      <c r="AT413" s="6" t="s">
        <v>113</v>
      </c>
      <c r="AU413" s="6" t="str">
        <f t="shared" si="95"/>
        <v/>
      </c>
      <c r="AV413" s="6" t="s">
        <v>112</v>
      </c>
      <c r="AW413" s="6" t="str">
        <f t="shared" si="96"/>
        <v/>
      </c>
    </row>
    <row r="414" spans="1:49" ht="165">
      <c r="A414" s="1">
        <v>216140</v>
      </c>
      <c r="B414" t="str">
        <f t="shared" si="84"/>
        <v>7D22CT90835-94</v>
      </c>
      <c r="C414" s="6" t="str">
        <f t="shared" si="85"/>
        <v>PHFE CDPH ELC 2019-2024</v>
      </c>
      <c r="D414" s="6" t="str">
        <f t="shared" si="86"/>
        <v>NEUROMUSCULAR DYNAMICS, LLC</v>
      </c>
      <c r="E414">
        <f t="shared" si="87"/>
        <v>6384017</v>
      </c>
      <c r="F414" t="str">
        <f t="shared" si="88"/>
        <v>FDA</v>
      </c>
      <c r="G414" t="str">
        <f t="shared" si="89"/>
        <v>31-4234750</v>
      </c>
      <c r="H414">
        <f t="shared" ca="1" si="90"/>
        <v>2377827</v>
      </c>
      <c r="I414" t="str">
        <f t="shared" si="91"/>
        <v>Annual</v>
      </c>
      <c r="T414" s="54" t="s">
        <v>2313</v>
      </c>
      <c r="U414">
        <v>17613001</v>
      </c>
      <c r="V414" s="10" t="s">
        <v>200</v>
      </c>
      <c r="W414" s="10" t="s">
        <v>200</v>
      </c>
      <c r="Y414" s="1" t="s">
        <v>2314</v>
      </c>
      <c r="AI414" s="1">
        <v>216140</v>
      </c>
      <c r="AJ414" s="1" t="s">
        <v>85</v>
      </c>
      <c r="AK414" s="1" t="str">
        <f t="shared" si="92"/>
        <v/>
      </c>
      <c r="AL414" t="b">
        <f t="shared" si="93"/>
        <v>0</v>
      </c>
      <c r="AM414" s="49" t="str">
        <f t="shared" si="94"/>
        <v>Q</v>
      </c>
      <c r="AP414" s="10" t="s">
        <v>97</v>
      </c>
      <c r="AS414" t="s">
        <v>2315</v>
      </c>
      <c r="AT414" s="6" t="s">
        <v>97</v>
      </c>
      <c r="AU414" s="6" t="str">
        <f t="shared" si="95"/>
        <v>The errors in accounting will be corrected. The accounting policy suggested will be followed. The financials will be recalculated based on the revised accounting policies and submitted.</v>
      </c>
      <c r="AV414" s="6" t="s">
        <v>96</v>
      </c>
      <c r="AW414" s="6" t="str">
        <f t="shared" si="96"/>
        <v>Change in accounting practice</v>
      </c>
    </row>
    <row r="415" spans="1:49" ht="135">
      <c r="A415" s="1">
        <v>216140</v>
      </c>
      <c r="B415" t="str">
        <f t="shared" si="84"/>
        <v>7D22CT90835-94</v>
      </c>
      <c r="C415" s="6" t="str">
        <f t="shared" si="85"/>
        <v>PHFE CDPH ELC 2019-2024</v>
      </c>
      <c r="D415" s="6" t="str">
        <f t="shared" si="86"/>
        <v>NEUROMUSCULAR DYNAMICS, LLC</v>
      </c>
      <c r="E415">
        <f t="shared" si="87"/>
        <v>6384017</v>
      </c>
      <c r="F415" t="str">
        <f t="shared" si="88"/>
        <v>FDA</v>
      </c>
      <c r="G415" t="str">
        <f t="shared" si="89"/>
        <v>31-4234750</v>
      </c>
      <c r="H415">
        <f t="shared" ca="1" si="90"/>
        <v>2377827</v>
      </c>
      <c r="I415" t="str">
        <f t="shared" si="91"/>
        <v>Annual</v>
      </c>
      <c r="T415" s="83" t="s">
        <v>1936</v>
      </c>
      <c r="U415">
        <v>11159176</v>
      </c>
      <c r="V415" s="10" t="s">
        <v>216</v>
      </c>
      <c r="W415" s="10" t="s">
        <v>216</v>
      </c>
      <c r="Y415" s="1" t="s">
        <v>2316</v>
      </c>
      <c r="AI415" s="1">
        <v>216140</v>
      </c>
      <c r="AJ415" s="1" t="s">
        <v>85</v>
      </c>
      <c r="AK415" s="1" t="str">
        <f t="shared" si="92"/>
        <v/>
      </c>
      <c r="AL415" t="b">
        <f t="shared" si="93"/>
        <v>0</v>
      </c>
      <c r="AM415" s="49" t="str">
        <f t="shared" si="94"/>
        <v>Q</v>
      </c>
      <c r="AP415" s="10" t="s">
        <v>327</v>
      </c>
      <c r="AS415" t="s">
        <v>2315</v>
      </c>
      <c r="AT415" s="6" t="s">
        <v>327</v>
      </c>
      <c r="AU415" s="6" t="str">
        <f t="shared" si="95"/>
        <v>Cost rate will be followed. The revised rate will be applied from the last audit period and the expenditure recalculated and submitted.</v>
      </c>
      <c r="AV415" s="6" t="s">
        <v>104</v>
      </c>
      <c r="AW415" s="6" t="str">
        <f t="shared" si="96"/>
        <v>Cost rate Corrections</v>
      </c>
    </row>
    <row r="416" spans="1:49" ht="105">
      <c r="A416" s="1">
        <v>216140</v>
      </c>
      <c r="B416" t="str">
        <f t="shared" si="84"/>
        <v>7D22CT90835-94</v>
      </c>
      <c r="C416" s="6" t="str">
        <f t="shared" si="85"/>
        <v>PHFE CDPH ELC 2019-2024</v>
      </c>
      <c r="D416" s="6" t="str">
        <f t="shared" si="86"/>
        <v>NEUROMUSCULAR DYNAMICS, LLC</v>
      </c>
      <c r="E416">
        <f t="shared" si="87"/>
        <v>6384017</v>
      </c>
      <c r="F416" t="str">
        <f t="shared" si="88"/>
        <v>FDA</v>
      </c>
      <c r="G416" t="str">
        <f t="shared" si="89"/>
        <v>31-4234750</v>
      </c>
      <c r="H416">
        <f t="shared" ca="1" si="90"/>
        <v>2377827</v>
      </c>
      <c r="I416" t="str">
        <f t="shared" si="91"/>
        <v>Annual</v>
      </c>
      <c r="T416" s="57" t="s">
        <v>2215</v>
      </c>
      <c r="U416">
        <v>11159176</v>
      </c>
      <c r="V416" s="10" t="s">
        <v>226</v>
      </c>
      <c r="W416" s="10" t="s">
        <v>226</v>
      </c>
      <c r="Y416" s="1" t="s">
        <v>2317</v>
      </c>
      <c r="AI416" s="1">
        <v>216140</v>
      </c>
      <c r="AJ416" s="1" t="s">
        <v>85</v>
      </c>
      <c r="AK416" s="1" t="str">
        <f t="shared" si="92"/>
        <v/>
      </c>
      <c r="AL416" t="b">
        <f t="shared" si="93"/>
        <v>0</v>
      </c>
      <c r="AM416" s="49" t="str">
        <f t="shared" si="94"/>
        <v>Q</v>
      </c>
      <c r="AP416" s="10"/>
      <c r="AS416" t="s">
        <v>2315</v>
      </c>
      <c r="AT416" s="6" t="s">
        <v>812</v>
      </c>
      <c r="AU416" s="6" t="str">
        <f t="shared" si="95"/>
        <v>The audit comments will be followed. The financials will be redrawn and resubmitted.</v>
      </c>
      <c r="AV416" s="6" t="s">
        <v>811</v>
      </c>
      <c r="AW416" s="6" t="str">
        <f t="shared" si="96"/>
        <v>Audit findings Adherance</v>
      </c>
    </row>
    <row r="417" spans="1:49" ht="90">
      <c r="A417" s="1">
        <v>216274</v>
      </c>
      <c r="B417" t="str">
        <f t="shared" si="84"/>
        <v>9D59ET87404-21</v>
      </c>
      <c r="C417" s="6" t="str">
        <f t="shared" si="85"/>
        <v>LOS ANGELES COUNTY EPIDEMIOLOGY AND LABORATORY CAPACITY COOPERATIVE AGREEMENT 2019</v>
      </c>
      <c r="D417" s="6" t="str">
        <f t="shared" si="86"/>
        <v>NEURONASCENT, INC.</v>
      </c>
      <c r="E417">
        <f t="shared" si="87"/>
        <v>6384017</v>
      </c>
      <c r="F417" t="str">
        <f t="shared" si="88"/>
        <v>ACF</v>
      </c>
      <c r="G417" t="str">
        <f t="shared" si="89"/>
        <v>31-4234751</v>
      </c>
      <c r="H417">
        <f t="shared" ca="1" si="90"/>
        <v>2279887</v>
      </c>
      <c r="I417" t="str">
        <f t="shared" si="91"/>
        <v>Annual</v>
      </c>
      <c r="T417" s="54" t="s">
        <v>2287</v>
      </c>
      <c r="U417">
        <v>11159176</v>
      </c>
      <c r="V417" s="10" t="s">
        <v>241</v>
      </c>
      <c r="W417" s="10" t="s">
        <v>241</v>
      </c>
      <c r="Y417" s="1" t="s">
        <v>2318</v>
      </c>
      <c r="AI417" s="1">
        <v>216274</v>
      </c>
      <c r="AJ417" s="1" t="s">
        <v>119</v>
      </c>
      <c r="AK417" s="1" t="str">
        <f t="shared" si="92"/>
        <v/>
      </c>
      <c r="AL417" t="b">
        <f t="shared" si="93"/>
        <v>1</v>
      </c>
      <c r="AM417" s="49" t="str">
        <f t="shared" si="94"/>
        <v>Q</v>
      </c>
      <c r="AP417" s="10" t="s">
        <v>97</v>
      </c>
      <c r="AS417" t="s">
        <v>119</v>
      </c>
      <c r="AT417" s="6" t="s">
        <v>97</v>
      </c>
      <c r="AU417" s="6" t="str">
        <f t="shared" si="95"/>
        <v/>
      </c>
      <c r="AV417" s="6" t="s">
        <v>96</v>
      </c>
      <c r="AW417" s="6" t="str">
        <f t="shared" si="96"/>
        <v/>
      </c>
    </row>
    <row r="418" spans="1:49" ht="75">
      <c r="A418" s="1">
        <v>216274</v>
      </c>
      <c r="B418" t="str">
        <f t="shared" si="84"/>
        <v>9D59ET87404-21</v>
      </c>
      <c r="C418" s="6" t="str">
        <f t="shared" si="85"/>
        <v>LOS ANGELES COUNTY EPIDEMIOLOGY AND LABORATORY CAPACITY COOPERATIVE AGREEMENT 2019</v>
      </c>
      <c r="D418" s="6" t="str">
        <f t="shared" si="86"/>
        <v>NEURONASCENT, INC.</v>
      </c>
      <c r="E418">
        <f t="shared" si="87"/>
        <v>6384017</v>
      </c>
      <c r="F418" t="str">
        <f t="shared" si="88"/>
        <v>ACF</v>
      </c>
      <c r="G418" t="str">
        <f t="shared" si="89"/>
        <v>31-4234751</v>
      </c>
      <c r="H418">
        <f t="shared" ca="1" si="90"/>
        <v>2279887</v>
      </c>
      <c r="I418" t="str">
        <f t="shared" si="91"/>
        <v>Annual</v>
      </c>
      <c r="T418" s="54" t="s">
        <v>2319</v>
      </c>
      <c r="U418">
        <v>9652414</v>
      </c>
      <c r="V418" s="10" t="s">
        <v>252</v>
      </c>
      <c r="W418" s="10" t="s">
        <v>252</v>
      </c>
      <c r="Y418" s="1" t="s">
        <v>2320</v>
      </c>
      <c r="AI418" s="1">
        <v>216274</v>
      </c>
      <c r="AJ418" s="1" t="s">
        <v>119</v>
      </c>
      <c r="AK418" s="1" t="str">
        <f t="shared" si="92"/>
        <v/>
      </c>
      <c r="AL418" t="b">
        <f t="shared" si="93"/>
        <v>1</v>
      </c>
      <c r="AM418" s="49" t="str">
        <f t="shared" si="94"/>
        <v>Q</v>
      </c>
      <c r="AP418" s="10" t="s">
        <v>327</v>
      </c>
      <c r="AS418" t="s">
        <v>119</v>
      </c>
      <c r="AT418" s="6" t="s">
        <v>327</v>
      </c>
      <c r="AU418" s="6" t="str">
        <f t="shared" si="95"/>
        <v/>
      </c>
      <c r="AV418" s="6" t="s">
        <v>104</v>
      </c>
      <c r="AW418" s="6" t="str">
        <f t="shared" si="96"/>
        <v/>
      </c>
    </row>
    <row r="419" spans="1:49" ht="75">
      <c r="A419" s="1">
        <v>216274</v>
      </c>
      <c r="B419" t="str">
        <f t="shared" si="84"/>
        <v>9D59ET87404-21</v>
      </c>
      <c r="C419" s="6" t="str">
        <f t="shared" si="85"/>
        <v>LOS ANGELES COUNTY EPIDEMIOLOGY AND LABORATORY CAPACITY COOPERATIVE AGREEMENT 2019</v>
      </c>
      <c r="D419" s="6" t="str">
        <f t="shared" si="86"/>
        <v>NEURONASCENT, INC.</v>
      </c>
      <c r="E419">
        <f t="shared" si="87"/>
        <v>6384017</v>
      </c>
      <c r="F419" t="str">
        <f t="shared" si="88"/>
        <v>ACF</v>
      </c>
      <c r="G419" t="str">
        <f t="shared" si="89"/>
        <v>31-4234751</v>
      </c>
      <c r="H419">
        <f t="shared" ca="1" si="90"/>
        <v>2279887</v>
      </c>
      <c r="I419" t="str">
        <f t="shared" si="91"/>
        <v>Annual</v>
      </c>
      <c r="T419" s="54" t="s">
        <v>2291</v>
      </c>
      <c r="U419">
        <v>9652414</v>
      </c>
      <c r="V419" s="10" t="s">
        <v>262</v>
      </c>
      <c r="W419" s="10" t="s">
        <v>262</v>
      </c>
      <c r="Y419" s="1" t="s">
        <v>2321</v>
      </c>
      <c r="AI419" s="1">
        <v>216274</v>
      </c>
      <c r="AJ419" s="1" t="s">
        <v>119</v>
      </c>
      <c r="AK419" s="1" t="str">
        <f t="shared" si="92"/>
        <v/>
      </c>
      <c r="AL419" t="b">
        <f t="shared" si="93"/>
        <v>1</v>
      </c>
      <c r="AM419" s="49" t="str">
        <f t="shared" si="94"/>
        <v>Q</v>
      </c>
      <c r="AP419" s="10" t="s">
        <v>113</v>
      </c>
      <c r="AS419" t="s">
        <v>119</v>
      </c>
      <c r="AT419" s="6" t="s">
        <v>113</v>
      </c>
      <c r="AU419" s="6" t="str">
        <f t="shared" si="95"/>
        <v/>
      </c>
      <c r="AV419" s="6" t="s">
        <v>112</v>
      </c>
      <c r="AW419" s="6" t="str">
        <f t="shared" si="96"/>
        <v/>
      </c>
    </row>
    <row r="420" spans="1:49" ht="135">
      <c r="A420" s="1">
        <v>217746</v>
      </c>
      <c r="B420" t="str">
        <f t="shared" si="84"/>
        <v>4D19BT83134-21</v>
      </c>
      <c r="C420" s="6" t="str">
        <f t="shared" si="85"/>
        <v>CALIFORNIA EMERGING INFECTIONS PROGRAM 2019</v>
      </c>
      <c r="D420" s="6" t="str">
        <f t="shared" si="86"/>
        <v>NEUROP, INC.</v>
      </c>
      <c r="E420">
        <f t="shared" si="87"/>
        <v>6384017</v>
      </c>
      <c r="F420" t="str">
        <f t="shared" si="88"/>
        <v>CDC</v>
      </c>
      <c r="G420" t="str">
        <f t="shared" si="89"/>
        <v>31-4234752</v>
      </c>
      <c r="H420">
        <f t="shared" ca="1" si="90"/>
        <v>2614514</v>
      </c>
      <c r="I420" t="str">
        <f t="shared" si="91"/>
        <v>Annual</v>
      </c>
      <c r="T420" s="54" t="s">
        <v>2287</v>
      </c>
      <c r="U420">
        <v>9652414</v>
      </c>
      <c r="V420" s="10" t="s">
        <v>276</v>
      </c>
      <c r="W420" s="10" t="s">
        <v>276</v>
      </c>
      <c r="Y420" s="1" t="s">
        <v>2322</v>
      </c>
      <c r="AI420" s="1">
        <v>217746</v>
      </c>
      <c r="AJ420" s="1" t="s">
        <v>119</v>
      </c>
      <c r="AK420" s="1" t="str">
        <f t="shared" si="92"/>
        <v/>
      </c>
      <c r="AL420" t="b">
        <f t="shared" si="93"/>
        <v>1</v>
      </c>
      <c r="AM420" s="49" t="str">
        <f t="shared" si="94"/>
        <v>Q</v>
      </c>
      <c r="AP420" s="10" t="s">
        <v>97</v>
      </c>
      <c r="AS420" t="s">
        <v>119</v>
      </c>
      <c r="AT420" s="6" t="s">
        <v>97</v>
      </c>
      <c r="AU420" s="6" t="str">
        <f t="shared" si="95"/>
        <v/>
      </c>
      <c r="AV420" s="6" t="s">
        <v>96</v>
      </c>
      <c r="AW420" s="6" t="str">
        <f t="shared" si="96"/>
        <v/>
      </c>
    </row>
    <row r="421" spans="1:49" ht="105">
      <c r="A421" s="1">
        <v>217746</v>
      </c>
      <c r="B421" t="str">
        <f t="shared" si="84"/>
        <v>4D19BT83134-21</v>
      </c>
      <c r="C421" s="6" t="str">
        <f t="shared" si="85"/>
        <v>CALIFORNIA EMERGING INFECTIONS PROGRAM 2019</v>
      </c>
      <c r="D421" s="6" t="str">
        <f t="shared" si="86"/>
        <v>NEUROP, INC.</v>
      </c>
      <c r="E421">
        <f t="shared" si="87"/>
        <v>6384017</v>
      </c>
      <c r="F421" t="str">
        <f t="shared" si="88"/>
        <v>CDC</v>
      </c>
      <c r="G421" t="str">
        <f t="shared" si="89"/>
        <v>31-4234752</v>
      </c>
      <c r="H421">
        <f t="shared" ca="1" si="90"/>
        <v>2614514</v>
      </c>
      <c r="I421" t="str">
        <f t="shared" si="91"/>
        <v>Annual</v>
      </c>
      <c r="T421" s="54" t="s">
        <v>2319</v>
      </c>
      <c r="U421">
        <v>10119579</v>
      </c>
      <c r="V421" s="10" t="s">
        <v>286</v>
      </c>
      <c r="W421" s="10" t="s">
        <v>286</v>
      </c>
      <c r="Y421" s="1" t="s">
        <v>2323</v>
      </c>
      <c r="AI421" s="1">
        <v>217746</v>
      </c>
      <c r="AJ421" s="1" t="s">
        <v>119</v>
      </c>
      <c r="AK421" s="1" t="str">
        <f t="shared" si="92"/>
        <v/>
      </c>
      <c r="AL421" t="b">
        <f t="shared" si="93"/>
        <v>1</v>
      </c>
      <c r="AM421" s="49" t="str">
        <f t="shared" si="94"/>
        <v>Q</v>
      </c>
      <c r="AP421" s="10" t="s">
        <v>327</v>
      </c>
      <c r="AS421" t="s">
        <v>119</v>
      </c>
      <c r="AT421" s="6" t="s">
        <v>327</v>
      </c>
      <c r="AU421" s="6" t="str">
        <f t="shared" si="95"/>
        <v/>
      </c>
      <c r="AV421" s="6" t="s">
        <v>104</v>
      </c>
      <c r="AW421" s="6" t="str">
        <f t="shared" si="96"/>
        <v/>
      </c>
    </row>
    <row r="422" spans="1:49" ht="90">
      <c r="A422" s="1">
        <v>217750</v>
      </c>
      <c r="B422" t="str">
        <f t="shared" si="84"/>
        <v>8D91DT87415-87</v>
      </c>
      <c r="C422" s="6" t="str">
        <f t="shared" si="85"/>
        <v>PHFE CDPH ELC 2019-2024</v>
      </c>
      <c r="D422" s="6" t="str">
        <f t="shared" si="86"/>
        <v>NEUROSIGMA, INC.</v>
      </c>
      <c r="E422">
        <f t="shared" si="87"/>
        <v>17986849</v>
      </c>
      <c r="F422" t="str">
        <f t="shared" si="88"/>
        <v>NIH</v>
      </c>
      <c r="G422" t="str">
        <f t="shared" si="89"/>
        <v>31-4234753</v>
      </c>
      <c r="H422">
        <f t="shared" ca="1" si="90"/>
        <v>2338432</v>
      </c>
      <c r="I422" t="str">
        <f t="shared" si="91"/>
        <v>Annual</v>
      </c>
      <c r="T422" s="66" t="s">
        <v>2296</v>
      </c>
      <c r="U422">
        <v>10119579</v>
      </c>
      <c r="V422" s="10" t="s">
        <v>301</v>
      </c>
      <c r="W422" s="10" t="s">
        <v>301</v>
      </c>
      <c r="Y422" s="1" t="s">
        <v>2324</v>
      </c>
      <c r="AI422" s="1">
        <v>217750</v>
      </c>
      <c r="AJ422" s="1" t="s">
        <v>119</v>
      </c>
      <c r="AK422" s="1" t="str">
        <f t="shared" si="92"/>
        <v/>
      </c>
      <c r="AL422" t="b">
        <f t="shared" si="93"/>
        <v>1</v>
      </c>
      <c r="AM422" s="49" t="str">
        <f t="shared" si="94"/>
        <v>Q</v>
      </c>
      <c r="AP422" s="10" t="s">
        <v>97</v>
      </c>
      <c r="AS422" t="s">
        <v>119</v>
      </c>
      <c r="AT422" s="6" t="s">
        <v>97</v>
      </c>
      <c r="AU422" s="6" t="str">
        <f t="shared" si="95"/>
        <v/>
      </c>
      <c r="AV422" s="6" t="s">
        <v>96</v>
      </c>
      <c r="AW422" s="6" t="str">
        <f t="shared" si="96"/>
        <v/>
      </c>
    </row>
    <row r="423" spans="1:49" ht="75">
      <c r="A423" s="1">
        <v>217750</v>
      </c>
      <c r="B423" t="str">
        <f t="shared" si="84"/>
        <v>8D91DT87415-87</v>
      </c>
      <c r="C423" s="6" t="str">
        <f t="shared" si="85"/>
        <v>PHFE CDPH ELC 2019-2024</v>
      </c>
      <c r="D423" s="6" t="str">
        <f t="shared" si="86"/>
        <v>NEUROSIGMA, INC.</v>
      </c>
      <c r="E423">
        <f t="shared" si="87"/>
        <v>17986849</v>
      </c>
      <c r="F423" t="str">
        <f t="shared" si="88"/>
        <v>NIH</v>
      </c>
      <c r="G423" t="str">
        <f t="shared" si="89"/>
        <v>31-4234753</v>
      </c>
      <c r="H423">
        <f t="shared" ca="1" si="90"/>
        <v>2338432</v>
      </c>
      <c r="I423" t="str">
        <f t="shared" si="91"/>
        <v>Annual</v>
      </c>
      <c r="T423" s="54" t="s">
        <v>2287</v>
      </c>
      <c r="U423">
        <v>10119579</v>
      </c>
      <c r="V423" s="10" t="s">
        <v>311</v>
      </c>
      <c r="W423" s="10" t="s">
        <v>311</v>
      </c>
      <c r="Y423" s="1" t="s">
        <v>2325</v>
      </c>
      <c r="AI423" s="1">
        <v>217750</v>
      </c>
      <c r="AJ423" s="1" t="s">
        <v>119</v>
      </c>
      <c r="AK423" s="1" t="str">
        <f t="shared" si="92"/>
        <v/>
      </c>
      <c r="AL423" t="b">
        <f t="shared" si="93"/>
        <v>1</v>
      </c>
      <c r="AM423" s="49" t="str">
        <f t="shared" si="94"/>
        <v>Q</v>
      </c>
      <c r="AP423" s="10" t="s">
        <v>327</v>
      </c>
      <c r="AS423" t="s">
        <v>119</v>
      </c>
      <c r="AT423" s="6" t="s">
        <v>327</v>
      </c>
      <c r="AU423" s="6" t="str">
        <f t="shared" si="95"/>
        <v/>
      </c>
      <c r="AV423" s="6" t="s">
        <v>104</v>
      </c>
      <c r="AW423" s="6" t="str">
        <f t="shared" si="96"/>
        <v/>
      </c>
    </row>
    <row r="424" spans="1:49" ht="45">
      <c r="A424" s="1">
        <v>217750</v>
      </c>
      <c r="B424" t="str">
        <f t="shared" si="84"/>
        <v>8D91DT87415-87</v>
      </c>
      <c r="C424" s="6" t="str">
        <f t="shared" si="85"/>
        <v>PHFE CDPH ELC 2019-2024</v>
      </c>
      <c r="D424" s="6" t="str">
        <f t="shared" si="86"/>
        <v>NEUROSIGMA, INC.</v>
      </c>
      <c r="E424">
        <f t="shared" si="87"/>
        <v>17986849</v>
      </c>
      <c r="F424" t="str">
        <f t="shared" si="88"/>
        <v>NIH</v>
      </c>
      <c r="G424" t="str">
        <f t="shared" si="89"/>
        <v>31-4234753</v>
      </c>
      <c r="H424">
        <f t="shared" ca="1" si="90"/>
        <v>2338432</v>
      </c>
      <c r="I424" t="str">
        <f t="shared" si="91"/>
        <v>Annual</v>
      </c>
      <c r="T424" s="57" t="s">
        <v>2326</v>
      </c>
      <c r="U424">
        <v>9287854</v>
      </c>
      <c r="V424" s="10" t="s">
        <v>319</v>
      </c>
      <c r="W424" s="10" t="s">
        <v>319</v>
      </c>
      <c r="Y424" s="1" t="s">
        <v>2327</v>
      </c>
      <c r="AI424" s="1">
        <v>217750</v>
      </c>
      <c r="AJ424" s="1" t="s">
        <v>119</v>
      </c>
      <c r="AK424" s="1" t="str">
        <f t="shared" si="92"/>
        <v/>
      </c>
      <c r="AL424" t="b">
        <f t="shared" si="93"/>
        <v>1</v>
      </c>
      <c r="AM424" s="49" t="str">
        <f t="shared" si="94"/>
        <v>Q</v>
      </c>
      <c r="AP424" s="10" t="s">
        <v>113</v>
      </c>
      <c r="AS424" t="s">
        <v>119</v>
      </c>
      <c r="AT424" s="6" t="s">
        <v>113</v>
      </c>
      <c r="AU424" s="6" t="str">
        <f t="shared" si="95"/>
        <v/>
      </c>
      <c r="AV424" s="6" t="s">
        <v>112</v>
      </c>
      <c r="AW424" s="6" t="str">
        <f t="shared" si="96"/>
        <v/>
      </c>
    </row>
    <row r="425" spans="1:49" ht="120">
      <c r="A425" s="1">
        <v>217783</v>
      </c>
      <c r="B425" t="str">
        <f t="shared" si="84"/>
        <v>5D56AT76988-71</v>
      </c>
      <c r="C425" s="6" t="str">
        <f t="shared" si="85"/>
        <v>LOS ANGELES COUNTY EPIDEMIOLOGY AND LABORATORY CAPACITY COOPERATIVE AGREEMENT 2019</v>
      </c>
      <c r="D425" s="6" t="str">
        <f t="shared" si="86"/>
        <v>NEUROTHERANOSTICS, INC.</v>
      </c>
      <c r="E425">
        <f t="shared" si="87"/>
        <v>17986849</v>
      </c>
      <c r="F425" t="str">
        <f t="shared" si="88"/>
        <v>FDA</v>
      </c>
      <c r="G425" t="str">
        <f t="shared" si="89"/>
        <v>31-4234754</v>
      </c>
      <c r="H425">
        <f t="shared" ca="1" si="90"/>
        <v>2488167</v>
      </c>
      <c r="I425" t="str">
        <f t="shared" si="91"/>
        <v>Annual</v>
      </c>
      <c r="T425" s="66" t="s">
        <v>2296</v>
      </c>
      <c r="U425">
        <v>9287854</v>
      </c>
      <c r="V425" s="10" t="s">
        <v>331</v>
      </c>
      <c r="W425" s="10" t="s">
        <v>331</v>
      </c>
      <c r="Y425" s="1" t="s">
        <v>2328</v>
      </c>
      <c r="AI425" s="1">
        <v>217783</v>
      </c>
      <c r="AJ425" s="1" t="s">
        <v>119</v>
      </c>
      <c r="AK425" s="1" t="str">
        <f t="shared" si="92"/>
        <v/>
      </c>
      <c r="AL425" t="b">
        <f t="shared" si="93"/>
        <v>1</v>
      </c>
      <c r="AM425" s="49" t="str">
        <f t="shared" si="94"/>
        <v>Q</v>
      </c>
      <c r="AP425" s="10" t="s">
        <v>97</v>
      </c>
      <c r="AS425" t="s">
        <v>119</v>
      </c>
      <c r="AT425" s="6" t="s">
        <v>97</v>
      </c>
      <c r="AU425" s="6" t="str">
        <f t="shared" si="95"/>
        <v/>
      </c>
      <c r="AV425" s="6" t="s">
        <v>96</v>
      </c>
      <c r="AW425" s="6" t="str">
        <f t="shared" si="96"/>
        <v/>
      </c>
    </row>
    <row r="426" spans="1:49" ht="75">
      <c r="A426" s="1">
        <v>217783</v>
      </c>
      <c r="B426" t="str">
        <f t="shared" si="84"/>
        <v>5D56AT76988-71</v>
      </c>
      <c r="C426" s="6" t="str">
        <f t="shared" si="85"/>
        <v>LOS ANGELES COUNTY EPIDEMIOLOGY AND LABORATORY CAPACITY COOPERATIVE AGREEMENT 2019</v>
      </c>
      <c r="D426" s="6" t="str">
        <f t="shared" si="86"/>
        <v>NEUROTHERANOSTICS, INC.</v>
      </c>
      <c r="E426">
        <f t="shared" si="87"/>
        <v>17986849</v>
      </c>
      <c r="F426" t="str">
        <f t="shared" si="88"/>
        <v>FDA</v>
      </c>
      <c r="G426" t="str">
        <f t="shared" si="89"/>
        <v>31-4234754</v>
      </c>
      <c r="H426">
        <f t="shared" ca="1" si="90"/>
        <v>2488167</v>
      </c>
      <c r="I426" t="str">
        <f t="shared" si="91"/>
        <v>Annual</v>
      </c>
      <c r="T426" s="50" t="s">
        <v>2319</v>
      </c>
      <c r="U426">
        <v>9287854</v>
      </c>
      <c r="V426" s="10" t="s">
        <v>338</v>
      </c>
      <c r="W426" s="10" t="s">
        <v>338</v>
      </c>
      <c r="Y426" s="1" t="s">
        <v>2329</v>
      </c>
      <c r="AI426" s="1">
        <v>217783</v>
      </c>
      <c r="AJ426" s="1" t="s">
        <v>119</v>
      </c>
      <c r="AK426" s="1" t="str">
        <f t="shared" si="92"/>
        <v/>
      </c>
      <c r="AL426" t="b">
        <f t="shared" si="93"/>
        <v>1</v>
      </c>
      <c r="AM426" s="49" t="str">
        <f t="shared" si="94"/>
        <v>Q</v>
      </c>
      <c r="AP426" s="10" t="s">
        <v>327</v>
      </c>
      <c r="AS426" t="s">
        <v>119</v>
      </c>
      <c r="AT426" s="6" t="s">
        <v>327</v>
      </c>
      <c r="AU426" s="6" t="str">
        <f t="shared" si="95"/>
        <v/>
      </c>
      <c r="AV426" s="6" t="s">
        <v>104</v>
      </c>
      <c r="AW426" s="6" t="str">
        <f t="shared" si="96"/>
        <v/>
      </c>
    </row>
    <row r="427" spans="1:49" ht="105">
      <c r="A427" s="1">
        <v>217783</v>
      </c>
      <c r="B427" t="str">
        <f t="shared" si="84"/>
        <v>5D56AT76988-71</v>
      </c>
      <c r="C427" s="6" t="str">
        <f t="shared" si="85"/>
        <v>LOS ANGELES COUNTY EPIDEMIOLOGY AND LABORATORY CAPACITY COOPERATIVE AGREEMENT 2019</v>
      </c>
      <c r="D427" s="6" t="str">
        <f t="shared" si="86"/>
        <v>NEUROTHERANOSTICS, INC.</v>
      </c>
      <c r="E427">
        <f t="shared" si="87"/>
        <v>17986849</v>
      </c>
      <c r="F427" t="str">
        <f t="shared" si="88"/>
        <v>FDA</v>
      </c>
      <c r="G427" t="str">
        <f t="shared" si="89"/>
        <v>31-4234754</v>
      </c>
      <c r="H427">
        <f t="shared" ca="1" si="90"/>
        <v>2488167</v>
      </c>
      <c r="I427" t="str">
        <f t="shared" si="91"/>
        <v>Annual</v>
      </c>
      <c r="T427" s="53" t="s">
        <v>2330</v>
      </c>
      <c r="U427">
        <v>32215637</v>
      </c>
      <c r="V427" s="10" t="s">
        <v>350</v>
      </c>
      <c r="W427" s="10" t="s">
        <v>350</v>
      </c>
      <c r="Y427" s="1" t="s">
        <v>2331</v>
      </c>
      <c r="AI427" s="1">
        <v>217783</v>
      </c>
      <c r="AJ427" s="1" t="s">
        <v>119</v>
      </c>
      <c r="AK427" s="1" t="str">
        <f t="shared" si="92"/>
        <v/>
      </c>
      <c r="AL427" t="b">
        <f t="shared" si="93"/>
        <v>1</v>
      </c>
      <c r="AM427" s="49" t="str">
        <f t="shared" si="94"/>
        <v>Q</v>
      </c>
      <c r="AP427" s="10" t="s">
        <v>113</v>
      </c>
      <c r="AS427" t="s">
        <v>119</v>
      </c>
      <c r="AT427" s="6" t="s">
        <v>113</v>
      </c>
      <c r="AU427" s="6" t="str">
        <f t="shared" si="95"/>
        <v/>
      </c>
      <c r="AV427" s="6" t="s">
        <v>112</v>
      </c>
      <c r="AW427" s="6" t="str">
        <f t="shared" si="96"/>
        <v/>
      </c>
    </row>
    <row r="428" spans="1:49" ht="105">
      <c r="A428" s="1">
        <v>217868</v>
      </c>
      <c r="B428" t="str">
        <f t="shared" si="84"/>
        <v>4D34FT86530-15</v>
      </c>
      <c r="C428" s="6" t="str">
        <f t="shared" si="85"/>
        <v>CALIFORNIA EMERGING INFECTIONS PROGRAM 2019</v>
      </c>
      <c r="D428" s="6" t="str">
        <f t="shared" si="86"/>
        <v>NEUROTRACK TECHNOLOGIES, INC.</v>
      </c>
      <c r="E428">
        <f t="shared" si="87"/>
        <v>17986849</v>
      </c>
      <c r="F428" t="str">
        <f t="shared" si="88"/>
        <v>ACF</v>
      </c>
      <c r="G428" t="str">
        <f t="shared" si="89"/>
        <v>31-4234755</v>
      </c>
      <c r="H428">
        <f t="shared" ca="1" si="90"/>
        <v>2018951</v>
      </c>
      <c r="I428" t="str">
        <f t="shared" si="91"/>
        <v>Annual</v>
      </c>
      <c r="T428" s="52" t="s">
        <v>2213</v>
      </c>
      <c r="U428">
        <v>32215637</v>
      </c>
      <c r="V428" s="10" t="s">
        <v>357</v>
      </c>
      <c r="W428" s="10" t="s">
        <v>357</v>
      </c>
      <c r="Y428" s="1" t="s">
        <v>2332</v>
      </c>
      <c r="AI428" s="1">
        <v>217868</v>
      </c>
      <c r="AJ428" s="1" t="s">
        <v>119</v>
      </c>
      <c r="AK428" s="1" t="str">
        <f t="shared" si="92"/>
        <v/>
      </c>
      <c r="AL428" t="b">
        <f t="shared" si="93"/>
        <v>1</v>
      </c>
      <c r="AM428" s="49" t="str">
        <f t="shared" si="94"/>
        <v>Q</v>
      </c>
      <c r="AP428" s="10" t="s">
        <v>97</v>
      </c>
      <c r="AS428" t="s">
        <v>119</v>
      </c>
      <c r="AT428" s="6" t="s">
        <v>97</v>
      </c>
      <c r="AU428" s="6" t="str">
        <f t="shared" si="95"/>
        <v/>
      </c>
      <c r="AV428" s="6" t="s">
        <v>96</v>
      </c>
      <c r="AW428" s="6" t="str">
        <f t="shared" si="96"/>
        <v/>
      </c>
    </row>
    <row r="429" spans="1:49" ht="75">
      <c r="A429" s="1">
        <v>217868</v>
      </c>
      <c r="B429" t="str">
        <f t="shared" si="84"/>
        <v>4D34FT86530-15</v>
      </c>
      <c r="C429" s="6" t="str">
        <f t="shared" si="85"/>
        <v>CALIFORNIA EMERGING INFECTIONS PROGRAM 2019</v>
      </c>
      <c r="D429" s="6" t="str">
        <f t="shared" si="86"/>
        <v>NEUROTRACK TECHNOLOGIES, INC.</v>
      </c>
      <c r="E429">
        <f t="shared" si="87"/>
        <v>17986849</v>
      </c>
      <c r="F429" t="str">
        <f t="shared" si="88"/>
        <v>ACF</v>
      </c>
      <c r="G429" t="str">
        <f t="shared" si="89"/>
        <v>31-4234755</v>
      </c>
      <c r="H429">
        <f t="shared" ca="1" si="90"/>
        <v>2018951</v>
      </c>
      <c r="I429" t="str">
        <f t="shared" si="91"/>
        <v>Annual</v>
      </c>
      <c r="T429" s="54" t="s">
        <v>2313</v>
      </c>
      <c r="U429">
        <v>32215637</v>
      </c>
      <c r="V429" s="10" t="s">
        <v>370</v>
      </c>
      <c r="W429" s="10" t="s">
        <v>370</v>
      </c>
      <c r="Y429" s="1" t="s">
        <v>2333</v>
      </c>
      <c r="AI429" s="1">
        <v>217868</v>
      </c>
      <c r="AJ429" s="1" t="s">
        <v>119</v>
      </c>
      <c r="AK429" s="1" t="str">
        <f t="shared" si="92"/>
        <v/>
      </c>
      <c r="AL429" t="b">
        <f t="shared" si="93"/>
        <v>1</v>
      </c>
      <c r="AM429" s="49" t="str">
        <f t="shared" si="94"/>
        <v>Q</v>
      </c>
      <c r="AP429" s="10" t="s">
        <v>327</v>
      </c>
      <c r="AS429" t="s">
        <v>119</v>
      </c>
      <c r="AT429" s="6" t="s">
        <v>327</v>
      </c>
      <c r="AU429" s="6" t="str">
        <f t="shared" si="95"/>
        <v/>
      </c>
      <c r="AV429" s="6" t="s">
        <v>104</v>
      </c>
      <c r="AW429" s="6" t="str">
        <f t="shared" si="96"/>
        <v/>
      </c>
    </row>
    <row r="430" spans="1:49" ht="90">
      <c r="A430" s="1">
        <v>220211</v>
      </c>
      <c r="B430" t="str">
        <f t="shared" si="84"/>
        <v>6D57GT90255-93</v>
      </c>
      <c r="C430" s="6" t="str">
        <f t="shared" si="85"/>
        <v>PHFE CDPH ELC 2019-2024</v>
      </c>
      <c r="D430" s="6" t="str">
        <f t="shared" si="86"/>
        <v>NEUROTROPE BIOSCIENCE, INC.</v>
      </c>
      <c r="E430">
        <f t="shared" si="87"/>
        <v>17986849</v>
      </c>
      <c r="F430" t="str">
        <f t="shared" si="88"/>
        <v>CDC</v>
      </c>
      <c r="G430" t="str">
        <f t="shared" si="89"/>
        <v>31-4234756</v>
      </c>
      <c r="H430">
        <f t="shared" ca="1" si="90"/>
        <v>2190664</v>
      </c>
      <c r="I430" t="str">
        <f t="shared" si="91"/>
        <v>Annual</v>
      </c>
      <c r="T430" s="66" t="s">
        <v>2296</v>
      </c>
      <c r="U430">
        <v>21832891</v>
      </c>
      <c r="V430" s="10" t="s">
        <v>378</v>
      </c>
      <c r="W430" s="10" t="s">
        <v>378</v>
      </c>
      <c r="Y430" s="1" t="s">
        <v>2334</v>
      </c>
      <c r="AI430" s="1">
        <v>220211</v>
      </c>
      <c r="AJ430" s="1" t="s">
        <v>119</v>
      </c>
      <c r="AK430" s="1" t="str">
        <f t="shared" si="92"/>
        <v/>
      </c>
      <c r="AL430" t="b">
        <f t="shared" si="93"/>
        <v>1</v>
      </c>
      <c r="AM430" s="49" t="str">
        <f t="shared" si="94"/>
        <v>Q</v>
      </c>
      <c r="AP430" s="10" t="s">
        <v>97</v>
      </c>
      <c r="AS430" t="s">
        <v>119</v>
      </c>
      <c r="AT430" s="6" t="s">
        <v>97</v>
      </c>
      <c r="AU430" s="6" t="str">
        <f t="shared" si="95"/>
        <v/>
      </c>
      <c r="AV430" s="6" t="s">
        <v>96</v>
      </c>
      <c r="AW430" s="6" t="str">
        <f t="shared" si="96"/>
        <v/>
      </c>
    </row>
    <row r="431" spans="1:49" ht="105">
      <c r="A431" s="1">
        <v>220211</v>
      </c>
      <c r="B431" t="str">
        <f t="shared" si="84"/>
        <v>6D57GT90255-93</v>
      </c>
      <c r="C431" s="6" t="str">
        <f t="shared" si="85"/>
        <v>PHFE CDPH ELC 2019-2024</v>
      </c>
      <c r="D431" s="6" t="str">
        <f t="shared" si="86"/>
        <v>NEUROTROPE BIOSCIENCE, INC.</v>
      </c>
      <c r="E431">
        <f t="shared" si="87"/>
        <v>17986849</v>
      </c>
      <c r="F431" t="str">
        <f t="shared" si="88"/>
        <v>CDC</v>
      </c>
      <c r="G431" t="str">
        <f t="shared" si="89"/>
        <v>31-4234756</v>
      </c>
      <c r="H431">
        <f t="shared" ca="1" si="90"/>
        <v>2190664</v>
      </c>
      <c r="I431" t="str">
        <f t="shared" si="91"/>
        <v>Annual</v>
      </c>
      <c r="T431" s="52" t="s">
        <v>2213</v>
      </c>
      <c r="U431">
        <v>21832891</v>
      </c>
      <c r="V431" s="10" t="s">
        <v>385</v>
      </c>
      <c r="W431" s="10" t="s">
        <v>385</v>
      </c>
      <c r="Y431" s="1" t="s">
        <v>2335</v>
      </c>
      <c r="AI431" s="1">
        <v>220211</v>
      </c>
      <c r="AJ431" s="1" t="s">
        <v>119</v>
      </c>
      <c r="AK431" s="1" t="str">
        <f t="shared" si="92"/>
        <v/>
      </c>
      <c r="AL431" t="b">
        <f t="shared" si="93"/>
        <v>1</v>
      </c>
      <c r="AM431" s="49" t="str">
        <f t="shared" si="94"/>
        <v>Q</v>
      </c>
      <c r="AP431" s="10" t="s">
        <v>327</v>
      </c>
      <c r="AS431" t="s">
        <v>119</v>
      </c>
      <c r="AT431" s="6" t="s">
        <v>327</v>
      </c>
      <c r="AU431" s="6" t="str">
        <f t="shared" si="95"/>
        <v/>
      </c>
      <c r="AV431" s="6" t="s">
        <v>104</v>
      </c>
      <c r="AW431" s="6" t="str">
        <f t="shared" si="96"/>
        <v/>
      </c>
    </row>
    <row r="432" spans="1:49" ht="120">
      <c r="A432" s="1">
        <v>220211</v>
      </c>
      <c r="B432" t="str">
        <f t="shared" si="84"/>
        <v>6D57GT90255-93</v>
      </c>
      <c r="C432" s="6" t="str">
        <f t="shared" si="85"/>
        <v>PHFE CDPH ELC 2019-2024</v>
      </c>
      <c r="D432" s="6" t="str">
        <f t="shared" si="86"/>
        <v>NEUROTROPE BIOSCIENCE, INC.</v>
      </c>
      <c r="E432">
        <f t="shared" si="87"/>
        <v>17986849</v>
      </c>
      <c r="F432" t="str">
        <f t="shared" si="88"/>
        <v>CDC</v>
      </c>
      <c r="G432" t="str">
        <f t="shared" si="89"/>
        <v>31-4234756</v>
      </c>
      <c r="H432">
        <f t="shared" ca="1" si="90"/>
        <v>2190664</v>
      </c>
      <c r="I432" t="str">
        <f t="shared" si="91"/>
        <v>Annual</v>
      </c>
      <c r="T432" s="66" t="s">
        <v>2296</v>
      </c>
      <c r="U432">
        <v>21832891</v>
      </c>
      <c r="V432" s="10" t="s">
        <v>401</v>
      </c>
      <c r="W432" s="10" t="s">
        <v>401</v>
      </c>
      <c r="Y432" s="1" t="s">
        <v>2336</v>
      </c>
      <c r="AI432" s="1">
        <v>220211</v>
      </c>
      <c r="AJ432" s="1" t="s">
        <v>119</v>
      </c>
      <c r="AK432" s="1" t="str">
        <f t="shared" si="92"/>
        <v/>
      </c>
      <c r="AL432" t="b">
        <f t="shared" si="93"/>
        <v>1</v>
      </c>
      <c r="AM432" s="49" t="str">
        <f t="shared" si="94"/>
        <v>Q</v>
      </c>
      <c r="AP432" s="10" t="s">
        <v>113</v>
      </c>
      <c r="AS432" t="s">
        <v>119</v>
      </c>
      <c r="AT432" s="6" t="s">
        <v>113</v>
      </c>
      <c r="AU432" s="6" t="str">
        <f t="shared" si="95"/>
        <v/>
      </c>
      <c r="AV432" s="6" t="s">
        <v>112</v>
      </c>
      <c r="AW432" s="6" t="str">
        <f t="shared" si="96"/>
        <v/>
      </c>
    </row>
    <row r="433" spans="1:49" ht="90">
      <c r="A433" s="1">
        <v>220268</v>
      </c>
      <c r="B433" t="str">
        <f t="shared" si="84"/>
        <v>4C93HS90253-84</v>
      </c>
      <c r="C433" s="6" t="str">
        <f t="shared" si="85"/>
        <v>CALIFORNIA EMERGING INFECTIONS PROGRAM 2019</v>
      </c>
      <c r="D433" s="6" t="str">
        <f t="shared" si="86"/>
        <v>NEUROVASCULAR DIAGNOSTICS, INC.</v>
      </c>
      <c r="E433">
        <f t="shared" si="87"/>
        <v>6890102</v>
      </c>
      <c r="F433" t="str">
        <f t="shared" si="88"/>
        <v>NIH</v>
      </c>
      <c r="G433" t="str">
        <f t="shared" si="89"/>
        <v>31-4234757</v>
      </c>
      <c r="H433">
        <f t="shared" ca="1" si="90"/>
        <v>2427592</v>
      </c>
      <c r="I433" t="str">
        <f t="shared" si="91"/>
        <v>Annual</v>
      </c>
      <c r="T433" s="52" t="s">
        <v>2337</v>
      </c>
      <c r="U433">
        <v>11418750</v>
      </c>
      <c r="V433" s="10" t="s">
        <v>408</v>
      </c>
      <c r="W433" s="10" t="s">
        <v>408</v>
      </c>
      <c r="Y433" s="1" t="s">
        <v>2338</v>
      </c>
      <c r="AI433" s="1">
        <v>220268</v>
      </c>
      <c r="AJ433" s="1" t="s">
        <v>119</v>
      </c>
      <c r="AK433" s="1" t="str">
        <f t="shared" si="92"/>
        <v/>
      </c>
      <c r="AL433" t="b">
        <f t="shared" si="93"/>
        <v>1</v>
      </c>
      <c r="AM433" s="49" t="str">
        <f t="shared" si="94"/>
        <v>Q</v>
      </c>
      <c r="AP433" s="10" t="s">
        <v>97</v>
      </c>
      <c r="AS433" t="s">
        <v>119</v>
      </c>
      <c r="AT433" s="6" t="s">
        <v>97</v>
      </c>
      <c r="AU433" s="6" t="str">
        <f t="shared" si="95"/>
        <v/>
      </c>
      <c r="AV433" s="6" t="s">
        <v>96</v>
      </c>
      <c r="AW433" s="6" t="str">
        <f t="shared" si="96"/>
        <v/>
      </c>
    </row>
    <row r="434" spans="1:49" ht="75">
      <c r="A434" s="1">
        <v>220268</v>
      </c>
      <c r="B434" t="str">
        <f t="shared" si="84"/>
        <v>4C93HS90253-84</v>
      </c>
      <c r="C434" s="6" t="str">
        <f t="shared" si="85"/>
        <v>CALIFORNIA EMERGING INFECTIONS PROGRAM 2019</v>
      </c>
      <c r="D434" s="6" t="str">
        <f t="shared" si="86"/>
        <v>NEUROVASCULAR DIAGNOSTICS, INC.</v>
      </c>
      <c r="E434">
        <f t="shared" si="87"/>
        <v>6890102</v>
      </c>
      <c r="F434" t="str">
        <f t="shared" si="88"/>
        <v>NIH</v>
      </c>
      <c r="G434" t="str">
        <f t="shared" si="89"/>
        <v>31-4234757</v>
      </c>
      <c r="H434">
        <f t="shared" ca="1" si="90"/>
        <v>2427592</v>
      </c>
      <c r="I434" t="str">
        <f t="shared" si="91"/>
        <v>Annual</v>
      </c>
      <c r="T434" s="53" t="s">
        <v>2223</v>
      </c>
      <c r="U434">
        <v>11418750</v>
      </c>
      <c r="V434" s="10" t="s">
        <v>415</v>
      </c>
      <c r="W434" s="10" t="s">
        <v>415</v>
      </c>
      <c r="Y434" s="1" t="s">
        <v>2339</v>
      </c>
      <c r="AI434" s="1">
        <v>220268</v>
      </c>
      <c r="AJ434" s="1" t="s">
        <v>119</v>
      </c>
      <c r="AK434" s="1" t="str">
        <f t="shared" si="92"/>
        <v/>
      </c>
      <c r="AL434" t="b">
        <f t="shared" si="93"/>
        <v>1</v>
      </c>
      <c r="AM434" s="49" t="str">
        <f t="shared" si="94"/>
        <v>Q</v>
      </c>
      <c r="AP434" s="10" t="s">
        <v>327</v>
      </c>
      <c r="AS434" t="s">
        <v>119</v>
      </c>
      <c r="AT434" s="6" t="s">
        <v>327</v>
      </c>
      <c r="AU434" s="6" t="str">
        <f t="shared" si="95"/>
        <v/>
      </c>
      <c r="AV434" s="6" t="s">
        <v>104</v>
      </c>
      <c r="AW434" s="6" t="str">
        <f t="shared" si="96"/>
        <v/>
      </c>
    </row>
    <row r="435" spans="1:49" ht="135">
      <c r="A435" s="1">
        <v>220268</v>
      </c>
      <c r="B435" t="str">
        <f t="shared" si="84"/>
        <v>4C93HS90253-84</v>
      </c>
      <c r="C435" s="6" t="str">
        <f t="shared" si="85"/>
        <v>CALIFORNIA EMERGING INFECTIONS PROGRAM 2019</v>
      </c>
      <c r="D435" s="6" t="str">
        <f t="shared" si="86"/>
        <v>NEUROVASCULAR DIAGNOSTICS, INC.</v>
      </c>
      <c r="E435">
        <f t="shared" si="87"/>
        <v>6890102</v>
      </c>
      <c r="F435" t="str">
        <f t="shared" si="88"/>
        <v>NIH</v>
      </c>
      <c r="G435" t="str">
        <f t="shared" si="89"/>
        <v>31-4234757</v>
      </c>
      <c r="H435">
        <f t="shared" ca="1" si="90"/>
        <v>2427592</v>
      </c>
      <c r="I435" t="str">
        <f t="shared" si="91"/>
        <v>Annual</v>
      </c>
      <c r="T435" s="54" t="s">
        <v>2340</v>
      </c>
      <c r="U435">
        <v>10550619</v>
      </c>
      <c r="V435" s="10" t="s">
        <v>422</v>
      </c>
      <c r="W435" s="10" t="s">
        <v>422</v>
      </c>
      <c r="Y435" s="1" t="s">
        <v>2341</v>
      </c>
      <c r="AI435" s="1">
        <v>220268</v>
      </c>
      <c r="AJ435" s="1" t="s">
        <v>119</v>
      </c>
      <c r="AK435" s="1" t="str">
        <f t="shared" si="92"/>
        <v/>
      </c>
      <c r="AL435" t="b">
        <f t="shared" si="93"/>
        <v>1</v>
      </c>
      <c r="AM435" s="49" t="str">
        <f t="shared" si="94"/>
        <v>Q</v>
      </c>
      <c r="AP435" s="10" t="s">
        <v>113</v>
      </c>
      <c r="AS435" t="s">
        <v>119</v>
      </c>
      <c r="AT435" s="6" t="s">
        <v>113</v>
      </c>
      <c r="AU435" s="6" t="str">
        <f t="shared" si="95"/>
        <v/>
      </c>
      <c r="AV435" s="6" t="s">
        <v>112</v>
      </c>
      <c r="AW435" s="6" t="str">
        <f t="shared" si="96"/>
        <v/>
      </c>
    </row>
    <row r="436" spans="1:49" ht="195">
      <c r="A436" s="1">
        <v>221086</v>
      </c>
      <c r="B436" t="str">
        <f t="shared" si="84"/>
        <v>9B94DR84434-26</v>
      </c>
      <c r="C436" s="6" t="str">
        <f t="shared" si="85"/>
        <v>CALIFORNIA EMERGING INFECTIONS PROGRAM 2019</v>
      </c>
      <c r="D436" s="6" t="str">
        <f t="shared" si="86"/>
        <v>NEUROWAVE SYSTEMS, INC.</v>
      </c>
      <c r="E436">
        <f t="shared" si="87"/>
        <v>6890102</v>
      </c>
      <c r="F436" t="str">
        <f t="shared" si="88"/>
        <v>FDA</v>
      </c>
      <c r="G436" t="str">
        <f t="shared" si="89"/>
        <v>31-4234758</v>
      </c>
      <c r="H436">
        <f t="shared" ca="1" si="90"/>
        <v>2572839</v>
      </c>
      <c r="I436" t="str">
        <f t="shared" si="91"/>
        <v>Annual</v>
      </c>
      <c r="T436" s="53" t="s">
        <v>2342</v>
      </c>
      <c r="U436">
        <v>10550619</v>
      </c>
      <c r="V436" s="10" t="s">
        <v>433</v>
      </c>
      <c r="W436" s="10" t="s">
        <v>433</v>
      </c>
      <c r="Y436" s="1" t="s">
        <v>2343</v>
      </c>
      <c r="AI436" s="1">
        <v>221086</v>
      </c>
      <c r="AJ436" s="1" t="s">
        <v>119</v>
      </c>
      <c r="AK436" s="1" t="str">
        <f t="shared" si="92"/>
        <v/>
      </c>
      <c r="AL436" t="b">
        <f t="shared" si="93"/>
        <v>1</v>
      </c>
      <c r="AM436" s="49" t="str">
        <f t="shared" si="94"/>
        <v>Q</v>
      </c>
      <c r="AP436" s="10" t="s">
        <v>97</v>
      </c>
      <c r="AS436" t="s">
        <v>119</v>
      </c>
      <c r="AT436" s="6" t="s">
        <v>97</v>
      </c>
      <c r="AU436" s="6" t="str">
        <f t="shared" si="95"/>
        <v/>
      </c>
      <c r="AV436" s="6" t="s">
        <v>96</v>
      </c>
      <c r="AW436" s="6" t="str">
        <f t="shared" si="96"/>
        <v/>
      </c>
    </row>
    <row r="437" spans="1:49" ht="150">
      <c r="A437" s="1">
        <v>221086</v>
      </c>
      <c r="B437" t="str">
        <f t="shared" si="84"/>
        <v>9B94DR84434-26</v>
      </c>
      <c r="C437" s="6" t="str">
        <f t="shared" si="85"/>
        <v>CALIFORNIA EMERGING INFECTIONS PROGRAM 2019</v>
      </c>
      <c r="D437" s="6" t="str">
        <f t="shared" si="86"/>
        <v>NEUROWAVE SYSTEMS, INC.</v>
      </c>
      <c r="E437">
        <f t="shared" si="87"/>
        <v>6890102</v>
      </c>
      <c r="F437" t="str">
        <f t="shared" si="88"/>
        <v>FDA</v>
      </c>
      <c r="G437" t="str">
        <f t="shared" si="89"/>
        <v>31-4234758</v>
      </c>
      <c r="H437">
        <f t="shared" ca="1" si="90"/>
        <v>2572839</v>
      </c>
      <c r="I437" t="str">
        <f t="shared" si="91"/>
        <v>Annual</v>
      </c>
      <c r="T437" s="50" t="s">
        <v>2344</v>
      </c>
      <c r="U437">
        <v>23032315</v>
      </c>
      <c r="V437" s="10" t="s">
        <v>442</v>
      </c>
      <c r="W437" s="10" t="s">
        <v>442</v>
      </c>
      <c r="Y437" s="1" t="s">
        <v>2345</v>
      </c>
      <c r="AI437" s="1">
        <v>221086</v>
      </c>
      <c r="AJ437" s="1" t="s">
        <v>119</v>
      </c>
      <c r="AK437" s="1" t="str">
        <f t="shared" si="92"/>
        <v/>
      </c>
      <c r="AL437" t="b">
        <f t="shared" si="93"/>
        <v>1</v>
      </c>
      <c r="AM437" s="49" t="str">
        <f t="shared" si="94"/>
        <v>Q</v>
      </c>
      <c r="AP437" s="10" t="s">
        <v>327</v>
      </c>
      <c r="AS437" t="s">
        <v>119</v>
      </c>
      <c r="AT437" s="6" t="s">
        <v>327</v>
      </c>
      <c r="AU437" s="6" t="str">
        <f t="shared" si="95"/>
        <v/>
      </c>
      <c r="AV437" s="6" t="s">
        <v>104</v>
      </c>
      <c r="AW437" s="6" t="str">
        <f t="shared" si="96"/>
        <v/>
      </c>
    </row>
    <row r="438" spans="1:49" ht="210">
      <c r="A438" s="1">
        <v>221086</v>
      </c>
      <c r="B438" t="str">
        <f t="shared" si="84"/>
        <v>9B94DR84434-26</v>
      </c>
      <c r="C438" s="6" t="str">
        <f t="shared" si="85"/>
        <v>CALIFORNIA EMERGING INFECTIONS PROGRAM 2019</v>
      </c>
      <c r="D438" s="6" t="str">
        <f t="shared" si="86"/>
        <v>NEUROWAVE SYSTEMS, INC.</v>
      </c>
      <c r="E438">
        <f t="shared" si="87"/>
        <v>6890102</v>
      </c>
      <c r="F438" t="str">
        <f t="shared" si="88"/>
        <v>FDA</v>
      </c>
      <c r="G438" t="str">
        <f t="shared" si="89"/>
        <v>31-4234758</v>
      </c>
      <c r="H438">
        <f t="shared" ca="1" si="90"/>
        <v>2572839</v>
      </c>
      <c r="I438" t="str">
        <f t="shared" si="91"/>
        <v>Annual</v>
      </c>
      <c r="T438" s="54" t="s">
        <v>2346</v>
      </c>
      <c r="U438">
        <v>23032315</v>
      </c>
      <c r="V438" s="10" t="s">
        <v>454</v>
      </c>
      <c r="W438" s="10" t="s">
        <v>454</v>
      </c>
      <c r="Y438" s="1" t="s">
        <v>2347</v>
      </c>
      <c r="AI438" s="1">
        <v>221086</v>
      </c>
      <c r="AJ438" s="1" t="s">
        <v>119</v>
      </c>
      <c r="AK438" s="1" t="str">
        <f t="shared" si="92"/>
        <v/>
      </c>
      <c r="AL438" t="b">
        <f t="shared" si="93"/>
        <v>1</v>
      </c>
      <c r="AM438" s="49" t="str">
        <f t="shared" si="94"/>
        <v>Q</v>
      </c>
      <c r="AP438" s="10" t="s">
        <v>113</v>
      </c>
      <c r="AS438" t="s">
        <v>119</v>
      </c>
      <c r="AT438" s="6" t="s">
        <v>113</v>
      </c>
      <c r="AU438" s="6" t="str">
        <f t="shared" si="95"/>
        <v/>
      </c>
      <c r="AV438" s="6" t="s">
        <v>112</v>
      </c>
      <c r="AW438" s="6" t="str">
        <f t="shared" si="96"/>
        <v/>
      </c>
    </row>
    <row r="439" spans="1:49" ht="195">
      <c r="A439" s="1">
        <v>222289</v>
      </c>
      <c r="B439" t="str">
        <f t="shared" si="84"/>
        <v>3B24FR89003-82</v>
      </c>
      <c r="C439" s="6" t="str">
        <f t="shared" si="85"/>
        <v>PHFE CDPH ELC 2019-2024</v>
      </c>
      <c r="D439" s="6" t="str">
        <f t="shared" si="86"/>
        <v>NEW ENGLAND COLLEGE OF OPTOMETRY</v>
      </c>
      <c r="E439">
        <f t="shared" si="87"/>
        <v>6890102</v>
      </c>
      <c r="F439" t="str">
        <f t="shared" si="88"/>
        <v>ACF</v>
      </c>
      <c r="G439" t="str">
        <f t="shared" si="89"/>
        <v>31-4234759</v>
      </c>
      <c r="H439">
        <f t="shared" ca="1" si="90"/>
        <v>2654232</v>
      </c>
      <c r="I439" t="str">
        <f t="shared" si="91"/>
        <v>Annual</v>
      </c>
      <c r="T439" s="54" t="s">
        <v>2348</v>
      </c>
      <c r="U439">
        <v>23032315</v>
      </c>
      <c r="V439" s="10" t="s">
        <v>465</v>
      </c>
      <c r="W439" s="10" t="s">
        <v>465</v>
      </c>
      <c r="Y439" s="1" t="s">
        <v>2349</v>
      </c>
      <c r="AI439" s="1">
        <v>222289</v>
      </c>
      <c r="AJ439" s="1" t="s">
        <v>85</v>
      </c>
      <c r="AK439" s="1" t="str">
        <f t="shared" si="92"/>
        <v/>
      </c>
      <c r="AL439" t="b">
        <f t="shared" si="93"/>
        <v>0</v>
      </c>
      <c r="AM439" s="49" t="str">
        <f t="shared" si="94"/>
        <v>Q</v>
      </c>
      <c r="AP439" s="10" t="s">
        <v>97</v>
      </c>
      <c r="AS439" t="s">
        <v>2350</v>
      </c>
      <c r="AT439" s="6" t="s">
        <v>97</v>
      </c>
      <c r="AU439" s="6" t="str">
        <f t="shared" si="95"/>
        <v>The errors in accounting will be corrected. The accounting policy suggested will be followed. The financials will be recalculated based on the revised accounting policies and submitted.</v>
      </c>
      <c r="AV439" s="6" t="s">
        <v>96</v>
      </c>
      <c r="AW439" s="6" t="str">
        <f t="shared" si="96"/>
        <v>Change in accounting practice</v>
      </c>
    </row>
    <row r="440" spans="1:49" ht="195">
      <c r="A440" s="1">
        <v>222289</v>
      </c>
      <c r="B440" t="str">
        <f t="shared" si="84"/>
        <v>3B24FR89003-82</v>
      </c>
      <c r="C440" s="6" t="str">
        <f t="shared" si="85"/>
        <v>PHFE CDPH ELC 2019-2024</v>
      </c>
      <c r="D440" s="6" t="str">
        <f t="shared" si="86"/>
        <v>NEW ENGLAND COLLEGE OF OPTOMETRY</v>
      </c>
      <c r="E440">
        <f t="shared" si="87"/>
        <v>6890102</v>
      </c>
      <c r="F440" t="str">
        <f t="shared" si="88"/>
        <v>ACF</v>
      </c>
      <c r="G440" t="str">
        <f t="shared" si="89"/>
        <v>31-4234759</v>
      </c>
      <c r="H440">
        <f t="shared" ca="1" si="90"/>
        <v>2654232</v>
      </c>
      <c r="I440" t="str">
        <f t="shared" si="91"/>
        <v>Annual</v>
      </c>
      <c r="T440" s="53" t="s">
        <v>2342</v>
      </c>
      <c r="U440">
        <v>11143794</v>
      </c>
      <c r="V440" s="10" t="s">
        <v>477</v>
      </c>
      <c r="W440" s="10" t="s">
        <v>477</v>
      </c>
      <c r="Y440" s="1" t="s">
        <v>2351</v>
      </c>
      <c r="AI440" s="1">
        <v>222289</v>
      </c>
      <c r="AJ440" s="1" t="s">
        <v>85</v>
      </c>
      <c r="AK440" s="1" t="str">
        <f t="shared" si="92"/>
        <v/>
      </c>
      <c r="AL440" t="b">
        <f t="shared" si="93"/>
        <v>0</v>
      </c>
      <c r="AM440" s="49" t="str">
        <f t="shared" si="94"/>
        <v>Q</v>
      </c>
      <c r="AP440" s="10" t="s">
        <v>327</v>
      </c>
      <c r="AS440" t="s">
        <v>2350</v>
      </c>
      <c r="AT440" s="6" t="s">
        <v>327</v>
      </c>
      <c r="AU440" s="6" t="str">
        <f t="shared" si="95"/>
        <v>Cost rate will be followed. The revised rate will be applied from the last audit period and the expenditure recalculated and submitted.</v>
      </c>
      <c r="AV440" s="6" t="s">
        <v>104</v>
      </c>
      <c r="AW440" s="6" t="str">
        <f t="shared" si="96"/>
        <v>Cost rate Corrections</v>
      </c>
    </row>
    <row r="441" spans="1:49" ht="135">
      <c r="A441" s="1">
        <v>222289</v>
      </c>
      <c r="B441" t="str">
        <f t="shared" si="84"/>
        <v>3B24FR89003-82</v>
      </c>
      <c r="C441" s="6" t="str">
        <f t="shared" si="85"/>
        <v>PHFE CDPH ELC 2019-2024</v>
      </c>
      <c r="D441" s="6" t="str">
        <f t="shared" si="86"/>
        <v>NEW ENGLAND COLLEGE OF OPTOMETRY</v>
      </c>
      <c r="E441">
        <f t="shared" si="87"/>
        <v>6890102</v>
      </c>
      <c r="F441" t="str">
        <f t="shared" si="88"/>
        <v>ACF</v>
      </c>
      <c r="G441" t="str">
        <f t="shared" si="89"/>
        <v>31-4234759</v>
      </c>
      <c r="H441">
        <f t="shared" ca="1" si="90"/>
        <v>2654232</v>
      </c>
      <c r="I441" t="str">
        <f t="shared" si="91"/>
        <v>Annual</v>
      </c>
      <c r="T441" s="54" t="s">
        <v>2352</v>
      </c>
      <c r="U441">
        <v>11143794</v>
      </c>
      <c r="V441" s="10" t="s">
        <v>489</v>
      </c>
      <c r="W441" s="10" t="s">
        <v>489</v>
      </c>
      <c r="Y441" s="1" t="s">
        <v>2353</v>
      </c>
      <c r="AI441" s="1">
        <v>222289</v>
      </c>
      <c r="AJ441" s="1" t="s">
        <v>85</v>
      </c>
      <c r="AK441" s="1" t="str">
        <f t="shared" si="92"/>
        <v/>
      </c>
      <c r="AL441" t="b">
        <f t="shared" si="93"/>
        <v>0</v>
      </c>
      <c r="AM441" s="49" t="str">
        <f t="shared" si="94"/>
        <v>Q</v>
      </c>
      <c r="AP441" s="10"/>
      <c r="AS441" t="s">
        <v>2350</v>
      </c>
      <c r="AT441" s="6" t="s">
        <v>812</v>
      </c>
      <c r="AU441" s="6" t="str">
        <f t="shared" si="95"/>
        <v>The audit comments will be followed. The financials will be redrawn and resubmitted.</v>
      </c>
      <c r="AV441" s="6" t="s">
        <v>811</v>
      </c>
      <c r="AW441" s="6" t="str">
        <f t="shared" si="96"/>
        <v>Audit findings Adherance</v>
      </c>
    </row>
    <row r="442" spans="1:49" ht="180">
      <c r="A442" s="1">
        <v>222289</v>
      </c>
      <c r="B442" t="str">
        <f t="shared" si="84"/>
        <v>3B24FR89003-82</v>
      </c>
      <c r="C442" s="6" t="str">
        <f t="shared" si="85"/>
        <v>PHFE CDPH ELC 2019-2024</v>
      </c>
      <c r="D442" s="6" t="str">
        <f t="shared" si="86"/>
        <v>NEW ENGLAND COLLEGE OF OPTOMETRY</v>
      </c>
      <c r="E442">
        <f t="shared" si="87"/>
        <v>6890102</v>
      </c>
      <c r="F442" t="str">
        <f t="shared" si="88"/>
        <v>ACF</v>
      </c>
      <c r="G442" t="str">
        <f t="shared" si="89"/>
        <v>31-4234759</v>
      </c>
      <c r="H442">
        <f t="shared" ca="1" si="90"/>
        <v>2654232</v>
      </c>
      <c r="I442" t="str">
        <f t="shared" si="91"/>
        <v>Annual</v>
      </c>
      <c r="T442" s="66" t="s">
        <v>2354</v>
      </c>
      <c r="U442">
        <v>11143794</v>
      </c>
      <c r="V442" s="10" t="s">
        <v>498</v>
      </c>
      <c r="W442" s="10" t="s">
        <v>498</v>
      </c>
      <c r="Y442" s="1" t="s">
        <v>2355</v>
      </c>
      <c r="AI442" s="1">
        <v>222289</v>
      </c>
      <c r="AJ442" s="1" t="s">
        <v>85</v>
      </c>
      <c r="AK442" s="1" t="str">
        <f t="shared" si="92"/>
        <v/>
      </c>
      <c r="AL442" t="b">
        <f t="shared" si="93"/>
        <v>0</v>
      </c>
      <c r="AM442" s="49" t="str">
        <f t="shared" si="94"/>
        <v>Q</v>
      </c>
      <c r="AP442" s="10"/>
      <c r="AS442" t="s">
        <v>2350</v>
      </c>
      <c r="AT442" s="6" t="s">
        <v>812</v>
      </c>
      <c r="AU442" s="6" t="str">
        <f t="shared" si="95"/>
        <v>The audit comments will be followed. The financials will be redrawn and resubmitted.</v>
      </c>
      <c r="AV442" s="6" t="s">
        <v>811</v>
      </c>
      <c r="AW442" s="6" t="str">
        <f t="shared" si="96"/>
        <v>Audit findings Adherance</v>
      </c>
    </row>
    <row r="443" spans="1:49" ht="150">
      <c r="A443" s="1">
        <v>222293</v>
      </c>
      <c r="B443" t="str">
        <f t="shared" si="84"/>
        <v>7B32BR88279-41</v>
      </c>
      <c r="C443" s="6" t="str">
        <f t="shared" si="85"/>
        <v>LOS ANGELES COUNTY EPIDEMIOLOGY AND LABORATORY CAPACITY COOPERATIVE AGREEMENT 2019</v>
      </c>
      <c r="D443" s="6" t="str">
        <f t="shared" si="86"/>
        <v>NEW ENGLAND RESEARCH INSTITUTES, INC.</v>
      </c>
      <c r="E443">
        <f t="shared" si="87"/>
        <v>6890102</v>
      </c>
      <c r="F443" t="str">
        <f t="shared" si="88"/>
        <v>CDC</v>
      </c>
      <c r="G443" t="str">
        <f t="shared" si="89"/>
        <v>31-4234760</v>
      </c>
      <c r="H443">
        <f t="shared" ca="1" si="90"/>
        <v>2345212</v>
      </c>
      <c r="I443" t="str">
        <f t="shared" si="91"/>
        <v>Annual</v>
      </c>
      <c r="T443" s="54" t="s">
        <v>2356</v>
      </c>
      <c r="U443">
        <v>16954152</v>
      </c>
      <c r="V443" s="10" t="s">
        <v>506</v>
      </c>
      <c r="W443" s="10" t="s">
        <v>506</v>
      </c>
      <c r="Y443" s="1" t="s">
        <v>2357</v>
      </c>
      <c r="AI443" s="1">
        <v>222293</v>
      </c>
      <c r="AJ443" s="1" t="s">
        <v>119</v>
      </c>
      <c r="AK443" s="1" t="str">
        <f t="shared" si="92"/>
        <v/>
      </c>
      <c r="AL443" t="b">
        <f t="shared" si="93"/>
        <v>1</v>
      </c>
      <c r="AM443" s="49" t="str">
        <f t="shared" si="94"/>
        <v>Q</v>
      </c>
      <c r="AP443" s="10" t="s">
        <v>97</v>
      </c>
      <c r="AS443" t="s">
        <v>119</v>
      </c>
      <c r="AT443" s="6" t="s">
        <v>97</v>
      </c>
      <c r="AU443" s="6" t="str">
        <f t="shared" si="95"/>
        <v/>
      </c>
      <c r="AV443" s="6" t="s">
        <v>96</v>
      </c>
      <c r="AW443" s="6" t="str">
        <f t="shared" si="96"/>
        <v/>
      </c>
    </row>
    <row r="444" spans="1:49" ht="285">
      <c r="A444" s="1">
        <v>222293</v>
      </c>
      <c r="B444" t="str">
        <f t="shared" si="84"/>
        <v>7B32BR88279-41</v>
      </c>
      <c r="C444" s="6" t="str">
        <f t="shared" si="85"/>
        <v>LOS ANGELES COUNTY EPIDEMIOLOGY AND LABORATORY CAPACITY COOPERATIVE AGREEMENT 2019</v>
      </c>
      <c r="D444" s="6" t="str">
        <f t="shared" si="86"/>
        <v>NEW ENGLAND RESEARCH INSTITUTES, INC.</v>
      </c>
      <c r="E444">
        <f t="shared" si="87"/>
        <v>6890102</v>
      </c>
      <c r="F444" t="str">
        <f t="shared" si="88"/>
        <v>CDC</v>
      </c>
      <c r="G444" t="str">
        <f t="shared" si="89"/>
        <v>31-4234760</v>
      </c>
      <c r="H444">
        <f t="shared" ca="1" si="90"/>
        <v>2345212</v>
      </c>
      <c r="I444" t="str">
        <f t="shared" si="91"/>
        <v>Annual</v>
      </c>
      <c r="T444" s="54" t="s">
        <v>2287</v>
      </c>
      <c r="U444">
        <v>16954152</v>
      </c>
      <c r="V444" s="10" t="s">
        <v>515</v>
      </c>
      <c r="W444" s="10" t="s">
        <v>515</v>
      </c>
      <c r="Y444" s="1" t="s">
        <v>2358</v>
      </c>
      <c r="AI444" s="1">
        <v>222293</v>
      </c>
      <c r="AJ444" s="1" t="s">
        <v>119</v>
      </c>
      <c r="AK444" s="1" t="str">
        <f t="shared" si="92"/>
        <v/>
      </c>
      <c r="AL444" t="b">
        <f t="shared" si="93"/>
        <v>1</v>
      </c>
      <c r="AM444" s="49" t="str">
        <f t="shared" si="94"/>
        <v>Q</v>
      </c>
      <c r="AP444" s="10" t="s">
        <v>327</v>
      </c>
      <c r="AS444" t="s">
        <v>119</v>
      </c>
      <c r="AT444" s="6" t="s">
        <v>327</v>
      </c>
      <c r="AU444" s="6" t="str">
        <f t="shared" si="95"/>
        <v/>
      </c>
      <c r="AV444" s="6" t="s">
        <v>104</v>
      </c>
      <c r="AW444" s="6" t="str">
        <f t="shared" si="96"/>
        <v/>
      </c>
    </row>
    <row r="445" spans="1:49" ht="180">
      <c r="A445" s="1">
        <v>222293</v>
      </c>
      <c r="B445" t="str">
        <f t="shared" si="84"/>
        <v>7B32BR88279-41</v>
      </c>
      <c r="C445" s="6" t="str">
        <f t="shared" si="85"/>
        <v>LOS ANGELES COUNTY EPIDEMIOLOGY AND LABORATORY CAPACITY COOPERATIVE AGREEMENT 2019</v>
      </c>
      <c r="D445" s="6" t="str">
        <f t="shared" si="86"/>
        <v>NEW ENGLAND RESEARCH INSTITUTES, INC.</v>
      </c>
      <c r="E445">
        <f t="shared" si="87"/>
        <v>6890102</v>
      </c>
      <c r="F445" t="str">
        <f t="shared" si="88"/>
        <v>CDC</v>
      </c>
      <c r="G445" t="str">
        <f t="shared" si="89"/>
        <v>31-4234760</v>
      </c>
      <c r="H445">
        <f t="shared" ca="1" si="90"/>
        <v>2345212</v>
      </c>
      <c r="I445" t="str">
        <f t="shared" si="91"/>
        <v>Annual</v>
      </c>
      <c r="T445" s="54" t="s">
        <v>2359</v>
      </c>
      <c r="U445">
        <v>16954152</v>
      </c>
      <c r="V445" s="10" t="s">
        <v>524</v>
      </c>
      <c r="W445" s="10" t="s">
        <v>524</v>
      </c>
      <c r="Y445" s="1" t="s">
        <v>2360</v>
      </c>
      <c r="AI445" s="1">
        <v>222293</v>
      </c>
      <c r="AJ445" s="1" t="s">
        <v>119</v>
      </c>
      <c r="AK445" s="1" t="str">
        <f t="shared" si="92"/>
        <v/>
      </c>
      <c r="AL445" t="b">
        <f t="shared" si="93"/>
        <v>1</v>
      </c>
      <c r="AM445" s="49" t="str">
        <f t="shared" si="94"/>
        <v>Q</v>
      </c>
      <c r="AP445" s="10" t="s">
        <v>113</v>
      </c>
      <c r="AS445" t="s">
        <v>119</v>
      </c>
      <c r="AT445" s="6" t="s">
        <v>113</v>
      </c>
      <c r="AU445" s="6" t="str">
        <f t="shared" si="95"/>
        <v/>
      </c>
      <c r="AV445" s="6" t="s">
        <v>112</v>
      </c>
      <c r="AW445" s="6" t="str">
        <f t="shared" si="96"/>
        <v/>
      </c>
    </row>
    <row r="446" spans="1:49" ht="135">
      <c r="A446" s="1">
        <v>222444</v>
      </c>
      <c r="B446" t="str">
        <f t="shared" si="84"/>
        <v>6B36CR84098-87</v>
      </c>
      <c r="C446" s="6" t="str">
        <f t="shared" si="85"/>
        <v>CALIFORNIA EMERGING INFECTIONS PROGRAM 2019</v>
      </c>
      <c r="D446" s="6" t="str">
        <f t="shared" si="86"/>
        <v>NEW IRIDIUM</v>
      </c>
      <c r="E446">
        <f t="shared" si="87"/>
        <v>36751692</v>
      </c>
      <c r="F446" t="str">
        <f t="shared" si="88"/>
        <v>NIH</v>
      </c>
      <c r="G446" t="str">
        <f t="shared" si="89"/>
        <v>31-4234761</v>
      </c>
      <c r="H446">
        <f t="shared" ca="1" si="90"/>
        <v>2805789</v>
      </c>
      <c r="I446" t="str">
        <f t="shared" si="91"/>
        <v>Annual</v>
      </c>
      <c r="T446" s="65" t="s">
        <v>2361</v>
      </c>
      <c r="U446">
        <v>11002572</v>
      </c>
      <c r="V446" s="10" t="s">
        <v>531</v>
      </c>
      <c r="W446" s="10" t="s">
        <v>531</v>
      </c>
      <c r="Y446" s="1" t="s">
        <v>2362</v>
      </c>
      <c r="AI446" s="1">
        <v>222444</v>
      </c>
      <c r="AJ446" s="1" t="s">
        <v>119</v>
      </c>
      <c r="AK446" s="1" t="str">
        <f t="shared" si="92"/>
        <v/>
      </c>
      <c r="AL446" t="b">
        <f t="shared" si="93"/>
        <v>1</v>
      </c>
      <c r="AM446" s="49" t="str">
        <f t="shared" si="94"/>
        <v>Q</v>
      </c>
      <c r="AP446" s="10" t="s">
        <v>97</v>
      </c>
      <c r="AS446" t="s">
        <v>119</v>
      </c>
      <c r="AT446" s="6" t="s">
        <v>97</v>
      </c>
      <c r="AU446" s="6" t="str">
        <f t="shared" si="95"/>
        <v/>
      </c>
      <c r="AV446" s="6" t="s">
        <v>96</v>
      </c>
      <c r="AW446" s="6" t="str">
        <f t="shared" si="96"/>
        <v/>
      </c>
    </row>
    <row r="447" spans="1:49" ht="150">
      <c r="A447" s="1">
        <v>222444</v>
      </c>
      <c r="B447" t="str">
        <f t="shared" si="84"/>
        <v>6B36CR84098-87</v>
      </c>
      <c r="C447" s="6" t="str">
        <f t="shared" si="85"/>
        <v>CALIFORNIA EMERGING INFECTIONS PROGRAM 2019</v>
      </c>
      <c r="D447" s="6" t="str">
        <f t="shared" si="86"/>
        <v>NEW IRIDIUM</v>
      </c>
      <c r="E447">
        <f t="shared" si="87"/>
        <v>36751692</v>
      </c>
      <c r="F447" t="str">
        <f t="shared" si="88"/>
        <v>NIH</v>
      </c>
      <c r="G447" t="str">
        <f t="shared" si="89"/>
        <v>31-4234761</v>
      </c>
      <c r="H447">
        <f t="shared" ca="1" si="90"/>
        <v>2805789</v>
      </c>
      <c r="I447" t="str">
        <f t="shared" si="91"/>
        <v>Annual</v>
      </c>
      <c r="T447" s="61" t="s">
        <v>2363</v>
      </c>
      <c r="U447">
        <v>11002572</v>
      </c>
      <c r="V447" s="10" t="s">
        <v>546</v>
      </c>
      <c r="W447" s="10" t="s">
        <v>546</v>
      </c>
      <c r="Y447" s="1" t="s">
        <v>2364</v>
      </c>
      <c r="AI447" s="1">
        <v>222444</v>
      </c>
      <c r="AJ447" s="1" t="s">
        <v>119</v>
      </c>
      <c r="AK447" s="1" t="str">
        <f t="shared" si="92"/>
        <v/>
      </c>
      <c r="AL447" t="b">
        <f t="shared" si="93"/>
        <v>1</v>
      </c>
      <c r="AM447" s="49" t="str">
        <f t="shared" si="94"/>
        <v>Q</v>
      </c>
      <c r="AP447" s="10" t="s">
        <v>327</v>
      </c>
      <c r="AS447" t="s">
        <v>119</v>
      </c>
      <c r="AT447" s="6" t="s">
        <v>327</v>
      </c>
      <c r="AU447" s="6" t="str">
        <f t="shared" si="95"/>
        <v/>
      </c>
      <c r="AV447" s="6" t="s">
        <v>104</v>
      </c>
      <c r="AW447" s="6" t="str">
        <f t="shared" si="96"/>
        <v/>
      </c>
    </row>
    <row r="448" spans="1:49" ht="45">
      <c r="A448" s="1">
        <v>222444</v>
      </c>
      <c r="B448" t="str">
        <f t="shared" si="84"/>
        <v>6B36CR84098-87</v>
      </c>
      <c r="C448" s="6" t="str">
        <f t="shared" si="85"/>
        <v>CALIFORNIA EMERGING INFECTIONS PROGRAM 2019</v>
      </c>
      <c r="D448" s="6" t="str">
        <f t="shared" si="86"/>
        <v>NEW IRIDIUM</v>
      </c>
      <c r="E448">
        <f t="shared" si="87"/>
        <v>36751692</v>
      </c>
      <c r="F448" t="str">
        <f t="shared" si="88"/>
        <v>NIH</v>
      </c>
      <c r="G448" t="str">
        <f t="shared" si="89"/>
        <v>31-4234761</v>
      </c>
      <c r="H448">
        <f t="shared" ca="1" si="90"/>
        <v>2805789</v>
      </c>
      <c r="I448" t="str">
        <f t="shared" si="91"/>
        <v>Annual</v>
      </c>
      <c r="T448" s="66" t="s">
        <v>2296</v>
      </c>
      <c r="U448">
        <v>9016552</v>
      </c>
      <c r="V448" s="10" t="s">
        <v>561</v>
      </c>
      <c r="W448" s="10" t="s">
        <v>561</v>
      </c>
      <c r="Y448" s="1" t="s">
        <v>2365</v>
      </c>
      <c r="AI448" s="1">
        <v>222444</v>
      </c>
      <c r="AJ448" s="1" t="s">
        <v>119</v>
      </c>
      <c r="AK448" s="1" t="str">
        <f t="shared" si="92"/>
        <v/>
      </c>
      <c r="AL448" t="b">
        <f t="shared" si="93"/>
        <v>1</v>
      </c>
      <c r="AM448" s="49" t="str">
        <f t="shared" si="94"/>
        <v>Q</v>
      </c>
      <c r="AP448" s="10" t="s">
        <v>113</v>
      </c>
      <c r="AS448" t="s">
        <v>119</v>
      </c>
      <c r="AT448" s="6" t="s">
        <v>113</v>
      </c>
      <c r="AU448" s="6" t="str">
        <f t="shared" si="95"/>
        <v/>
      </c>
      <c r="AV448" s="6" t="s">
        <v>112</v>
      </c>
      <c r="AW448" s="6" t="str">
        <f t="shared" si="96"/>
        <v/>
      </c>
    </row>
    <row r="449" spans="1:49" ht="90">
      <c r="A449" s="1">
        <v>222492</v>
      </c>
      <c r="B449" t="str">
        <f t="shared" si="84"/>
        <v>5D23DT84096-89</v>
      </c>
      <c r="C449" s="6" t="str">
        <f t="shared" si="85"/>
        <v>PHFE CDPH ELC 2019-2024</v>
      </c>
      <c r="D449" s="6" t="str">
        <f t="shared" si="86"/>
        <v>NEW JERSEY CITY UNIVERSITY</v>
      </c>
      <c r="E449">
        <f t="shared" si="87"/>
        <v>36751692</v>
      </c>
      <c r="F449" t="str">
        <f t="shared" si="88"/>
        <v>FDA</v>
      </c>
      <c r="G449" t="str">
        <f t="shared" si="89"/>
        <v>31-4234762</v>
      </c>
      <c r="H449">
        <f t="shared" ca="1" si="90"/>
        <v>2369482</v>
      </c>
      <c r="I449" t="str">
        <f t="shared" si="91"/>
        <v>Annual</v>
      </c>
      <c r="T449" s="52" t="s">
        <v>2366</v>
      </c>
      <c r="U449">
        <v>9016552</v>
      </c>
      <c r="V449" s="10" t="s">
        <v>571</v>
      </c>
      <c r="W449" s="10" t="s">
        <v>571</v>
      </c>
      <c r="Y449" s="1" t="s">
        <v>2367</v>
      </c>
      <c r="AI449" s="1">
        <v>222492</v>
      </c>
      <c r="AJ449" s="1" t="s">
        <v>119</v>
      </c>
      <c r="AK449" s="1" t="str">
        <f t="shared" si="92"/>
        <v/>
      </c>
      <c r="AL449" t="b">
        <f t="shared" si="93"/>
        <v>1</v>
      </c>
      <c r="AM449" s="49" t="str">
        <f t="shared" si="94"/>
        <v>Q</v>
      </c>
      <c r="AP449" s="10" t="s">
        <v>97</v>
      </c>
      <c r="AS449" t="s">
        <v>119</v>
      </c>
      <c r="AT449" s="6" t="s">
        <v>97</v>
      </c>
      <c r="AU449" s="6" t="str">
        <f t="shared" si="95"/>
        <v/>
      </c>
      <c r="AV449" s="6" t="s">
        <v>96</v>
      </c>
      <c r="AW449" s="6" t="str">
        <f t="shared" si="96"/>
        <v/>
      </c>
    </row>
    <row r="450" spans="1:49" ht="90">
      <c r="A450" s="1">
        <v>222492</v>
      </c>
      <c r="B450" t="str">
        <f t="shared" si="84"/>
        <v>5D23DT84096-89</v>
      </c>
      <c r="C450" s="6" t="str">
        <f t="shared" si="85"/>
        <v>PHFE CDPH ELC 2019-2024</v>
      </c>
      <c r="D450" s="6" t="str">
        <f t="shared" si="86"/>
        <v>NEW JERSEY CITY UNIVERSITY</v>
      </c>
      <c r="E450">
        <f t="shared" si="87"/>
        <v>36751692</v>
      </c>
      <c r="F450" t="str">
        <f t="shared" si="88"/>
        <v>FDA</v>
      </c>
      <c r="G450" t="str">
        <f t="shared" si="89"/>
        <v>31-4234762</v>
      </c>
      <c r="H450">
        <f t="shared" ca="1" si="90"/>
        <v>2369482</v>
      </c>
      <c r="I450" t="str">
        <f t="shared" si="91"/>
        <v>Annual</v>
      </c>
      <c r="T450" s="54" t="s">
        <v>2368</v>
      </c>
      <c r="U450">
        <v>9016552</v>
      </c>
      <c r="V450" s="10" t="s">
        <v>581</v>
      </c>
      <c r="W450" s="10" t="s">
        <v>581</v>
      </c>
      <c r="Y450" s="1" t="s">
        <v>2369</v>
      </c>
      <c r="AI450" s="1">
        <v>222492</v>
      </c>
      <c r="AJ450" s="1" t="s">
        <v>119</v>
      </c>
      <c r="AK450" s="1" t="str">
        <f t="shared" si="92"/>
        <v/>
      </c>
      <c r="AL450" t="b">
        <f t="shared" si="93"/>
        <v>1</v>
      </c>
      <c r="AM450" s="49" t="str">
        <f t="shared" si="94"/>
        <v>Q</v>
      </c>
      <c r="AP450" s="10" t="s">
        <v>327</v>
      </c>
      <c r="AS450" t="s">
        <v>119</v>
      </c>
      <c r="AT450" s="6" t="s">
        <v>327</v>
      </c>
      <c r="AU450" s="6" t="str">
        <f t="shared" si="95"/>
        <v/>
      </c>
      <c r="AV450" s="6" t="s">
        <v>104</v>
      </c>
      <c r="AW450" s="6" t="str">
        <f t="shared" si="96"/>
        <v/>
      </c>
    </row>
    <row r="451" spans="1:49" ht="90">
      <c r="A451" s="1">
        <v>222640</v>
      </c>
      <c r="B451" t="str">
        <f t="shared" ref="B451:B514" si="97">VLOOKUP(A451,$N$2:$Q$206,4,FALSE)</f>
        <v>9D94DT83584-84</v>
      </c>
      <c r="C451" s="6" t="str">
        <f t="shared" ref="C451:C514" si="98">VLOOKUP(A451,$N$2:$T$206,7,FALSE)</f>
        <v>PACIFIC SOUTHWEST REGIONAL CENTER OF
EXCELLENCE FOR VECTOR-BORNE DISEASE RESEARCH AT THE UNIVERSITY OF CALIFORNIA</v>
      </c>
      <c r="D451" s="6" t="str">
        <f t="shared" ref="D451:D514" si="99">VLOOKUP(A451,$N$2:$W$206,10,FALSE)</f>
        <v>NEW JERSEY INSTITUTE OF TECHNOLOGY</v>
      </c>
      <c r="E451">
        <f t="shared" ref="E451:E514" si="100">VLOOKUP(A451,$N$2:$U$206,8,FALSE)</f>
        <v>36751692</v>
      </c>
      <c r="F451" t="str">
        <f t="shared" ref="F451:F514" si="101">VLOOKUP(A451,$N$2:$X$206,11,FALSE)</f>
        <v>ACF</v>
      </c>
      <c r="G451" t="str">
        <f t="shared" ref="G451:G514" si="102">VLOOKUP(A451,$N$2:$Y$206,12,FALSE)</f>
        <v>31-4234763</v>
      </c>
      <c r="H451">
        <f t="shared" ref="H451:H514" ca="1" si="103">VLOOKUP(A451,$N$2:$AA$206,14,FALSE)</f>
        <v>2443096</v>
      </c>
      <c r="I451" t="str">
        <f t="shared" ref="I451:I514" si="104">VLOOKUP(A451,$N$2:$AB$206,15,FALSE)</f>
        <v>Annual</v>
      </c>
      <c r="T451" s="53" t="s">
        <v>2370</v>
      </c>
      <c r="U451">
        <v>31849288</v>
      </c>
      <c r="V451" s="10" t="s">
        <v>593</v>
      </c>
      <c r="W451" s="10" t="s">
        <v>593</v>
      </c>
      <c r="Y451" s="1" t="s">
        <v>2371</v>
      </c>
      <c r="AI451" s="1">
        <v>222640</v>
      </c>
      <c r="AJ451" s="1" t="s">
        <v>119</v>
      </c>
      <c r="AK451" s="1" t="str">
        <f t="shared" ref="AK451:AK514" si="105">IF(ISNUMBER(SEARCH("C",AJ451)),"Y","")</f>
        <v/>
      </c>
      <c r="AL451" t="b">
        <f t="shared" ref="AL451:AL514" si="106">OR(LEN(AJ451)=0, ISBLANK(AJ451))</f>
        <v>1</v>
      </c>
      <c r="AM451" s="49" t="str">
        <f t="shared" ref="AM451:AM514" si="107">IF(ISNUMBER(SEARCH("C",AJ451)),"A",IF(ISNUMBER(SEARCH("B",AJ451)),"Q",IF(ISNUMBER(SEARCH("FALSE",AL451)),"Q","Q")))</f>
        <v>Q</v>
      </c>
      <c r="AP451" s="10" t="s">
        <v>97</v>
      </c>
      <c r="AS451" t="s">
        <v>119</v>
      </c>
      <c r="AT451" s="6" t="s">
        <v>97</v>
      </c>
      <c r="AU451" s="6" t="str">
        <f t="shared" ref="AU451:AU514" si="108">IF(LEN(AS451)&gt;0, AT451,"")</f>
        <v/>
      </c>
      <c r="AV451" s="6" t="s">
        <v>96</v>
      </c>
      <c r="AW451" s="6" t="str">
        <f t="shared" ref="AW451:AW514" si="109">IF(LEN(AS451)&gt;0, AV451,"")</f>
        <v/>
      </c>
    </row>
    <row r="452" spans="1:49" ht="90">
      <c r="A452" s="1">
        <v>222640</v>
      </c>
      <c r="B452" t="str">
        <f t="shared" si="97"/>
        <v>9D94DT83584-84</v>
      </c>
      <c r="C452" s="6" t="str">
        <f t="shared" si="98"/>
        <v>PACIFIC SOUTHWEST REGIONAL CENTER OF
EXCELLENCE FOR VECTOR-BORNE DISEASE RESEARCH AT THE UNIVERSITY OF CALIFORNIA</v>
      </c>
      <c r="D452" s="6" t="str">
        <f t="shared" si="99"/>
        <v>NEW JERSEY INSTITUTE OF TECHNOLOGY</v>
      </c>
      <c r="E452">
        <f t="shared" si="100"/>
        <v>36751692</v>
      </c>
      <c r="F452" t="str">
        <f t="shared" si="101"/>
        <v>ACF</v>
      </c>
      <c r="G452" t="str">
        <f t="shared" si="102"/>
        <v>31-4234763</v>
      </c>
      <c r="H452">
        <f t="shared" ca="1" si="103"/>
        <v>2443096</v>
      </c>
      <c r="I452" t="str">
        <f t="shared" si="104"/>
        <v>Annual</v>
      </c>
      <c r="T452" s="54" t="s">
        <v>1951</v>
      </c>
      <c r="U452">
        <v>31849288</v>
      </c>
      <c r="V452" s="10" t="s">
        <v>601</v>
      </c>
      <c r="W452" s="10" t="s">
        <v>601</v>
      </c>
      <c r="Y452" s="1" t="s">
        <v>2372</v>
      </c>
      <c r="AI452" s="1">
        <v>222640</v>
      </c>
      <c r="AJ452" s="1" t="s">
        <v>119</v>
      </c>
      <c r="AK452" s="1" t="str">
        <f t="shared" si="105"/>
        <v/>
      </c>
      <c r="AL452" t="b">
        <f t="shared" si="106"/>
        <v>1</v>
      </c>
      <c r="AM452" s="49" t="str">
        <f t="shared" si="107"/>
        <v>Q</v>
      </c>
      <c r="AP452" s="10" t="s">
        <v>327</v>
      </c>
      <c r="AS452" t="s">
        <v>119</v>
      </c>
      <c r="AT452" s="6" t="s">
        <v>327</v>
      </c>
      <c r="AU452" s="6" t="str">
        <f t="shared" si="108"/>
        <v/>
      </c>
      <c r="AV452" s="6" t="s">
        <v>104</v>
      </c>
      <c r="AW452" s="6" t="str">
        <f t="shared" si="109"/>
        <v/>
      </c>
    </row>
    <row r="453" spans="1:49" ht="90">
      <c r="A453" s="1">
        <v>222640</v>
      </c>
      <c r="B453" t="str">
        <f t="shared" si="97"/>
        <v>9D94DT83584-84</v>
      </c>
      <c r="C453" s="6" t="str">
        <f t="shared" si="98"/>
        <v>PACIFIC SOUTHWEST REGIONAL CENTER OF
EXCELLENCE FOR VECTOR-BORNE DISEASE RESEARCH AT THE UNIVERSITY OF CALIFORNIA</v>
      </c>
      <c r="D453" s="6" t="str">
        <f t="shared" si="99"/>
        <v>NEW JERSEY INSTITUTE OF TECHNOLOGY</v>
      </c>
      <c r="E453">
        <f t="shared" si="100"/>
        <v>36751692</v>
      </c>
      <c r="F453" t="str">
        <f t="shared" si="101"/>
        <v>ACF</v>
      </c>
      <c r="G453" t="str">
        <f t="shared" si="102"/>
        <v>31-4234763</v>
      </c>
      <c r="H453">
        <f t="shared" ca="1" si="103"/>
        <v>2443096</v>
      </c>
      <c r="I453" t="str">
        <f t="shared" si="104"/>
        <v>Annual</v>
      </c>
      <c r="T453" s="84" t="s">
        <v>2373</v>
      </c>
      <c r="U453">
        <v>31849288</v>
      </c>
      <c r="V453" s="10" t="s">
        <v>609</v>
      </c>
      <c r="W453" s="10" t="s">
        <v>609</v>
      </c>
      <c r="Y453" s="1" t="s">
        <v>2374</v>
      </c>
      <c r="AI453" s="1">
        <v>222640</v>
      </c>
      <c r="AJ453" s="1" t="s">
        <v>119</v>
      </c>
      <c r="AK453" s="1" t="str">
        <f t="shared" si="105"/>
        <v/>
      </c>
      <c r="AL453" t="b">
        <f t="shared" si="106"/>
        <v>1</v>
      </c>
      <c r="AM453" s="49" t="str">
        <f t="shared" si="107"/>
        <v>Q</v>
      </c>
      <c r="AP453" s="10" t="s">
        <v>113</v>
      </c>
      <c r="AS453" t="s">
        <v>119</v>
      </c>
      <c r="AT453" s="6" t="s">
        <v>113</v>
      </c>
      <c r="AU453" s="6" t="str">
        <f t="shared" si="108"/>
        <v/>
      </c>
      <c r="AV453" s="6" t="s">
        <v>112</v>
      </c>
      <c r="AW453" s="6" t="str">
        <f t="shared" si="109"/>
        <v/>
      </c>
    </row>
    <row r="454" spans="1:49" ht="90">
      <c r="A454" s="1">
        <v>222650</v>
      </c>
      <c r="B454" t="str">
        <f t="shared" si="97"/>
        <v>4D43IT87111-53</v>
      </c>
      <c r="C454" s="6" t="str">
        <f t="shared" si="98"/>
        <v>BEHAVIORAL RISK FACTOR SURVEILLANCE SYSTEM (BRFSS) FOR CALIFORNIA</v>
      </c>
      <c r="D454" s="6" t="str">
        <f t="shared" si="99"/>
        <v>NEW MEXICO CONSORTIUM, INC.</v>
      </c>
      <c r="E454">
        <f t="shared" si="100"/>
        <v>31785143</v>
      </c>
      <c r="F454" t="str">
        <f t="shared" si="101"/>
        <v>CDC</v>
      </c>
      <c r="G454" t="str">
        <f t="shared" si="102"/>
        <v>31-4234764</v>
      </c>
      <c r="H454">
        <f t="shared" ca="1" si="103"/>
        <v>2013872</v>
      </c>
      <c r="I454" t="str">
        <f t="shared" si="104"/>
        <v>Annual</v>
      </c>
      <c r="T454" s="54" t="s">
        <v>2375</v>
      </c>
      <c r="U454">
        <v>9088460</v>
      </c>
      <c r="V454" s="10" t="s">
        <v>616</v>
      </c>
      <c r="W454" s="10" t="s">
        <v>616</v>
      </c>
      <c r="Y454" s="1" t="s">
        <v>2376</v>
      </c>
      <c r="AI454" s="1">
        <v>222650</v>
      </c>
      <c r="AJ454" s="1" t="s">
        <v>119</v>
      </c>
      <c r="AK454" s="1" t="str">
        <f t="shared" si="105"/>
        <v/>
      </c>
      <c r="AL454" t="b">
        <f t="shared" si="106"/>
        <v>1</v>
      </c>
      <c r="AM454" s="49" t="str">
        <f t="shared" si="107"/>
        <v>Q</v>
      </c>
      <c r="AP454" s="10" t="s">
        <v>97</v>
      </c>
      <c r="AS454" t="s">
        <v>119</v>
      </c>
      <c r="AT454" s="6" t="s">
        <v>97</v>
      </c>
      <c r="AU454" s="6" t="str">
        <f t="shared" si="108"/>
        <v/>
      </c>
      <c r="AV454" s="6" t="s">
        <v>96</v>
      </c>
      <c r="AW454" s="6" t="str">
        <f t="shared" si="109"/>
        <v/>
      </c>
    </row>
    <row r="455" spans="1:49" ht="75">
      <c r="A455" s="1">
        <v>222650</v>
      </c>
      <c r="B455" t="str">
        <f t="shared" si="97"/>
        <v>4D43IT87111-53</v>
      </c>
      <c r="C455" s="6" t="str">
        <f t="shared" si="98"/>
        <v>BEHAVIORAL RISK FACTOR SURVEILLANCE SYSTEM (BRFSS) FOR CALIFORNIA</v>
      </c>
      <c r="D455" s="6" t="str">
        <f t="shared" si="99"/>
        <v>NEW MEXICO CONSORTIUM, INC.</v>
      </c>
      <c r="E455">
        <f t="shared" si="100"/>
        <v>31785143</v>
      </c>
      <c r="F455" t="str">
        <f t="shared" si="101"/>
        <v>CDC</v>
      </c>
      <c r="G455" t="str">
        <f t="shared" si="102"/>
        <v>31-4234764</v>
      </c>
      <c r="H455">
        <f t="shared" ca="1" si="103"/>
        <v>2013872</v>
      </c>
      <c r="I455" t="str">
        <f t="shared" si="104"/>
        <v>Annual</v>
      </c>
      <c r="T455" s="54" t="s">
        <v>2377</v>
      </c>
      <c r="U455">
        <v>9088460</v>
      </c>
      <c r="V455" s="10" t="s">
        <v>624</v>
      </c>
      <c r="W455" s="10" t="s">
        <v>624</v>
      </c>
      <c r="Y455" s="1" t="s">
        <v>2378</v>
      </c>
      <c r="AI455" s="1">
        <v>222650</v>
      </c>
      <c r="AJ455" s="1" t="s">
        <v>119</v>
      </c>
      <c r="AK455" s="1" t="str">
        <f t="shared" si="105"/>
        <v/>
      </c>
      <c r="AL455" t="b">
        <f t="shared" si="106"/>
        <v>1</v>
      </c>
      <c r="AM455" s="49" t="str">
        <f t="shared" si="107"/>
        <v>Q</v>
      </c>
      <c r="AP455" s="10" t="s">
        <v>327</v>
      </c>
      <c r="AS455" t="s">
        <v>119</v>
      </c>
      <c r="AT455" s="6" t="s">
        <v>327</v>
      </c>
      <c r="AU455" s="6" t="str">
        <f t="shared" si="108"/>
        <v/>
      </c>
      <c r="AV455" s="6" t="s">
        <v>104</v>
      </c>
      <c r="AW455" s="6" t="str">
        <f t="shared" si="109"/>
        <v/>
      </c>
    </row>
    <row r="456" spans="1:49" ht="165">
      <c r="A456" s="1">
        <v>224763</v>
      </c>
      <c r="B456" t="str">
        <f t="shared" si="97"/>
        <v>6D64ET89010-11</v>
      </c>
      <c r="C456" s="6" t="str">
        <f t="shared" si="98"/>
        <v>EXPANDING REACH, QUALITY, AND EFFECTIVENESS OF ASTHMA CONTROL SERVICES
IN CALIFORNIA'S HIGH BURDEN AREAS.</v>
      </c>
      <c r="D456" s="6" t="str">
        <f t="shared" si="99"/>
        <v>NEW MEXICO STATE UNIVERSITY LAS CRUCES</v>
      </c>
      <c r="E456">
        <f t="shared" si="100"/>
        <v>31785143</v>
      </c>
      <c r="F456" t="str">
        <f t="shared" si="101"/>
        <v>NIH</v>
      </c>
      <c r="G456" t="str">
        <f t="shared" si="102"/>
        <v>31-4234765</v>
      </c>
      <c r="H456">
        <f t="shared" ca="1" si="103"/>
        <v>2995376</v>
      </c>
      <c r="I456" t="str">
        <f t="shared" si="104"/>
        <v>Annual</v>
      </c>
      <c r="T456" s="57" t="s">
        <v>1962</v>
      </c>
      <c r="U456">
        <v>9088460</v>
      </c>
      <c r="V456" s="10" t="s">
        <v>632</v>
      </c>
      <c r="W456" s="10" t="s">
        <v>632</v>
      </c>
      <c r="Y456" s="1" t="s">
        <v>2379</v>
      </c>
      <c r="AI456" s="1">
        <v>224763</v>
      </c>
      <c r="AJ456" s="1" t="s">
        <v>85</v>
      </c>
      <c r="AK456" s="1" t="str">
        <f t="shared" si="105"/>
        <v/>
      </c>
      <c r="AL456" t="b">
        <f t="shared" si="106"/>
        <v>0</v>
      </c>
      <c r="AM456" s="49" t="str">
        <f t="shared" si="107"/>
        <v>Q</v>
      </c>
      <c r="AP456" s="10" t="s">
        <v>97</v>
      </c>
      <c r="AS456" t="s">
        <v>2350</v>
      </c>
      <c r="AT456" s="6" t="s">
        <v>97</v>
      </c>
      <c r="AU456" s="6" t="str">
        <f t="shared" si="108"/>
        <v>The errors in accounting will be corrected. The accounting policy suggested will be followed. The financials will be recalculated based on the revised accounting policies and submitted.</v>
      </c>
      <c r="AV456" s="6" t="s">
        <v>96</v>
      </c>
      <c r="AW456" s="6" t="str">
        <f t="shared" si="109"/>
        <v>Change in accounting practice</v>
      </c>
    </row>
    <row r="457" spans="1:49" ht="135">
      <c r="A457" s="1">
        <v>224763</v>
      </c>
      <c r="B457" t="str">
        <f t="shared" si="97"/>
        <v>6D64ET89010-11</v>
      </c>
      <c r="C457" s="6" t="str">
        <f t="shared" si="98"/>
        <v>EXPANDING REACH, QUALITY, AND EFFECTIVENESS OF ASTHMA CONTROL SERVICES
IN CALIFORNIA'S HIGH BURDEN AREAS.</v>
      </c>
      <c r="D457" s="6" t="str">
        <f t="shared" si="99"/>
        <v>NEW MEXICO STATE UNIVERSITY LAS CRUCES</v>
      </c>
      <c r="E457">
        <f t="shared" si="100"/>
        <v>31785143</v>
      </c>
      <c r="F457" t="str">
        <f t="shared" si="101"/>
        <v>NIH</v>
      </c>
      <c r="G457" t="str">
        <f t="shared" si="102"/>
        <v>31-4234765</v>
      </c>
      <c r="H457">
        <f t="shared" ca="1" si="103"/>
        <v>2995376</v>
      </c>
      <c r="I457" t="str">
        <f t="shared" si="104"/>
        <v>Annual</v>
      </c>
      <c r="T457" s="54" t="s">
        <v>1949</v>
      </c>
      <c r="U457">
        <v>21560333</v>
      </c>
      <c r="V457" s="10" t="s">
        <v>642</v>
      </c>
      <c r="W457" s="10" t="s">
        <v>642</v>
      </c>
      <c r="Y457" s="1" t="s">
        <v>2380</v>
      </c>
      <c r="AI457" s="1">
        <v>224763</v>
      </c>
      <c r="AJ457" s="1" t="s">
        <v>85</v>
      </c>
      <c r="AK457" s="1" t="str">
        <f t="shared" si="105"/>
        <v/>
      </c>
      <c r="AL457" t="b">
        <f t="shared" si="106"/>
        <v>0</v>
      </c>
      <c r="AM457" s="49" t="str">
        <f t="shared" si="107"/>
        <v>Q</v>
      </c>
      <c r="AP457" s="10" t="s">
        <v>327</v>
      </c>
      <c r="AS457" t="s">
        <v>2350</v>
      </c>
      <c r="AT457" s="6" t="s">
        <v>327</v>
      </c>
      <c r="AU457" s="6" t="str">
        <f t="shared" si="108"/>
        <v>Cost rate will be followed. The revised rate will be applied from the last audit period and the expenditure recalculated and submitted.</v>
      </c>
      <c r="AV457" s="6" t="s">
        <v>104</v>
      </c>
      <c r="AW457" s="6" t="str">
        <f t="shared" si="109"/>
        <v>Cost rate Corrections</v>
      </c>
    </row>
    <row r="458" spans="1:49" ht="90">
      <c r="A458" s="1">
        <v>224763</v>
      </c>
      <c r="B458" t="str">
        <f t="shared" si="97"/>
        <v>6D64ET89010-11</v>
      </c>
      <c r="C458" s="6" t="str">
        <f t="shared" si="98"/>
        <v>EXPANDING REACH, QUALITY, AND EFFECTIVENESS OF ASTHMA CONTROL SERVICES
IN CALIFORNIA'S HIGH BURDEN AREAS.</v>
      </c>
      <c r="D458" s="6" t="str">
        <f t="shared" si="99"/>
        <v>NEW MEXICO STATE UNIVERSITY LAS CRUCES</v>
      </c>
      <c r="E458">
        <f t="shared" si="100"/>
        <v>31785143</v>
      </c>
      <c r="F458" t="str">
        <f t="shared" si="101"/>
        <v>NIH</v>
      </c>
      <c r="G458" t="str">
        <f t="shared" si="102"/>
        <v>31-4234765</v>
      </c>
      <c r="H458">
        <f t="shared" ca="1" si="103"/>
        <v>2995376</v>
      </c>
      <c r="I458" t="str">
        <f t="shared" si="104"/>
        <v>Annual</v>
      </c>
      <c r="T458" s="50" t="s">
        <v>2381</v>
      </c>
      <c r="U458">
        <v>21560333</v>
      </c>
      <c r="V458" s="10" t="s">
        <v>649</v>
      </c>
      <c r="W458" s="10" t="s">
        <v>649</v>
      </c>
      <c r="Y458" s="1" t="s">
        <v>2382</v>
      </c>
      <c r="AI458" s="1">
        <v>224763</v>
      </c>
      <c r="AJ458" s="1" t="s">
        <v>85</v>
      </c>
      <c r="AK458" s="1" t="str">
        <f t="shared" si="105"/>
        <v/>
      </c>
      <c r="AL458" t="b">
        <f t="shared" si="106"/>
        <v>0</v>
      </c>
      <c r="AM458" s="49" t="str">
        <f t="shared" si="107"/>
        <v>Q</v>
      </c>
      <c r="AP458" s="10"/>
      <c r="AS458" t="s">
        <v>2350</v>
      </c>
      <c r="AT458" s="6" t="s">
        <v>812</v>
      </c>
      <c r="AU458" s="6" t="str">
        <f t="shared" si="108"/>
        <v>The audit comments will be followed. The financials will be redrawn and resubmitted.</v>
      </c>
      <c r="AV458" s="6" t="s">
        <v>811</v>
      </c>
      <c r="AW458" s="6" t="str">
        <f t="shared" si="109"/>
        <v>Audit findings Adherance</v>
      </c>
    </row>
    <row r="459" spans="1:49" ht="90">
      <c r="A459" s="1">
        <v>224763</v>
      </c>
      <c r="B459" t="str">
        <f t="shared" si="97"/>
        <v>6D64ET89010-11</v>
      </c>
      <c r="C459" s="6" t="str">
        <f t="shared" si="98"/>
        <v>EXPANDING REACH, QUALITY, AND EFFECTIVENESS OF ASTHMA CONTROL SERVICES
IN CALIFORNIA'S HIGH BURDEN AREAS.</v>
      </c>
      <c r="D459" s="6" t="str">
        <f t="shared" si="99"/>
        <v>NEW MEXICO STATE UNIVERSITY LAS CRUCES</v>
      </c>
      <c r="E459">
        <f t="shared" si="100"/>
        <v>31785143</v>
      </c>
      <c r="F459" t="str">
        <f t="shared" si="101"/>
        <v>NIH</v>
      </c>
      <c r="G459" t="str">
        <f t="shared" si="102"/>
        <v>31-4234765</v>
      </c>
      <c r="H459">
        <f t="shared" ca="1" si="103"/>
        <v>2995376</v>
      </c>
      <c r="I459" t="str">
        <f t="shared" si="104"/>
        <v>Annual</v>
      </c>
      <c r="T459" s="57" t="s">
        <v>1962</v>
      </c>
      <c r="U459">
        <v>21560333</v>
      </c>
      <c r="V459" s="10" t="s">
        <v>656</v>
      </c>
      <c r="W459" s="10" t="s">
        <v>656</v>
      </c>
      <c r="Y459" s="1" t="s">
        <v>2383</v>
      </c>
      <c r="AI459" s="1">
        <v>224763</v>
      </c>
      <c r="AJ459" s="1" t="s">
        <v>85</v>
      </c>
      <c r="AK459" s="1" t="str">
        <f t="shared" si="105"/>
        <v/>
      </c>
      <c r="AL459" t="b">
        <f t="shared" si="106"/>
        <v>0</v>
      </c>
      <c r="AM459" s="49" t="str">
        <f t="shared" si="107"/>
        <v>Q</v>
      </c>
      <c r="AP459" s="10"/>
      <c r="AS459" t="s">
        <v>2350</v>
      </c>
      <c r="AT459" s="6" t="s">
        <v>812</v>
      </c>
      <c r="AU459" s="6" t="str">
        <f t="shared" si="108"/>
        <v>The audit comments will be followed. The financials will be redrawn and resubmitted.</v>
      </c>
      <c r="AV459" s="6" t="s">
        <v>811</v>
      </c>
      <c r="AW459" s="6" t="str">
        <f t="shared" si="109"/>
        <v>Audit findings Adherance</v>
      </c>
    </row>
    <row r="460" spans="1:49" ht="90">
      <c r="A460" s="1">
        <v>224786</v>
      </c>
      <c r="B460" t="str">
        <f t="shared" si="97"/>
        <v>5D82BT88267-47</v>
      </c>
      <c r="C460" s="6" t="str">
        <f t="shared" si="98"/>
        <v>REDUCING CHILDHOOD LEAD EXPOSURES WITHIN VULNERABLE COMMUNITIES LIVING IN HIGH-RISK
AREAS OF THE CITY OF LOS ANGELES</v>
      </c>
      <c r="D460" s="6" t="str">
        <f t="shared" si="99"/>
        <v>NEWHAPTICS CORP.</v>
      </c>
      <c r="E460">
        <f t="shared" si="100"/>
        <v>31785143</v>
      </c>
      <c r="F460" t="str">
        <f t="shared" si="101"/>
        <v>FDA</v>
      </c>
      <c r="G460" t="str">
        <f t="shared" si="102"/>
        <v>31-4234766</v>
      </c>
      <c r="H460">
        <f t="shared" ca="1" si="103"/>
        <v>2475731</v>
      </c>
      <c r="I460" t="str">
        <f t="shared" si="104"/>
        <v>Annual</v>
      </c>
      <c r="T460" s="52" t="s">
        <v>2384</v>
      </c>
      <c r="U460">
        <v>28261763</v>
      </c>
      <c r="V460" s="10" t="s">
        <v>663</v>
      </c>
      <c r="W460" s="10" t="s">
        <v>663</v>
      </c>
      <c r="Y460" s="1" t="s">
        <v>2385</v>
      </c>
      <c r="AI460" s="1">
        <v>224786</v>
      </c>
      <c r="AJ460" s="1" t="s">
        <v>119</v>
      </c>
      <c r="AK460" s="1" t="str">
        <f t="shared" si="105"/>
        <v/>
      </c>
      <c r="AL460" t="b">
        <f t="shared" si="106"/>
        <v>1</v>
      </c>
      <c r="AM460" s="49" t="str">
        <f t="shared" si="107"/>
        <v>Q</v>
      </c>
      <c r="AP460" s="10" t="s">
        <v>97</v>
      </c>
      <c r="AS460" t="s">
        <v>119</v>
      </c>
      <c r="AT460" s="6" t="s">
        <v>97</v>
      </c>
      <c r="AU460" s="6" t="str">
        <f t="shared" si="108"/>
        <v/>
      </c>
      <c r="AV460" s="6" t="s">
        <v>96</v>
      </c>
      <c r="AW460" s="6" t="str">
        <f t="shared" si="109"/>
        <v/>
      </c>
    </row>
    <row r="461" spans="1:49" ht="90">
      <c r="A461" s="1">
        <v>224786</v>
      </c>
      <c r="B461" t="str">
        <f t="shared" si="97"/>
        <v>5D82BT88267-47</v>
      </c>
      <c r="C461" s="6" t="str">
        <f t="shared" si="98"/>
        <v>REDUCING CHILDHOOD LEAD EXPOSURES WITHIN VULNERABLE COMMUNITIES LIVING IN HIGH-RISK
AREAS OF THE CITY OF LOS ANGELES</v>
      </c>
      <c r="D461" s="6" t="str">
        <f t="shared" si="99"/>
        <v>NEWHAPTICS CORP.</v>
      </c>
      <c r="E461">
        <f t="shared" si="100"/>
        <v>31785143</v>
      </c>
      <c r="F461" t="str">
        <f t="shared" si="101"/>
        <v>FDA</v>
      </c>
      <c r="G461" t="str">
        <f t="shared" si="102"/>
        <v>31-4234766</v>
      </c>
      <c r="H461">
        <f t="shared" ca="1" si="103"/>
        <v>2475731</v>
      </c>
      <c r="I461" t="str">
        <f t="shared" si="104"/>
        <v>Annual</v>
      </c>
      <c r="T461" s="54" t="s">
        <v>2386</v>
      </c>
      <c r="U461">
        <v>28261763</v>
      </c>
      <c r="V461" s="10" t="s">
        <v>678</v>
      </c>
      <c r="W461" s="10" t="s">
        <v>678</v>
      </c>
      <c r="Y461" s="1" t="s">
        <v>2387</v>
      </c>
      <c r="AI461" s="1">
        <v>224786</v>
      </c>
      <c r="AJ461" s="1" t="s">
        <v>119</v>
      </c>
      <c r="AK461" s="1" t="str">
        <f t="shared" si="105"/>
        <v/>
      </c>
      <c r="AL461" t="b">
        <f t="shared" si="106"/>
        <v>1</v>
      </c>
      <c r="AM461" s="49" t="str">
        <f t="shared" si="107"/>
        <v>Q</v>
      </c>
      <c r="AP461" s="10" t="s">
        <v>327</v>
      </c>
      <c r="AS461" t="s">
        <v>119</v>
      </c>
      <c r="AT461" s="6" t="s">
        <v>327</v>
      </c>
      <c r="AU461" s="6" t="str">
        <f t="shared" si="108"/>
        <v/>
      </c>
      <c r="AV461" s="6" t="s">
        <v>104</v>
      </c>
      <c r="AW461" s="6" t="str">
        <f t="shared" si="109"/>
        <v/>
      </c>
    </row>
    <row r="462" spans="1:49" ht="90">
      <c r="A462" s="1">
        <v>224786</v>
      </c>
      <c r="B462" t="str">
        <f t="shared" si="97"/>
        <v>5D82BT88267-47</v>
      </c>
      <c r="C462" s="6" t="str">
        <f t="shared" si="98"/>
        <v>REDUCING CHILDHOOD LEAD EXPOSURES WITHIN VULNERABLE COMMUNITIES LIVING IN HIGH-RISK
AREAS OF THE CITY OF LOS ANGELES</v>
      </c>
      <c r="D462" s="6" t="str">
        <f t="shared" si="99"/>
        <v>NEWHAPTICS CORP.</v>
      </c>
      <c r="E462">
        <f t="shared" si="100"/>
        <v>31785143</v>
      </c>
      <c r="F462" t="str">
        <f t="shared" si="101"/>
        <v>FDA</v>
      </c>
      <c r="G462" t="str">
        <f t="shared" si="102"/>
        <v>31-4234766</v>
      </c>
      <c r="H462">
        <f t="shared" ca="1" si="103"/>
        <v>2475731</v>
      </c>
      <c r="I462" t="str">
        <f t="shared" si="104"/>
        <v>Annual</v>
      </c>
      <c r="T462" s="54" t="s">
        <v>2388</v>
      </c>
      <c r="U462">
        <v>10794460</v>
      </c>
      <c r="V462" s="10" t="s">
        <v>686</v>
      </c>
      <c r="W462" s="10" t="s">
        <v>686</v>
      </c>
      <c r="Y462" s="1" t="s">
        <v>2389</v>
      </c>
      <c r="AI462" s="1">
        <v>224786</v>
      </c>
      <c r="AJ462" s="1" t="s">
        <v>119</v>
      </c>
      <c r="AK462" s="1" t="str">
        <f t="shared" si="105"/>
        <v/>
      </c>
      <c r="AL462" t="b">
        <f t="shared" si="106"/>
        <v>1</v>
      </c>
      <c r="AM462" s="49" t="str">
        <f t="shared" si="107"/>
        <v>Q</v>
      </c>
      <c r="AP462" s="10" t="s">
        <v>113</v>
      </c>
      <c r="AS462" t="s">
        <v>119</v>
      </c>
      <c r="AT462" s="6" t="s">
        <v>113</v>
      </c>
      <c r="AU462" s="6" t="str">
        <f t="shared" si="108"/>
        <v/>
      </c>
      <c r="AV462" s="6" t="s">
        <v>112</v>
      </c>
      <c r="AW462" s="6" t="str">
        <f t="shared" si="109"/>
        <v/>
      </c>
    </row>
    <row r="463" spans="1:49" ht="90">
      <c r="A463" s="1">
        <v>224787</v>
      </c>
      <c r="B463" t="str">
        <f t="shared" si="97"/>
        <v>4C36GS88268-86</v>
      </c>
      <c r="C463" s="6" t="str">
        <f t="shared" si="98"/>
        <v>CALIFORNIA ENVIRONMENTAL HEALTH TRACKING PROGRAM (TRACKING CALIFORNIA)</v>
      </c>
      <c r="D463" s="6" t="str">
        <f t="shared" si="99"/>
        <v>NEWMARK DIAGNOSTICS, LLC</v>
      </c>
      <c r="E463">
        <f t="shared" si="100"/>
        <v>24184581</v>
      </c>
      <c r="F463" t="str">
        <f t="shared" si="101"/>
        <v>ACF</v>
      </c>
      <c r="G463" t="str">
        <f t="shared" si="102"/>
        <v>31-4234767</v>
      </c>
      <c r="H463">
        <f t="shared" ca="1" si="103"/>
        <v>2233402</v>
      </c>
      <c r="I463" t="str">
        <f t="shared" si="104"/>
        <v>Annual</v>
      </c>
      <c r="T463" s="54" t="s">
        <v>2388</v>
      </c>
      <c r="U463">
        <v>10794460</v>
      </c>
      <c r="V463" s="10" t="s">
        <v>697</v>
      </c>
      <c r="W463" s="10" t="s">
        <v>697</v>
      </c>
      <c r="Y463" s="1" t="s">
        <v>2390</v>
      </c>
      <c r="AI463" s="1">
        <v>224787</v>
      </c>
      <c r="AJ463" s="1" t="s">
        <v>119</v>
      </c>
      <c r="AK463" s="1" t="str">
        <f t="shared" si="105"/>
        <v/>
      </c>
      <c r="AL463" t="b">
        <f t="shared" si="106"/>
        <v>1</v>
      </c>
      <c r="AM463" s="49" t="str">
        <f t="shared" si="107"/>
        <v>Q</v>
      </c>
      <c r="AP463" s="10" t="s">
        <v>97</v>
      </c>
      <c r="AS463" t="s">
        <v>119</v>
      </c>
      <c r="AT463" s="6" t="s">
        <v>97</v>
      </c>
      <c r="AU463" s="6" t="str">
        <f t="shared" si="108"/>
        <v/>
      </c>
      <c r="AV463" s="6" t="s">
        <v>96</v>
      </c>
      <c r="AW463" s="6" t="str">
        <f t="shared" si="109"/>
        <v/>
      </c>
    </row>
    <row r="464" spans="1:49" ht="75">
      <c r="A464" s="1">
        <v>224787</v>
      </c>
      <c r="B464" t="str">
        <f t="shared" si="97"/>
        <v>4C36GS88268-86</v>
      </c>
      <c r="C464" s="6" t="str">
        <f t="shared" si="98"/>
        <v>CALIFORNIA ENVIRONMENTAL HEALTH TRACKING PROGRAM (TRACKING CALIFORNIA)</v>
      </c>
      <c r="D464" s="6" t="str">
        <f t="shared" si="99"/>
        <v>NEWMARK DIAGNOSTICS, LLC</v>
      </c>
      <c r="E464">
        <f t="shared" si="100"/>
        <v>24184581</v>
      </c>
      <c r="F464" t="str">
        <f t="shared" si="101"/>
        <v>ACF</v>
      </c>
      <c r="G464" t="str">
        <f t="shared" si="102"/>
        <v>31-4234767</v>
      </c>
      <c r="H464">
        <f t="shared" ca="1" si="103"/>
        <v>2233402</v>
      </c>
      <c r="I464" t="str">
        <f t="shared" si="104"/>
        <v>Annual</v>
      </c>
      <c r="T464" s="52" t="s">
        <v>2391</v>
      </c>
      <c r="U464">
        <v>10794460</v>
      </c>
      <c r="V464" s="10" t="s">
        <v>706</v>
      </c>
      <c r="W464" s="10" t="s">
        <v>706</v>
      </c>
      <c r="Y464" s="1" t="s">
        <v>2392</v>
      </c>
      <c r="AI464" s="1">
        <v>224787</v>
      </c>
      <c r="AJ464" s="1" t="s">
        <v>119</v>
      </c>
      <c r="AK464" s="1" t="str">
        <f t="shared" si="105"/>
        <v/>
      </c>
      <c r="AL464" t="b">
        <f t="shared" si="106"/>
        <v>1</v>
      </c>
      <c r="AM464" s="49" t="str">
        <f t="shared" si="107"/>
        <v>Q</v>
      </c>
      <c r="AP464" s="10" t="s">
        <v>327</v>
      </c>
      <c r="AS464" t="s">
        <v>119</v>
      </c>
      <c r="AT464" s="6" t="s">
        <v>327</v>
      </c>
      <c r="AU464" s="6" t="str">
        <f t="shared" si="108"/>
        <v/>
      </c>
      <c r="AV464" s="6" t="s">
        <v>104</v>
      </c>
      <c r="AW464" s="6" t="str">
        <f t="shared" si="109"/>
        <v/>
      </c>
    </row>
    <row r="465" spans="1:49" ht="60">
      <c r="A465" s="1">
        <v>224787</v>
      </c>
      <c r="B465" t="str">
        <f t="shared" si="97"/>
        <v>4C36GS88268-86</v>
      </c>
      <c r="C465" s="6" t="str">
        <f t="shared" si="98"/>
        <v>CALIFORNIA ENVIRONMENTAL HEALTH TRACKING PROGRAM (TRACKING CALIFORNIA)</v>
      </c>
      <c r="D465" s="6" t="str">
        <f t="shared" si="99"/>
        <v>NEWMARK DIAGNOSTICS, LLC</v>
      </c>
      <c r="E465">
        <f t="shared" si="100"/>
        <v>24184581</v>
      </c>
      <c r="F465" t="str">
        <f t="shared" si="101"/>
        <v>ACF</v>
      </c>
      <c r="G465" t="str">
        <f t="shared" si="102"/>
        <v>31-4234767</v>
      </c>
      <c r="H465">
        <f t="shared" ca="1" si="103"/>
        <v>2233402</v>
      </c>
      <c r="I465" t="str">
        <f t="shared" si="104"/>
        <v>Annual</v>
      </c>
      <c r="T465" s="54" t="s">
        <v>1949</v>
      </c>
      <c r="U465">
        <v>11067054</v>
      </c>
      <c r="V465" s="10" t="s">
        <v>713</v>
      </c>
      <c r="W465" s="10" t="s">
        <v>713</v>
      </c>
      <c r="Y465" s="1" t="s">
        <v>2393</v>
      </c>
      <c r="AI465" s="1">
        <v>224787</v>
      </c>
      <c r="AJ465" s="1" t="s">
        <v>119</v>
      </c>
      <c r="AK465" s="1" t="str">
        <f t="shared" si="105"/>
        <v/>
      </c>
      <c r="AL465" t="b">
        <f t="shared" si="106"/>
        <v>1</v>
      </c>
      <c r="AM465" s="49" t="str">
        <f t="shared" si="107"/>
        <v>Q</v>
      </c>
      <c r="AP465" s="10" t="s">
        <v>113</v>
      </c>
      <c r="AS465" t="s">
        <v>119</v>
      </c>
      <c r="AT465" s="6" t="s">
        <v>113</v>
      </c>
      <c r="AU465" s="6" t="str">
        <f t="shared" si="108"/>
        <v/>
      </c>
      <c r="AV465" s="6" t="s">
        <v>112</v>
      </c>
      <c r="AW465" s="6" t="str">
        <f t="shared" si="109"/>
        <v/>
      </c>
    </row>
    <row r="466" spans="1:49" ht="120">
      <c r="A466" s="1">
        <v>224793</v>
      </c>
      <c r="B466" t="str">
        <f t="shared" si="97"/>
        <v>2C15ES88263-74</v>
      </c>
      <c r="C466" s="6" t="str">
        <f t="shared" si="98"/>
        <v>REDUCING CHILDHOOD LEAD EXPOSURES WITHIN VULNERABLE COMMUNITIES LIVING IN HIGH-RISK AREAS OF THE CITY OF LOS ANGELES</v>
      </c>
      <c r="D466" s="6" t="str">
        <f t="shared" si="99"/>
        <v>NEWOMICS, INC</v>
      </c>
      <c r="E466">
        <f t="shared" si="100"/>
        <v>24184581</v>
      </c>
      <c r="F466" t="str">
        <f t="shared" si="101"/>
        <v>CDC</v>
      </c>
      <c r="G466" t="str">
        <f t="shared" si="102"/>
        <v>31-4234768</v>
      </c>
      <c r="H466">
        <f t="shared" ca="1" si="103"/>
        <v>2202998</v>
      </c>
      <c r="I466" t="str">
        <f t="shared" si="104"/>
        <v>Annual</v>
      </c>
      <c r="T466" s="54" t="s">
        <v>1976</v>
      </c>
      <c r="U466">
        <v>11067054</v>
      </c>
      <c r="V466" s="10" t="s">
        <v>723</v>
      </c>
      <c r="W466" s="10" t="s">
        <v>723</v>
      </c>
      <c r="Y466" s="1" t="s">
        <v>2394</v>
      </c>
      <c r="AI466" s="1">
        <v>224793</v>
      </c>
      <c r="AJ466" s="1" t="s">
        <v>119</v>
      </c>
      <c r="AK466" s="1" t="str">
        <f t="shared" si="105"/>
        <v/>
      </c>
      <c r="AL466" t="b">
        <f t="shared" si="106"/>
        <v>1</v>
      </c>
      <c r="AM466" s="49" t="str">
        <f t="shared" si="107"/>
        <v>Q</v>
      </c>
      <c r="AP466" s="10" t="s">
        <v>97</v>
      </c>
      <c r="AS466" t="s">
        <v>119</v>
      </c>
      <c r="AT466" s="6" t="s">
        <v>97</v>
      </c>
      <c r="AU466" s="6" t="str">
        <f t="shared" si="108"/>
        <v/>
      </c>
      <c r="AV466" s="6" t="s">
        <v>96</v>
      </c>
      <c r="AW466" s="6" t="str">
        <f t="shared" si="109"/>
        <v/>
      </c>
    </row>
    <row r="467" spans="1:49" ht="75">
      <c r="A467" s="1">
        <v>224793</v>
      </c>
      <c r="B467" t="str">
        <f t="shared" si="97"/>
        <v>2C15ES88263-74</v>
      </c>
      <c r="C467" s="6" t="str">
        <f t="shared" si="98"/>
        <v>REDUCING CHILDHOOD LEAD EXPOSURES WITHIN VULNERABLE COMMUNITIES LIVING IN HIGH-RISK AREAS OF THE CITY OF LOS ANGELES</v>
      </c>
      <c r="D467" s="6" t="str">
        <f t="shared" si="99"/>
        <v>NEWOMICS, INC</v>
      </c>
      <c r="E467">
        <f t="shared" si="100"/>
        <v>24184581</v>
      </c>
      <c r="F467" t="str">
        <f t="shared" si="101"/>
        <v>CDC</v>
      </c>
      <c r="G467" t="str">
        <f t="shared" si="102"/>
        <v>31-4234768</v>
      </c>
      <c r="H467">
        <f t="shared" ca="1" si="103"/>
        <v>2202998</v>
      </c>
      <c r="I467" t="str">
        <f t="shared" si="104"/>
        <v>Annual</v>
      </c>
      <c r="T467" s="54" t="s">
        <v>2273</v>
      </c>
      <c r="U467">
        <v>11067054</v>
      </c>
      <c r="V467" s="10" t="s">
        <v>736</v>
      </c>
      <c r="W467" s="10" t="s">
        <v>736</v>
      </c>
      <c r="Y467" s="1" t="s">
        <v>2395</v>
      </c>
      <c r="AI467" s="1">
        <v>224793</v>
      </c>
      <c r="AJ467" s="1" t="s">
        <v>119</v>
      </c>
      <c r="AK467" s="1" t="str">
        <f t="shared" si="105"/>
        <v/>
      </c>
      <c r="AL467" t="b">
        <f t="shared" si="106"/>
        <v>1</v>
      </c>
      <c r="AM467" s="49" t="str">
        <f t="shared" si="107"/>
        <v>Q</v>
      </c>
      <c r="AP467" s="10" t="s">
        <v>327</v>
      </c>
      <c r="AS467" t="s">
        <v>119</v>
      </c>
      <c r="AT467" s="6" t="s">
        <v>327</v>
      </c>
      <c r="AU467" s="6" t="str">
        <f t="shared" si="108"/>
        <v/>
      </c>
      <c r="AV467" s="6" t="s">
        <v>104</v>
      </c>
      <c r="AW467" s="6" t="str">
        <f t="shared" si="109"/>
        <v/>
      </c>
    </row>
    <row r="468" spans="1:49" ht="75">
      <c r="A468" s="1">
        <v>224793</v>
      </c>
      <c r="B468" t="str">
        <f t="shared" si="97"/>
        <v>2C15ES88263-74</v>
      </c>
      <c r="C468" s="6" t="str">
        <f t="shared" si="98"/>
        <v>REDUCING CHILDHOOD LEAD EXPOSURES WITHIN VULNERABLE COMMUNITIES LIVING IN HIGH-RISK AREAS OF THE CITY OF LOS ANGELES</v>
      </c>
      <c r="D468" s="6" t="str">
        <f t="shared" si="99"/>
        <v>NEWOMICS, INC</v>
      </c>
      <c r="E468">
        <f t="shared" si="100"/>
        <v>24184581</v>
      </c>
      <c r="F468" t="str">
        <f t="shared" si="101"/>
        <v>CDC</v>
      </c>
      <c r="G468" t="str">
        <f t="shared" si="102"/>
        <v>31-4234768</v>
      </c>
      <c r="H468">
        <f t="shared" ca="1" si="103"/>
        <v>2202998</v>
      </c>
      <c r="I468" t="str">
        <f t="shared" si="104"/>
        <v>Annual</v>
      </c>
      <c r="T468" s="85" t="s">
        <v>2396</v>
      </c>
      <c r="U468">
        <v>8433168</v>
      </c>
      <c r="V468" s="10" t="s">
        <v>745</v>
      </c>
      <c r="W468" s="10" t="s">
        <v>745</v>
      </c>
      <c r="Y468" s="1" t="s">
        <v>2397</v>
      </c>
      <c r="AI468" s="1">
        <v>224793</v>
      </c>
      <c r="AJ468" s="1" t="s">
        <v>119</v>
      </c>
      <c r="AK468" s="1" t="str">
        <f t="shared" si="105"/>
        <v/>
      </c>
      <c r="AL468" t="b">
        <f t="shared" si="106"/>
        <v>1</v>
      </c>
      <c r="AM468" s="49" t="str">
        <f t="shared" si="107"/>
        <v>Q</v>
      </c>
      <c r="AP468" s="10"/>
      <c r="AS468" t="s">
        <v>119</v>
      </c>
      <c r="AT468" s="6" t="s">
        <v>812</v>
      </c>
      <c r="AU468" s="6" t="str">
        <f t="shared" si="108"/>
        <v/>
      </c>
      <c r="AV468" s="6" t="s">
        <v>811</v>
      </c>
      <c r="AW468" s="6" t="str">
        <f t="shared" si="109"/>
        <v/>
      </c>
    </row>
    <row r="469" spans="1:49" ht="75">
      <c r="A469" s="1">
        <v>224793</v>
      </c>
      <c r="B469" t="str">
        <f t="shared" si="97"/>
        <v>2C15ES88263-74</v>
      </c>
      <c r="C469" s="6" t="str">
        <f t="shared" si="98"/>
        <v>REDUCING CHILDHOOD LEAD EXPOSURES WITHIN VULNERABLE COMMUNITIES LIVING IN HIGH-RISK AREAS OF THE CITY OF LOS ANGELES</v>
      </c>
      <c r="D469" s="6" t="str">
        <f t="shared" si="99"/>
        <v>NEWOMICS, INC</v>
      </c>
      <c r="E469">
        <f t="shared" si="100"/>
        <v>24184581</v>
      </c>
      <c r="F469" t="str">
        <f t="shared" si="101"/>
        <v>CDC</v>
      </c>
      <c r="G469" t="str">
        <f t="shared" si="102"/>
        <v>31-4234768</v>
      </c>
      <c r="H469">
        <f t="shared" ca="1" si="103"/>
        <v>2202998</v>
      </c>
      <c r="I469" t="str">
        <f t="shared" si="104"/>
        <v>Annual</v>
      </c>
      <c r="T469" s="57" t="s">
        <v>2398</v>
      </c>
      <c r="U469">
        <v>8433168</v>
      </c>
      <c r="V469" s="10" t="s">
        <v>753</v>
      </c>
      <c r="W469" s="10" t="s">
        <v>753</v>
      </c>
      <c r="Y469" s="1" t="s">
        <v>2399</v>
      </c>
      <c r="AI469" s="1">
        <v>224793</v>
      </c>
      <c r="AJ469" s="1" t="s">
        <v>119</v>
      </c>
      <c r="AK469" s="1" t="str">
        <f t="shared" si="105"/>
        <v/>
      </c>
      <c r="AL469" t="b">
        <f t="shared" si="106"/>
        <v>1</v>
      </c>
      <c r="AM469" s="49" t="str">
        <f t="shared" si="107"/>
        <v>Q</v>
      </c>
      <c r="AP469" s="10"/>
      <c r="AS469" t="s">
        <v>119</v>
      </c>
      <c r="AT469" s="6" t="s">
        <v>812</v>
      </c>
      <c r="AU469" s="6" t="str">
        <f t="shared" si="108"/>
        <v/>
      </c>
      <c r="AV469" s="6" t="s">
        <v>811</v>
      </c>
      <c r="AW469" s="6" t="str">
        <f t="shared" si="109"/>
        <v/>
      </c>
    </row>
    <row r="470" spans="1:49" ht="90">
      <c r="A470" s="1">
        <v>224818</v>
      </c>
      <c r="B470" t="str">
        <f t="shared" si="97"/>
        <v>6C21DS89191-18</v>
      </c>
      <c r="C470" s="6" t="str">
        <f t="shared" si="98"/>
        <v>CALBRACE: ENHANCING COMMUNITY RESILIENCE BY IMPLEMENTING HEALTH ADAPTATIONS</v>
      </c>
      <c r="D470" s="6" t="str">
        <f t="shared" si="99"/>
        <v>NEWORMICS, LLC</v>
      </c>
      <c r="E470">
        <f t="shared" si="100"/>
        <v>24184581</v>
      </c>
      <c r="F470" t="str">
        <f t="shared" si="101"/>
        <v>NIH</v>
      </c>
      <c r="G470" t="str">
        <f t="shared" si="102"/>
        <v>31-4234769</v>
      </c>
      <c r="H470">
        <f t="shared" ca="1" si="103"/>
        <v>2607978</v>
      </c>
      <c r="I470" t="str">
        <f t="shared" si="104"/>
        <v>Annual</v>
      </c>
      <c r="T470" s="54" t="s">
        <v>2400</v>
      </c>
      <c r="U470">
        <v>30250852</v>
      </c>
      <c r="V470" s="10" t="s">
        <v>762</v>
      </c>
      <c r="W470" s="10" t="s">
        <v>762</v>
      </c>
      <c r="Y470" s="1" t="s">
        <v>2401</v>
      </c>
      <c r="AI470" s="1">
        <v>224818</v>
      </c>
      <c r="AJ470" s="1" t="s">
        <v>119</v>
      </c>
      <c r="AK470" s="1" t="str">
        <f t="shared" si="105"/>
        <v/>
      </c>
      <c r="AL470" t="b">
        <f t="shared" si="106"/>
        <v>1</v>
      </c>
      <c r="AM470" s="49" t="str">
        <f t="shared" si="107"/>
        <v>Q</v>
      </c>
      <c r="AP470" s="10" t="s">
        <v>97</v>
      </c>
      <c r="AS470" t="s">
        <v>119</v>
      </c>
      <c r="AT470" s="6" t="s">
        <v>97</v>
      </c>
      <c r="AU470" s="6" t="str">
        <f t="shared" si="108"/>
        <v/>
      </c>
      <c r="AV470" s="6" t="s">
        <v>96</v>
      </c>
      <c r="AW470" s="6" t="str">
        <f t="shared" si="109"/>
        <v/>
      </c>
    </row>
    <row r="471" spans="1:49" ht="75">
      <c r="A471" s="1">
        <v>224818</v>
      </c>
      <c r="B471" t="str">
        <f t="shared" si="97"/>
        <v>6C21DS89191-18</v>
      </c>
      <c r="C471" s="6" t="str">
        <f t="shared" si="98"/>
        <v>CALBRACE: ENHANCING COMMUNITY RESILIENCE BY IMPLEMENTING HEALTH ADAPTATIONS</v>
      </c>
      <c r="D471" s="6" t="str">
        <f t="shared" si="99"/>
        <v>NEWORMICS, LLC</v>
      </c>
      <c r="E471">
        <f t="shared" si="100"/>
        <v>24184581</v>
      </c>
      <c r="F471" t="str">
        <f t="shared" si="101"/>
        <v>NIH</v>
      </c>
      <c r="G471" t="str">
        <f t="shared" si="102"/>
        <v>31-4234769</v>
      </c>
      <c r="H471">
        <f t="shared" ca="1" si="103"/>
        <v>2607978</v>
      </c>
      <c r="I471" t="str">
        <f t="shared" si="104"/>
        <v>Annual</v>
      </c>
      <c r="T471" s="66" t="s">
        <v>2402</v>
      </c>
      <c r="U471">
        <v>30250852</v>
      </c>
      <c r="V471" s="10" t="s">
        <v>777</v>
      </c>
      <c r="W471" s="10" t="s">
        <v>777</v>
      </c>
      <c r="Y471" s="1" t="s">
        <v>2403</v>
      </c>
      <c r="AI471" s="1">
        <v>224818</v>
      </c>
      <c r="AJ471" s="1" t="s">
        <v>119</v>
      </c>
      <c r="AK471" s="1" t="str">
        <f t="shared" si="105"/>
        <v/>
      </c>
      <c r="AL471" t="b">
        <f t="shared" si="106"/>
        <v>1</v>
      </c>
      <c r="AM471" s="49" t="str">
        <f t="shared" si="107"/>
        <v>Q</v>
      </c>
      <c r="AP471" s="10" t="s">
        <v>327</v>
      </c>
      <c r="AS471" t="s">
        <v>119</v>
      </c>
      <c r="AT471" s="6" t="s">
        <v>327</v>
      </c>
      <c r="AU471" s="6" t="str">
        <f t="shared" si="108"/>
        <v/>
      </c>
      <c r="AV471" s="6" t="s">
        <v>104</v>
      </c>
      <c r="AW471" s="6" t="str">
        <f t="shared" si="109"/>
        <v/>
      </c>
    </row>
    <row r="472" spans="1:49" ht="75">
      <c r="A472" s="1">
        <v>224818</v>
      </c>
      <c r="B472" t="str">
        <f t="shared" si="97"/>
        <v>6C21DS89191-18</v>
      </c>
      <c r="C472" s="6" t="str">
        <f t="shared" si="98"/>
        <v>CALBRACE: ENHANCING COMMUNITY RESILIENCE BY IMPLEMENTING HEALTH ADAPTATIONS</v>
      </c>
      <c r="D472" s="6" t="str">
        <f t="shared" si="99"/>
        <v>NEWORMICS, LLC</v>
      </c>
      <c r="E472">
        <f t="shared" si="100"/>
        <v>24184581</v>
      </c>
      <c r="F472" t="str">
        <f t="shared" si="101"/>
        <v>NIH</v>
      </c>
      <c r="G472" t="str">
        <f t="shared" si="102"/>
        <v>31-4234769</v>
      </c>
      <c r="H472">
        <f t="shared" ca="1" si="103"/>
        <v>2607978</v>
      </c>
      <c r="I472" t="str">
        <f t="shared" si="104"/>
        <v>Annual</v>
      </c>
      <c r="T472" s="64" t="s">
        <v>2404</v>
      </c>
      <c r="U472">
        <v>30250852</v>
      </c>
      <c r="V472" s="10" t="s">
        <v>785</v>
      </c>
      <c r="W472" s="10" t="s">
        <v>785</v>
      </c>
      <c r="Y472" s="1" t="s">
        <v>2405</v>
      </c>
      <c r="AI472" s="1">
        <v>224818</v>
      </c>
      <c r="AJ472" s="1" t="s">
        <v>119</v>
      </c>
      <c r="AK472" s="1" t="str">
        <f t="shared" si="105"/>
        <v/>
      </c>
      <c r="AL472" t="b">
        <f t="shared" si="106"/>
        <v>1</v>
      </c>
      <c r="AM472" s="49" t="str">
        <f t="shared" si="107"/>
        <v>Q</v>
      </c>
      <c r="AP472" s="10" t="s">
        <v>113</v>
      </c>
      <c r="AS472" t="s">
        <v>119</v>
      </c>
      <c r="AT472" s="6" t="s">
        <v>113</v>
      </c>
      <c r="AU472" s="6" t="str">
        <f t="shared" si="108"/>
        <v/>
      </c>
      <c r="AV472" s="6" t="s">
        <v>112</v>
      </c>
      <c r="AW472" s="6" t="str">
        <f t="shared" si="109"/>
        <v/>
      </c>
    </row>
    <row r="473" spans="1:49" ht="90">
      <c r="A473" s="1">
        <v>224851</v>
      </c>
      <c r="B473" t="str">
        <f t="shared" si="97"/>
        <v>8B58HR90763-12</v>
      </c>
      <c r="C473" s="6" t="str">
        <f t="shared" si="98"/>
        <v>LOS ANGELES COUNTY EPIDEMIOLOGY AND LABORATORY CAPACITY COOPERATIVE AGREEMENT 2019</v>
      </c>
      <c r="D473" s="6" t="str">
        <f t="shared" si="99"/>
        <v>NEWVENTUREIQ, LLC</v>
      </c>
      <c r="E473">
        <f t="shared" si="100"/>
        <v>25566796</v>
      </c>
      <c r="F473" t="str">
        <f t="shared" si="101"/>
        <v>FDA</v>
      </c>
      <c r="G473" t="str">
        <f t="shared" si="102"/>
        <v>31-4234770</v>
      </c>
      <c r="H473">
        <f t="shared" ca="1" si="103"/>
        <v>2144932</v>
      </c>
      <c r="I473" t="str">
        <f t="shared" si="104"/>
        <v>Annual</v>
      </c>
      <c r="T473" s="54" t="s">
        <v>2406</v>
      </c>
      <c r="U473">
        <v>1129254</v>
      </c>
      <c r="V473" s="10" t="s">
        <v>797</v>
      </c>
      <c r="W473" s="10" t="s">
        <v>797</v>
      </c>
      <c r="Y473" s="1" t="s">
        <v>2407</v>
      </c>
      <c r="AI473" s="1">
        <v>224851</v>
      </c>
      <c r="AJ473" s="1" t="s">
        <v>119</v>
      </c>
      <c r="AK473" s="1" t="str">
        <f t="shared" si="105"/>
        <v/>
      </c>
      <c r="AL473" t="b">
        <f t="shared" si="106"/>
        <v>1</v>
      </c>
      <c r="AM473" s="49" t="str">
        <f t="shared" si="107"/>
        <v>Q</v>
      </c>
      <c r="AP473" s="10" t="s">
        <v>97</v>
      </c>
      <c r="AS473" t="s">
        <v>119</v>
      </c>
      <c r="AT473" s="6" t="s">
        <v>97</v>
      </c>
      <c r="AU473" s="6" t="str">
        <f t="shared" si="108"/>
        <v/>
      </c>
      <c r="AV473" s="6" t="s">
        <v>96</v>
      </c>
      <c r="AW473" s="6" t="str">
        <f t="shared" si="109"/>
        <v/>
      </c>
    </row>
    <row r="474" spans="1:49" ht="105">
      <c r="A474" s="1">
        <v>224851</v>
      </c>
      <c r="B474" t="str">
        <f t="shared" si="97"/>
        <v>8B58HR90763-12</v>
      </c>
      <c r="C474" s="6" t="str">
        <f t="shared" si="98"/>
        <v>LOS ANGELES COUNTY EPIDEMIOLOGY AND LABORATORY CAPACITY COOPERATIVE AGREEMENT 2019</v>
      </c>
      <c r="D474" s="6" t="str">
        <f t="shared" si="99"/>
        <v>NEWVENTUREIQ, LLC</v>
      </c>
      <c r="E474">
        <f t="shared" si="100"/>
        <v>25566796</v>
      </c>
      <c r="F474" t="str">
        <f t="shared" si="101"/>
        <v>FDA</v>
      </c>
      <c r="G474" t="str">
        <f t="shared" si="102"/>
        <v>31-4234770</v>
      </c>
      <c r="H474">
        <f t="shared" ca="1" si="103"/>
        <v>2144932</v>
      </c>
      <c r="I474" t="str">
        <f t="shared" si="104"/>
        <v>Annual</v>
      </c>
      <c r="T474" s="69" t="s">
        <v>1936</v>
      </c>
      <c r="U474">
        <v>1129254</v>
      </c>
      <c r="V474" s="10" t="s">
        <v>801</v>
      </c>
      <c r="W474" s="10" t="s">
        <v>801</v>
      </c>
      <c r="Y474" s="1" t="s">
        <v>2408</v>
      </c>
      <c r="AI474" s="1">
        <v>224851</v>
      </c>
      <c r="AJ474" s="1" t="s">
        <v>119</v>
      </c>
      <c r="AK474" s="1" t="str">
        <f t="shared" si="105"/>
        <v/>
      </c>
      <c r="AL474" t="b">
        <f t="shared" si="106"/>
        <v>1</v>
      </c>
      <c r="AM474" s="49" t="str">
        <f t="shared" si="107"/>
        <v>Q</v>
      </c>
      <c r="AP474" s="10" t="s">
        <v>327</v>
      </c>
      <c r="AS474" t="s">
        <v>119</v>
      </c>
      <c r="AT474" s="6" t="s">
        <v>327</v>
      </c>
      <c r="AU474" s="6" t="str">
        <f t="shared" si="108"/>
        <v/>
      </c>
      <c r="AV474" s="6" t="s">
        <v>104</v>
      </c>
      <c r="AW474" s="6" t="str">
        <f t="shared" si="109"/>
        <v/>
      </c>
    </row>
    <row r="475" spans="1:49" ht="90">
      <c r="A475" s="1">
        <v>224851</v>
      </c>
      <c r="B475" t="str">
        <f t="shared" si="97"/>
        <v>8B58HR90763-12</v>
      </c>
      <c r="C475" s="6" t="str">
        <f t="shared" si="98"/>
        <v>LOS ANGELES COUNTY EPIDEMIOLOGY AND LABORATORY CAPACITY COOPERATIVE AGREEMENT 2019</v>
      </c>
      <c r="D475" s="6" t="str">
        <f t="shared" si="99"/>
        <v>NEWVENTUREIQ, LLC</v>
      </c>
      <c r="E475">
        <f t="shared" si="100"/>
        <v>25566796</v>
      </c>
      <c r="F475" t="str">
        <f t="shared" si="101"/>
        <v>FDA</v>
      </c>
      <c r="G475" t="str">
        <f t="shared" si="102"/>
        <v>31-4234770</v>
      </c>
      <c r="H475">
        <f t="shared" ca="1" si="103"/>
        <v>2144932</v>
      </c>
      <c r="I475" t="str">
        <f t="shared" si="104"/>
        <v>Annual</v>
      </c>
      <c r="T475" s="54" t="s">
        <v>2145</v>
      </c>
      <c r="U475">
        <v>1129254</v>
      </c>
      <c r="V475" s="10" t="s">
        <v>814</v>
      </c>
      <c r="W475" s="10" t="s">
        <v>814</v>
      </c>
      <c r="Y475" s="1" t="s">
        <v>2409</v>
      </c>
      <c r="AI475" s="1">
        <v>224851</v>
      </c>
      <c r="AJ475" s="1" t="s">
        <v>119</v>
      </c>
      <c r="AK475" s="1" t="str">
        <f t="shared" si="105"/>
        <v/>
      </c>
      <c r="AL475" t="b">
        <f t="shared" si="106"/>
        <v>1</v>
      </c>
      <c r="AM475" s="49" t="str">
        <f t="shared" si="107"/>
        <v>Q</v>
      </c>
      <c r="AP475" s="10" t="s">
        <v>113</v>
      </c>
      <c r="AS475" t="s">
        <v>119</v>
      </c>
      <c r="AT475" s="6" t="s">
        <v>113</v>
      </c>
      <c r="AU475" s="6" t="str">
        <f t="shared" si="108"/>
        <v/>
      </c>
      <c r="AV475" s="6" t="s">
        <v>112</v>
      </c>
      <c r="AW475" s="6" t="str">
        <f t="shared" si="109"/>
        <v/>
      </c>
    </row>
    <row r="476" spans="1:49" ht="90">
      <c r="A476" s="1">
        <v>225477</v>
      </c>
      <c r="B476" t="str">
        <f t="shared" si="97"/>
        <v>1B91FR89406-50</v>
      </c>
      <c r="C476" s="6" t="str">
        <f t="shared" si="98"/>
        <v>CALIFORNIA EHS-NET FOOD PROJECT- REDUCING THE RISK OF FOOD ALLERGIC EPISODES AT
RETAIL FOOD ESTABLISHMENTS</v>
      </c>
      <c r="D476" s="6" t="str">
        <f t="shared" si="99"/>
        <v>NEXILICO, INC.</v>
      </c>
      <c r="E476">
        <f t="shared" si="100"/>
        <v>25566796</v>
      </c>
      <c r="F476" t="str">
        <f t="shared" si="101"/>
        <v>ACF</v>
      </c>
      <c r="G476" t="str">
        <f t="shared" si="102"/>
        <v>31-4234771</v>
      </c>
      <c r="H476">
        <f t="shared" ca="1" si="103"/>
        <v>2964974</v>
      </c>
      <c r="I476" t="str">
        <f t="shared" si="104"/>
        <v>Annual</v>
      </c>
      <c r="T476" s="54" t="s">
        <v>2410</v>
      </c>
      <c r="U476">
        <v>17279221</v>
      </c>
      <c r="V476" s="10" t="s">
        <v>820</v>
      </c>
      <c r="W476" s="10" t="s">
        <v>820</v>
      </c>
      <c r="Y476" s="1" t="s">
        <v>2411</v>
      </c>
      <c r="AI476" s="1">
        <v>225477</v>
      </c>
      <c r="AJ476" s="1" t="s">
        <v>119</v>
      </c>
      <c r="AK476" s="1" t="str">
        <f t="shared" si="105"/>
        <v/>
      </c>
      <c r="AL476" t="b">
        <f t="shared" si="106"/>
        <v>1</v>
      </c>
      <c r="AM476" s="49" t="str">
        <f t="shared" si="107"/>
        <v>Q</v>
      </c>
      <c r="AP476" s="10" t="s">
        <v>97</v>
      </c>
      <c r="AS476" t="s">
        <v>119</v>
      </c>
      <c r="AT476" s="6" t="s">
        <v>97</v>
      </c>
      <c r="AU476" s="6" t="str">
        <f t="shared" si="108"/>
        <v/>
      </c>
      <c r="AV476" s="6" t="s">
        <v>96</v>
      </c>
      <c r="AW476" s="6" t="str">
        <f t="shared" si="109"/>
        <v/>
      </c>
    </row>
    <row r="477" spans="1:49" ht="90">
      <c r="A477" s="1">
        <v>225477</v>
      </c>
      <c r="B477" t="str">
        <f t="shared" si="97"/>
        <v>1B91FR89406-50</v>
      </c>
      <c r="C477" s="6" t="str">
        <f t="shared" si="98"/>
        <v>CALIFORNIA EHS-NET FOOD PROJECT- REDUCING THE RISK OF FOOD ALLERGIC EPISODES AT
RETAIL FOOD ESTABLISHMENTS</v>
      </c>
      <c r="D477" s="6" t="str">
        <f t="shared" si="99"/>
        <v>NEXILICO, INC.</v>
      </c>
      <c r="E477">
        <f t="shared" si="100"/>
        <v>25566796</v>
      </c>
      <c r="F477" t="str">
        <f t="shared" si="101"/>
        <v>ACF</v>
      </c>
      <c r="G477" t="str">
        <f t="shared" si="102"/>
        <v>31-4234771</v>
      </c>
      <c r="H477">
        <f t="shared" ca="1" si="103"/>
        <v>2964974</v>
      </c>
      <c r="I477" t="str">
        <f t="shared" si="104"/>
        <v>Annual</v>
      </c>
      <c r="T477" s="54" t="s">
        <v>2412</v>
      </c>
      <c r="U477">
        <v>17279221</v>
      </c>
      <c r="V477" s="10" t="s">
        <v>828</v>
      </c>
      <c r="W477" s="10" t="s">
        <v>828</v>
      </c>
      <c r="Y477" s="1" t="s">
        <v>2413</v>
      </c>
      <c r="AI477" s="1">
        <v>225477</v>
      </c>
      <c r="AJ477" s="1" t="s">
        <v>119</v>
      </c>
      <c r="AK477" s="1" t="str">
        <f t="shared" si="105"/>
        <v/>
      </c>
      <c r="AL477" t="b">
        <f t="shared" si="106"/>
        <v>1</v>
      </c>
      <c r="AM477" s="49" t="str">
        <f t="shared" si="107"/>
        <v>Q</v>
      </c>
      <c r="AP477" s="10" t="s">
        <v>327</v>
      </c>
      <c r="AS477" t="s">
        <v>119</v>
      </c>
      <c r="AT477" s="6" t="s">
        <v>327</v>
      </c>
      <c r="AU477" s="6" t="str">
        <f t="shared" si="108"/>
        <v/>
      </c>
      <c r="AV477" s="6" t="s">
        <v>104</v>
      </c>
      <c r="AW477" s="6" t="str">
        <f t="shared" si="109"/>
        <v/>
      </c>
    </row>
    <row r="478" spans="1:49" ht="90">
      <c r="A478" s="1">
        <v>225477</v>
      </c>
      <c r="B478" t="str">
        <f t="shared" si="97"/>
        <v>1B91FR89406-50</v>
      </c>
      <c r="C478" s="6" t="str">
        <f t="shared" si="98"/>
        <v>CALIFORNIA EHS-NET FOOD PROJECT- REDUCING THE RISK OF FOOD ALLERGIC EPISODES AT
RETAIL FOOD ESTABLISHMENTS</v>
      </c>
      <c r="D478" s="6" t="str">
        <f t="shared" si="99"/>
        <v>NEXILICO, INC.</v>
      </c>
      <c r="E478">
        <f t="shared" si="100"/>
        <v>25566796</v>
      </c>
      <c r="F478" t="str">
        <f t="shared" si="101"/>
        <v>ACF</v>
      </c>
      <c r="G478" t="str">
        <f t="shared" si="102"/>
        <v>31-4234771</v>
      </c>
      <c r="H478">
        <f t="shared" ca="1" si="103"/>
        <v>2964974</v>
      </c>
      <c r="I478" t="str">
        <f t="shared" si="104"/>
        <v>Annual</v>
      </c>
      <c r="T478" s="50" t="s">
        <v>1951</v>
      </c>
      <c r="U478">
        <v>17279221</v>
      </c>
      <c r="V478" s="10" t="s">
        <v>835</v>
      </c>
      <c r="W478" s="10" t="s">
        <v>835</v>
      </c>
      <c r="Y478" s="1" t="s">
        <v>2414</v>
      </c>
      <c r="AI478" s="1">
        <v>225477</v>
      </c>
      <c r="AJ478" s="1" t="s">
        <v>119</v>
      </c>
      <c r="AK478" s="1" t="str">
        <f t="shared" si="105"/>
        <v/>
      </c>
      <c r="AL478" t="b">
        <f t="shared" si="106"/>
        <v>1</v>
      </c>
      <c r="AM478" s="49" t="str">
        <f t="shared" si="107"/>
        <v>Q</v>
      </c>
      <c r="AP478" s="10" t="s">
        <v>113</v>
      </c>
      <c r="AS478" t="s">
        <v>119</v>
      </c>
      <c r="AT478" s="6" t="s">
        <v>113</v>
      </c>
      <c r="AU478" s="6" t="str">
        <f t="shared" si="108"/>
        <v/>
      </c>
      <c r="AV478" s="6" t="s">
        <v>112</v>
      </c>
      <c r="AW478" s="6" t="str">
        <f t="shared" si="109"/>
        <v/>
      </c>
    </row>
    <row r="479" spans="1:49" ht="90">
      <c r="A479" s="1">
        <v>225505</v>
      </c>
      <c r="B479" t="str">
        <f t="shared" si="97"/>
        <v>9B97FR842727-25</v>
      </c>
      <c r="C479" s="6" t="str">
        <f t="shared" si="98"/>
        <v>PHFE CDPH ELC 2019-2024</v>
      </c>
      <c r="D479" s="6" t="str">
        <f t="shared" si="99"/>
        <v>NEXOGEN, INC.</v>
      </c>
      <c r="E479">
        <f t="shared" si="100"/>
        <v>25566796</v>
      </c>
      <c r="F479" t="str">
        <f t="shared" si="101"/>
        <v>CDC</v>
      </c>
      <c r="G479" t="str">
        <f t="shared" si="102"/>
        <v>31-4234772</v>
      </c>
      <c r="H479">
        <f t="shared" ca="1" si="103"/>
        <v>2555429</v>
      </c>
      <c r="I479" t="str">
        <f t="shared" si="104"/>
        <v>Annual</v>
      </c>
      <c r="T479" s="54" t="s">
        <v>2415</v>
      </c>
      <c r="U479">
        <v>34020973</v>
      </c>
      <c r="V479" s="10" t="s">
        <v>844</v>
      </c>
      <c r="W479" s="10" t="s">
        <v>844</v>
      </c>
      <c r="Y479" s="1" t="s">
        <v>2416</v>
      </c>
      <c r="AI479" s="1">
        <v>225505</v>
      </c>
      <c r="AJ479" s="1" t="s">
        <v>119</v>
      </c>
      <c r="AK479" s="1" t="str">
        <f t="shared" si="105"/>
        <v/>
      </c>
      <c r="AL479" t="b">
        <f t="shared" si="106"/>
        <v>1</v>
      </c>
      <c r="AM479" s="49" t="str">
        <f t="shared" si="107"/>
        <v>Q</v>
      </c>
      <c r="AP479" s="10" t="s">
        <v>97</v>
      </c>
      <c r="AS479" t="s">
        <v>119</v>
      </c>
      <c r="AT479" s="6" t="s">
        <v>97</v>
      </c>
      <c r="AU479" s="6" t="str">
        <f t="shared" si="108"/>
        <v/>
      </c>
      <c r="AV479" s="6" t="s">
        <v>96</v>
      </c>
      <c r="AW479" s="6" t="str">
        <f t="shared" si="109"/>
        <v/>
      </c>
    </row>
    <row r="480" spans="1:49" ht="75">
      <c r="A480" s="1">
        <v>225505</v>
      </c>
      <c r="B480" t="str">
        <f t="shared" si="97"/>
        <v>9B97FR842727-25</v>
      </c>
      <c r="C480" s="6" t="str">
        <f t="shared" si="98"/>
        <v>PHFE CDPH ELC 2019-2024</v>
      </c>
      <c r="D480" s="6" t="str">
        <f t="shared" si="99"/>
        <v>NEXOGEN, INC.</v>
      </c>
      <c r="E480">
        <f t="shared" si="100"/>
        <v>25566796</v>
      </c>
      <c r="F480" t="str">
        <f t="shared" si="101"/>
        <v>CDC</v>
      </c>
      <c r="G480" t="str">
        <f t="shared" si="102"/>
        <v>31-4234772</v>
      </c>
      <c r="H480">
        <f t="shared" ca="1" si="103"/>
        <v>2555429</v>
      </c>
      <c r="I480" t="str">
        <f t="shared" si="104"/>
        <v>Annual</v>
      </c>
      <c r="T480" s="53" t="s">
        <v>2417</v>
      </c>
      <c r="U480">
        <v>34020973</v>
      </c>
      <c r="V480" s="10" t="s">
        <v>851</v>
      </c>
      <c r="W480" s="10" t="s">
        <v>851</v>
      </c>
      <c r="Y480" s="1" t="s">
        <v>2418</v>
      </c>
      <c r="AI480" s="1">
        <v>225505</v>
      </c>
      <c r="AJ480" s="1" t="s">
        <v>119</v>
      </c>
      <c r="AK480" s="1" t="str">
        <f t="shared" si="105"/>
        <v/>
      </c>
      <c r="AL480" t="b">
        <f t="shared" si="106"/>
        <v>1</v>
      </c>
      <c r="AM480" s="49" t="str">
        <f t="shared" si="107"/>
        <v>Q</v>
      </c>
      <c r="AP480" s="10" t="s">
        <v>327</v>
      </c>
      <c r="AS480" t="s">
        <v>119</v>
      </c>
      <c r="AT480" s="6" t="s">
        <v>327</v>
      </c>
      <c r="AU480" s="6" t="str">
        <f t="shared" si="108"/>
        <v/>
      </c>
      <c r="AV480" s="6" t="s">
        <v>104</v>
      </c>
      <c r="AW480" s="6" t="str">
        <f t="shared" si="109"/>
        <v/>
      </c>
    </row>
    <row r="481" spans="1:49" ht="90">
      <c r="A481" s="1">
        <v>225505</v>
      </c>
      <c r="B481" t="str">
        <f t="shared" si="97"/>
        <v>9B97FR842727-25</v>
      </c>
      <c r="C481" s="6" t="str">
        <f t="shared" si="98"/>
        <v>PHFE CDPH ELC 2019-2024</v>
      </c>
      <c r="D481" s="6" t="str">
        <f t="shared" si="99"/>
        <v>NEXOGEN, INC.</v>
      </c>
      <c r="E481">
        <f t="shared" si="100"/>
        <v>25566796</v>
      </c>
      <c r="F481" t="str">
        <f t="shared" si="101"/>
        <v>CDC</v>
      </c>
      <c r="G481" t="str">
        <f t="shared" si="102"/>
        <v>31-4234772</v>
      </c>
      <c r="H481">
        <f t="shared" ca="1" si="103"/>
        <v>2555429</v>
      </c>
      <c r="I481" t="str">
        <f t="shared" si="104"/>
        <v>Annual</v>
      </c>
      <c r="T481" s="67" t="s">
        <v>1971</v>
      </c>
      <c r="U481">
        <v>34020973</v>
      </c>
      <c r="V481" s="10" t="s">
        <v>857</v>
      </c>
      <c r="W481" s="10" t="s">
        <v>857</v>
      </c>
      <c r="Y481" s="1" t="s">
        <v>2419</v>
      </c>
      <c r="AI481" s="1">
        <v>225505</v>
      </c>
      <c r="AJ481" s="1" t="s">
        <v>119</v>
      </c>
      <c r="AK481" s="1" t="str">
        <f t="shared" si="105"/>
        <v/>
      </c>
      <c r="AL481" t="b">
        <f t="shared" si="106"/>
        <v>1</v>
      </c>
      <c r="AM481" s="49" t="str">
        <f t="shared" si="107"/>
        <v>Q</v>
      </c>
      <c r="AP481" s="10" t="s">
        <v>113</v>
      </c>
      <c r="AS481" t="s">
        <v>119</v>
      </c>
      <c r="AT481" s="6" t="s">
        <v>113</v>
      </c>
      <c r="AU481" s="6" t="str">
        <f t="shared" si="108"/>
        <v/>
      </c>
      <c r="AV481" s="6" t="s">
        <v>112</v>
      </c>
      <c r="AW481" s="6" t="str">
        <f t="shared" si="109"/>
        <v/>
      </c>
    </row>
    <row r="482" spans="1:49" ht="60">
      <c r="A482" s="1">
        <v>225505</v>
      </c>
      <c r="B482" t="str">
        <f t="shared" si="97"/>
        <v>9B97FR842727-25</v>
      </c>
      <c r="C482" s="6" t="str">
        <f t="shared" si="98"/>
        <v>PHFE CDPH ELC 2019-2024</v>
      </c>
      <c r="D482" s="6" t="str">
        <f t="shared" si="99"/>
        <v>NEXOGEN, INC.</v>
      </c>
      <c r="E482">
        <f t="shared" si="100"/>
        <v>25566796</v>
      </c>
      <c r="F482" t="str">
        <f t="shared" si="101"/>
        <v>CDC</v>
      </c>
      <c r="G482" t="str">
        <f t="shared" si="102"/>
        <v>31-4234772</v>
      </c>
      <c r="H482">
        <f t="shared" ca="1" si="103"/>
        <v>2555429</v>
      </c>
      <c r="I482" t="str">
        <f t="shared" si="104"/>
        <v>Annual</v>
      </c>
      <c r="T482" s="53" t="s">
        <v>2420</v>
      </c>
      <c r="U482">
        <v>34020973</v>
      </c>
      <c r="V482" s="10" t="s">
        <v>865</v>
      </c>
      <c r="W482" s="10" t="s">
        <v>865</v>
      </c>
      <c r="Y482" s="1" t="s">
        <v>2421</v>
      </c>
      <c r="AI482" s="1">
        <v>225505</v>
      </c>
      <c r="AJ482" s="1" t="s">
        <v>119</v>
      </c>
      <c r="AK482" s="1" t="str">
        <f t="shared" si="105"/>
        <v/>
      </c>
      <c r="AL482" t="b">
        <f t="shared" si="106"/>
        <v>1</v>
      </c>
      <c r="AM482" s="49" t="str">
        <f t="shared" si="107"/>
        <v>Q</v>
      </c>
      <c r="AP482" s="10"/>
      <c r="AS482" t="s">
        <v>119</v>
      </c>
      <c r="AT482" s="6" t="s">
        <v>812</v>
      </c>
      <c r="AU482" s="6" t="str">
        <f t="shared" si="108"/>
        <v/>
      </c>
      <c r="AV482" s="6" t="s">
        <v>811</v>
      </c>
      <c r="AW482" s="6" t="str">
        <f t="shared" si="109"/>
        <v/>
      </c>
    </row>
    <row r="483" spans="1:49" ht="165">
      <c r="A483" s="1">
        <v>227026</v>
      </c>
      <c r="B483" t="str">
        <f t="shared" si="97"/>
        <v>6B83GR843323-38</v>
      </c>
      <c r="C483" s="6" t="str">
        <f t="shared" si="98"/>
        <v>THE ENHANCING HEALTH RESILIENCE TO CLIMATE CHANGE THROUGH ADAPTATION PROJECT WILL ALLOW FOR THE IMPLEMENTATION OF INTERVENTIONS TO PROTECT RESIDENTS AGAINST THE HEALTH IMPACTS OF CLIMATE
CHANGE.</v>
      </c>
      <c r="D483" s="6" t="str">
        <f t="shared" si="99"/>
        <v>NEXTRAST, INC.</v>
      </c>
      <c r="E483">
        <f t="shared" si="100"/>
        <v>15214380</v>
      </c>
      <c r="F483" t="str">
        <f t="shared" si="101"/>
        <v>NIH</v>
      </c>
      <c r="G483" t="str">
        <f t="shared" si="102"/>
        <v>31-4234773</v>
      </c>
      <c r="H483">
        <f t="shared" ca="1" si="103"/>
        <v>2675510</v>
      </c>
      <c r="I483" t="str">
        <f t="shared" si="104"/>
        <v>Annual</v>
      </c>
      <c r="T483" s="54" t="s">
        <v>2422</v>
      </c>
      <c r="U483">
        <v>2698136</v>
      </c>
      <c r="V483" s="10" t="s">
        <v>869</v>
      </c>
      <c r="W483" s="10" t="s">
        <v>869</v>
      </c>
      <c r="Y483" s="1" t="s">
        <v>2423</v>
      </c>
      <c r="AI483" s="1">
        <v>227026</v>
      </c>
      <c r="AJ483" s="1" t="s">
        <v>119</v>
      </c>
      <c r="AK483" s="1" t="str">
        <f t="shared" si="105"/>
        <v/>
      </c>
      <c r="AL483" t="b">
        <f t="shared" si="106"/>
        <v>1</v>
      </c>
      <c r="AM483" s="49" t="str">
        <f t="shared" si="107"/>
        <v>Q</v>
      </c>
      <c r="AP483" s="10" t="s">
        <v>97</v>
      </c>
      <c r="AS483" t="s">
        <v>119</v>
      </c>
      <c r="AT483" s="6" t="s">
        <v>97</v>
      </c>
      <c r="AU483" s="6" t="str">
        <f t="shared" si="108"/>
        <v/>
      </c>
      <c r="AV483" s="6" t="s">
        <v>96</v>
      </c>
      <c r="AW483" s="6" t="str">
        <f t="shared" si="109"/>
        <v/>
      </c>
    </row>
    <row r="484" spans="1:49" ht="165">
      <c r="A484" s="1">
        <v>227026</v>
      </c>
      <c r="B484" t="str">
        <f t="shared" si="97"/>
        <v>6B83GR843323-38</v>
      </c>
      <c r="C484" s="6" t="str">
        <f t="shared" si="98"/>
        <v>THE ENHANCING HEALTH RESILIENCE TO CLIMATE CHANGE THROUGH ADAPTATION PROJECT WILL ALLOW FOR THE IMPLEMENTATION OF INTERVENTIONS TO PROTECT RESIDENTS AGAINST THE HEALTH IMPACTS OF CLIMATE
CHANGE.</v>
      </c>
      <c r="D484" s="6" t="str">
        <f t="shared" si="99"/>
        <v>NEXTRAST, INC.</v>
      </c>
      <c r="E484">
        <f t="shared" si="100"/>
        <v>15214380</v>
      </c>
      <c r="F484" t="str">
        <f t="shared" si="101"/>
        <v>NIH</v>
      </c>
      <c r="G484" t="str">
        <f t="shared" si="102"/>
        <v>31-4234773</v>
      </c>
      <c r="H484">
        <f t="shared" ca="1" si="103"/>
        <v>2675510</v>
      </c>
      <c r="I484" t="str">
        <f t="shared" si="104"/>
        <v>Annual</v>
      </c>
      <c r="T484" s="53" t="s">
        <v>2424</v>
      </c>
      <c r="U484">
        <v>2698136</v>
      </c>
      <c r="V484" s="10" t="s">
        <v>875</v>
      </c>
      <c r="W484" s="10" t="s">
        <v>875</v>
      </c>
      <c r="Y484" s="1" t="s">
        <v>2425</v>
      </c>
      <c r="AI484" s="1">
        <v>227026</v>
      </c>
      <c r="AJ484" s="1" t="s">
        <v>119</v>
      </c>
      <c r="AK484" s="1" t="str">
        <f t="shared" si="105"/>
        <v/>
      </c>
      <c r="AL484" t="b">
        <f t="shared" si="106"/>
        <v>1</v>
      </c>
      <c r="AM484" s="49" t="str">
        <f t="shared" si="107"/>
        <v>Q</v>
      </c>
      <c r="AP484" s="10" t="s">
        <v>327</v>
      </c>
      <c r="AS484" t="s">
        <v>119</v>
      </c>
      <c r="AT484" s="6" t="s">
        <v>327</v>
      </c>
      <c r="AU484" s="6" t="str">
        <f t="shared" si="108"/>
        <v/>
      </c>
      <c r="AV484" s="6" t="s">
        <v>104</v>
      </c>
      <c r="AW484" s="6" t="str">
        <f t="shared" si="109"/>
        <v/>
      </c>
    </row>
    <row r="485" spans="1:49" ht="165">
      <c r="A485" s="1">
        <v>227026</v>
      </c>
      <c r="B485" t="str">
        <f t="shared" si="97"/>
        <v>6B83GR843323-38</v>
      </c>
      <c r="C485" s="6" t="str">
        <f t="shared" si="98"/>
        <v>THE ENHANCING HEALTH RESILIENCE TO CLIMATE CHANGE THROUGH ADAPTATION PROJECT WILL ALLOW FOR THE IMPLEMENTATION OF INTERVENTIONS TO PROTECT RESIDENTS AGAINST THE HEALTH IMPACTS OF CLIMATE
CHANGE.</v>
      </c>
      <c r="D485" s="6" t="str">
        <f t="shared" si="99"/>
        <v>NEXTRAST, INC.</v>
      </c>
      <c r="E485">
        <f t="shared" si="100"/>
        <v>15214380</v>
      </c>
      <c r="F485" t="str">
        <f t="shared" si="101"/>
        <v>NIH</v>
      </c>
      <c r="G485" t="str">
        <f t="shared" si="102"/>
        <v>31-4234773</v>
      </c>
      <c r="H485">
        <f t="shared" ca="1" si="103"/>
        <v>2675510</v>
      </c>
      <c r="I485" t="str">
        <f t="shared" si="104"/>
        <v>Annual</v>
      </c>
      <c r="T485" s="54" t="s">
        <v>1951</v>
      </c>
      <c r="U485">
        <v>2698136</v>
      </c>
      <c r="V485" s="10" t="s">
        <v>880</v>
      </c>
      <c r="W485" s="10" t="s">
        <v>880</v>
      </c>
      <c r="Y485" s="1" t="s">
        <v>2426</v>
      </c>
      <c r="AI485" s="1">
        <v>227026</v>
      </c>
      <c r="AJ485" s="1" t="s">
        <v>119</v>
      </c>
      <c r="AK485" s="1" t="str">
        <f t="shared" si="105"/>
        <v/>
      </c>
      <c r="AL485" t="b">
        <f t="shared" si="106"/>
        <v>1</v>
      </c>
      <c r="AM485" s="49" t="str">
        <f t="shared" si="107"/>
        <v>Q</v>
      </c>
      <c r="AP485" s="10" t="s">
        <v>113</v>
      </c>
      <c r="AS485" t="s">
        <v>119</v>
      </c>
      <c r="AT485" s="6" t="s">
        <v>113</v>
      </c>
      <c r="AU485" s="6" t="str">
        <f t="shared" si="108"/>
        <v/>
      </c>
      <c r="AV485" s="6" t="s">
        <v>112</v>
      </c>
      <c r="AW485" s="6" t="str">
        <f t="shared" si="109"/>
        <v/>
      </c>
    </row>
    <row r="486" spans="1:49" ht="90">
      <c r="A486" s="1">
        <v>227039</v>
      </c>
      <c r="B486" t="str">
        <f t="shared" si="97"/>
        <v>8C86BS843823-18</v>
      </c>
      <c r="C486" s="6" t="str">
        <f t="shared" si="98"/>
        <v>COMPREHENSIVE HIGH-IMPACT HIV PREVENTION
PROJECTS FOR COMMUNITY-BASED ORGANIZATIONS</v>
      </c>
      <c r="D486" s="6" t="str">
        <f t="shared" si="99"/>
        <v>NEXTSTEP ROBOTICS, LLC</v>
      </c>
      <c r="E486">
        <f t="shared" si="100"/>
        <v>15214380</v>
      </c>
      <c r="F486" t="str">
        <f t="shared" si="101"/>
        <v>FDA</v>
      </c>
      <c r="G486" t="str">
        <f t="shared" si="102"/>
        <v>31-4234774</v>
      </c>
      <c r="H486">
        <f t="shared" ca="1" si="103"/>
        <v>2091717</v>
      </c>
      <c r="I486" t="str">
        <f t="shared" si="104"/>
        <v>Annual</v>
      </c>
      <c r="T486" s="54" t="s">
        <v>2427</v>
      </c>
      <c r="U486">
        <v>3542312</v>
      </c>
      <c r="V486" s="10" t="s">
        <v>888</v>
      </c>
      <c r="W486" s="10" t="s">
        <v>888</v>
      </c>
      <c r="Y486" s="1" t="s">
        <v>2428</v>
      </c>
      <c r="AI486" s="1">
        <v>227039</v>
      </c>
      <c r="AJ486" s="1" t="s">
        <v>119</v>
      </c>
      <c r="AK486" s="1" t="str">
        <f t="shared" si="105"/>
        <v/>
      </c>
      <c r="AL486" t="b">
        <f t="shared" si="106"/>
        <v>1</v>
      </c>
      <c r="AM486" s="49" t="str">
        <f t="shared" si="107"/>
        <v>Q</v>
      </c>
      <c r="AP486" s="10" t="s">
        <v>97</v>
      </c>
      <c r="AS486" t="s">
        <v>119</v>
      </c>
      <c r="AT486" s="6" t="s">
        <v>97</v>
      </c>
      <c r="AU486" s="6" t="str">
        <f t="shared" si="108"/>
        <v/>
      </c>
      <c r="AV486" s="6" t="s">
        <v>96</v>
      </c>
      <c r="AW486" s="6" t="str">
        <f t="shared" si="109"/>
        <v/>
      </c>
    </row>
    <row r="487" spans="1:49" ht="75">
      <c r="A487" s="1">
        <v>227039</v>
      </c>
      <c r="B487" t="str">
        <f t="shared" si="97"/>
        <v>8C86BS843823-18</v>
      </c>
      <c r="C487" s="6" t="str">
        <f t="shared" si="98"/>
        <v>COMPREHENSIVE HIGH-IMPACT HIV PREVENTION
PROJECTS FOR COMMUNITY-BASED ORGANIZATIONS</v>
      </c>
      <c r="D487" s="6" t="str">
        <f t="shared" si="99"/>
        <v>NEXTSTEP ROBOTICS, LLC</v>
      </c>
      <c r="E487">
        <f t="shared" si="100"/>
        <v>15214380</v>
      </c>
      <c r="F487" t="str">
        <f t="shared" si="101"/>
        <v>FDA</v>
      </c>
      <c r="G487" t="str">
        <f t="shared" si="102"/>
        <v>31-4234774</v>
      </c>
      <c r="H487">
        <f t="shared" ca="1" si="103"/>
        <v>2091717</v>
      </c>
      <c r="I487" t="str">
        <f t="shared" si="104"/>
        <v>Annual</v>
      </c>
      <c r="T487" s="64" t="s">
        <v>2308</v>
      </c>
      <c r="U487">
        <v>3542312</v>
      </c>
      <c r="V487" s="10" t="s">
        <v>894</v>
      </c>
      <c r="W487" s="10" t="s">
        <v>894</v>
      </c>
      <c r="Y487" s="1" t="s">
        <v>2429</v>
      </c>
      <c r="AI487" s="1">
        <v>227039</v>
      </c>
      <c r="AJ487" s="1" t="s">
        <v>119</v>
      </c>
      <c r="AK487" s="1" t="str">
        <f t="shared" si="105"/>
        <v/>
      </c>
      <c r="AL487" t="b">
        <f t="shared" si="106"/>
        <v>1</v>
      </c>
      <c r="AM487" s="49" t="str">
        <f t="shared" si="107"/>
        <v>Q</v>
      </c>
      <c r="AP487" s="10" t="s">
        <v>327</v>
      </c>
      <c r="AS487" t="s">
        <v>119</v>
      </c>
      <c r="AT487" s="6" t="s">
        <v>327</v>
      </c>
      <c r="AU487" s="6" t="str">
        <f t="shared" si="108"/>
        <v/>
      </c>
      <c r="AV487" s="6" t="s">
        <v>104</v>
      </c>
      <c r="AW487" s="6" t="str">
        <f t="shared" si="109"/>
        <v/>
      </c>
    </row>
    <row r="488" spans="1:49" ht="60">
      <c r="A488" s="1">
        <v>227039</v>
      </c>
      <c r="B488" t="str">
        <f t="shared" si="97"/>
        <v>8C86BS843823-18</v>
      </c>
      <c r="C488" s="6" t="str">
        <f t="shared" si="98"/>
        <v>COMPREHENSIVE HIGH-IMPACT HIV PREVENTION
PROJECTS FOR COMMUNITY-BASED ORGANIZATIONS</v>
      </c>
      <c r="D488" s="6" t="str">
        <f t="shared" si="99"/>
        <v>NEXTSTEP ROBOTICS, LLC</v>
      </c>
      <c r="E488">
        <f t="shared" si="100"/>
        <v>15214380</v>
      </c>
      <c r="F488" t="str">
        <f t="shared" si="101"/>
        <v>FDA</v>
      </c>
      <c r="G488" t="str">
        <f t="shared" si="102"/>
        <v>31-4234774</v>
      </c>
      <c r="H488">
        <f t="shared" ca="1" si="103"/>
        <v>2091717</v>
      </c>
      <c r="I488" t="str">
        <f t="shared" si="104"/>
        <v>Annual</v>
      </c>
      <c r="T488" s="55" t="s">
        <v>2430</v>
      </c>
      <c r="U488">
        <v>3542312</v>
      </c>
      <c r="V488" s="10" t="s">
        <v>899</v>
      </c>
      <c r="W488" s="10" t="s">
        <v>899</v>
      </c>
      <c r="Y488" s="1" t="s">
        <v>2431</v>
      </c>
      <c r="AI488" s="1">
        <v>227039</v>
      </c>
      <c r="AJ488" s="1" t="s">
        <v>119</v>
      </c>
      <c r="AK488" s="1" t="str">
        <f t="shared" si="105"/>
        <v/>
      </c>
      <c r="AL488" t="b">
        <f t="shared" si="106"/>
        <v>1</v>
      </c>
      <c r="AM488" s="49" t="str">
        <f t="shared" si="107"/>
        <v>Q</v>
      </c>
      <c r="AP488" s="10" t="s">
        <v>113</v>
      </c>
      <c r="AS488" t="s">
        <v>119</v>
      </c>
      <c r="AT488" s="6" t="s">
        <v>113</v>
      </c>
      <c r="AU488" s="6" t="str">
        <f t="shared" si="108"/>
        <v/>
      </c>
      <c r="AV488" s="6" t="s">
        <v>112</v>
      </c>
      <c r="AW488" s="6" t="str">
        <f t="shared" si="109"/>
        <v/>
      </c>
    </row>
    <row r="489" spans="1:49" ht="120">
      <c r="A489" s="1">
        <v>227051</v>
      </c>
      <c r="B489" t="str">
        <f t="shared" si="97"/>
        <v>1C59BS839924-11</v>
      </c>
      <c r="C489" s="6" t="str">
        <f t="shared" si="98"/>
        <v>HIGH-IMPACT HIV PREVENTION - TARGETING LATINO MSM AGE 18-49 WHO LIVE IN THE LOS
ANGELES MSA, SANTA ANA DIVISION WHICH FALLS WITHIN ORANGE COUNTY, CALIFORNIA.</v>
      </c>
      <c r="D489" s="6" t="str">
        <f t="shared" si="99"/>
        <v>NGOGGLE, INC.</v>
      </c>
      <c r="E489">
        <f t="shared" si="100"/>
        <v>9672701</v>
      </c>
      <c r="F489" t="str">
        <f t="shared" si="101"/>
        <v>ACF</v>
      </c>
      <c r="G489" t="str">
        <f t="shared" si="102"/>
        <v>31-4234775</v>
      </c>
      <c r="H489">
        <f t="shared" ca="1" si="103"/>
        <v>2813359</v>
      </c>
      <c r="I489" t="str">
        <f t="shared" si="104"/>
        <v>Annual</v>
      </c>
      <c r="T489" s="52" t="s">
        <v>2432</v>
      </c>
      <c r="U489">
        <v>12328962</v>
      </c>
      <c r="V489" s="10" t="s">
        <v>903</v>
      </c>
      <c r="W489" s="10" t="s">
        <v>903</v>
      </c>
      <c r="Y489" s="1" t="s">
        <v>2433</v>
      </c>
      <c r="AI489" s="1">
        <v>227051</v>
      </c>
      <c r="AJ489" s="1" t="s">
        <v>119</v>
      </c>
      <c r="AK489" s="1" t="str">
        <f t="shared" si="105"/>
        <v/>
      </c>
      <c r="AL489" t="b">
        <f t="shared" si="106"/>
        <v>1</v>
      </c>
      <c r="AM489" s="49" t="str">
        <f t="shared" si="107"/>
        <v>Q</v>
      </c>
      <c r="AP489" s="10" t="s">
        <v>97</v>
      </c>
      <c r="AS489" t="s">
        <v>119</v>
      </c>
      <c r="AT489" s="6" t="s">
        <v>97</v>
      </c>
      <c r="AU489" s="6" t="str">
        <f t="shared" si="108"/>
        <v/>
      </c>
      <c r="AV489" s="6" t="s">
        <v>96</v>
      </c>
      <c r="AW489" s="6" t="str">
        <f t="shared" si="109"/>
        <v/>
      </c>
    </row>
    <row r="490" spans="1:49" ht="120">
      <c r="A490" s="1">
        <v>227051</v>
      </c>
      <c r="B490" t="str">
        <f t="shared" si="97"/>
        <v>1C59BS839924-11</v>
      </c>
      <c r="C490" s="6" t="str">
        <f t="shared" si="98"/>
        <v>HIGH-IMPACT HIV PREVENTION - TARGETING LATINO MSM AGE 18-49 WHO LIVE IN THE LOS
ANGELES MSA, SANTA ANA DIVISION WHICH FALLS WITHIN ORANGE COUNTY, CALIFORNIA.</v>
      </c>
      <c r="D490" s="6" t="str">
        <f t="shared" si="99"/>
        <v>NGOGGLE, INC.</v>
      </c>
      <c r="E490">
        <f t="shared" si="100"/>
        <v>9672701</v>
      </c>
      <c r="F490" t="str">
        <f t="shared" si="101"/>
        <v>ACF</v>
      </c>
      <c r="G490" t="str">
        <f t="shared" si="102"/>
        <v>31-4234775</v>
      </c>
      <c r="H490">
        <f t="shared" ca="1" si="103"/>
        <v>2813359</v>
      </c>
      <c r="I490" t="str">
        <f t="shared" si="104"/>
        <v>Annual</v>
      </c>
      <c r="T490" s="54" t="s">
        <v>1951</v>
      </c>
      <c r="U490">
        <v>12328962</v>
      </c>
      <c r="V490" s="10" t="s">
        <v>908</v>
      </c>
      <c r="W490" s="10" t="s">
        <v>908</v>
      </c>
      <c r="Y490" s="1" t="s">
        <v>2434</v>
      </c>
      <c r="AI490" s="1">
        <v>227051</v>
      </c>
      <c r="AJ490" s="1" t="s">
        <v>119</v>
      </c>
      <c r="AK490" s="1" t="str">
        <f t="shared" si="105"/>
        <v/>
      </c>
      <c r="AL490" t="b">
        <f t="shared" si="106"/>
        <v>1</v>
      </c>
      <c r="AM490" s="49" t="str">
        <f t="shared" si="107"/>
        <v>Q</v>
      </c>
      <c r="AP490" s="10" t="s">
        <v>327</v>
      </c>
      <c r="AS490" t="s">
        <v>119</v>
      </c>
      <c r="AT490" s="6" t="s">
        <v>327</v>
      </c>
      <c r="AU490" s="6" t="str">
        <f t="shared" si="108"/>
        <v/>
      </c>
      <c r="AV490" s="6" t="s">
        <v>104</v>
      </c>
      <c r="AW490" s="6" t="str">
        <f t="shared" si="109"/>
        <v/>
      </c>
    </row>
    <row r="491" spans="1:49" ht="90">
      <c r="A491" s="1">
        <v>227062</v>
      </c>
      <c r="B491" t="str">
        <f t="shared" si="97"/>
        <v>3C57AS842608-79</v>
      </c>
      <c r="C491" s="6" t="str">
        <f t="shared" si="98"/>
        <v>COMPREHENSIVE HIGH-IMPACT HIV PREVENTION PROJECTS FOR COMMUNITY-BASED
ORGANIZATIONS</v>
      </c>
      <c r="D491" s="6" t="str">
        <f t="shared" si="99"/>
        <v>NGS DETECTORS, LLC</v>
      </c>
      <c r="E491">
        <f t="shared" si="100"/>
        <v>9672701</v>
      </c>
      <c r="F491" t="str">
        <f t="shared" si="101"/>
        <v>CDC</v>
      </c>
      <c r="G491" t="str">
        <f t="shared" si="102"/>
        <v>31-4234776</v>
      </c>
      <c r="H491">
        <f t="shared" ca="1" si="103"/>
        <v>2266321</v>
      </c>
      <c r="I491" t="str">
        <f t="shared" si="104"/>
        <v>Annual</v>
      </c>
      <c r="T491" s="54" t="s">
        <v>1951</v>
      </c>
      <c r="U491">
        <v>5965604</v>
      </c>
      <c r="V491" s="10" t="s">
        <v>912</v>
      </c>
      <c r="W491" s="10" t="s">
        <v>912</v>
      </c>
      <c r="Y491" s="1" t="s">
        <v>2435</v>
      </c>
      <c r="AI491" s="1">
        <v>227062</v>
      </c>
      <c r="AJ491" s="1" t="s">
        <v>119</v>
      </c>
      <c r="AK491" s="1" t="str">
        <f t="shared" si="105"/>
        <v/>
      </c>
      <c r="AL491" t="b">
        <f t="shared" si="106"/>
        <v>1</v>
      </c>
      <c r="AM491" s="49" t="str">
        <f t="shared" si="107"/>
        <v>Q</v>
      </c>
      <c r="AP491" s="10" t="s">
        <v>97</v>
      </c>
      <c r="AS491" t="s">
        <v>119</v>
      </c>
      <c r="AT491" s="6" t="s">
        <v>97</v>
      </c>
      <c r="AU491" s="6" t="str">
        <f t="shared" si="108"/>
        <v/>
      </c>
      <c r="AV491" s="6" t="s">
        <v>96</v>
      </c>
      <c r="AW491" s="6" t="str">
        <f t="shared" si="109"/>
        <v/>
      </c>
    </row>
    <row r="492" spans="1:49" ht="75">
      <c r="A492" s="1">
        <v>227062</v>
      </c>
      <c r="B492" t="str">
        <f t="shared" si="97"/>
        <v>3C57AS842608-79</v>
      </c>
      <c r="C492" s="6" t="str">
        <f t="shared" si="98"/>
        <v>COMPREHENSIVE HIGH-IMPACT HIV PREVENTION PROJECTS FOR COMMUNITY-BASED
ORGANIZATIONS</v>
      </c>
      <c r="D492" s="6" t="str">
        <f t="shared" si="99"/>
        <v>NGS DETECTORS, LLC</v>
      </c>
      <c r="E492">
        <f t="shared" si="100"/>
        <v>9672701</v>
      </c>
      <c r="F492" t="str">
        <f t="shared" si="101"/>
        <v>CDC</v>
      </c>
      <c r="G492" t="str">
        <f t="shared" si="102"/>
        <v>31-4234776</v>
      </c>
      <c r="H492">
        <f t="shared" ca="1" si="103"/>
        <v>2266321</v>
      </c>
      <c r="I492" t="str">
        <f t="shared" si="104"/>
        <v>Annual</v>
      </c>
      <c r="T492" s="54" t="s">
        <v>1951</v>
      </c>
      <c r="U492">
        <v>5965604</v>
      </c>
      <c r="V492" s="10" t="s">
        <v>922</v>
      </c>
      <c r="W492" s="10" t="s">
        <v>922</v>
      </c>
      <c r="Y492" s="1" t="s">
        <v>2436</v>
      </c>
      <c r="AI492" s="1">
        <v>227062</v>
      </c>
      <c r="AJ492" s="1" t="s">
        <v>119</v>
      </c>
      <c r="AK492" s="1" t="str">
        <f t="shared" si="105"/>
        <v/>
      </c>
      <c r="AL492" t="b">
        <f t="shared" si="106"/>
        <v>1</v>
      </c>
      <c r="AM492" s="49" t="str">
        <f t="shared" si="107"/>
        <v>Q</v>
      </c>
      <c r="AP492" s="10" t="s">
        <v>327</v>
      </c>
      <c r="AS492" t="s">
        <v>119</v>
      </c>
      <c r="AT492" s="6" t="s">
        <v>327</v>
      </c>
      <c r="AU492" s="6" t="str">
        <f t="shared" si="108"/>
        <v/>
      </c>
      <c r="AV492" s="6" t="s">
        <v>104</v>
      </c>
      <c r="AW492" s="6" t="str">
        <f t="shared" si="109"/>
        <v/>
      </c>
    </row>
    <row r="493" spans="1:49" ht="75">
      <c r="A493" s="1">
        <v>227062</v>
      </c>
      <c r="B493" t="str">
        <f t="shared" si="97"/>
        <v>3C57AS842608-79</v>
      </c>
      <c r="C493" s="6" t="str">
        <f t="shared" si="98"/>
        <v>COMPREHENSIVE HIGH-IMPACT HIV PREVENTION PROJECTS FOR COMMUNITY-BASED
ORGANIZATIONS</v>
      </c>
      <c r="D493" s="6" t="str">
        <f t="shared" si="99"/>
        <v>NGS DETECTORS, LLC</v>
      </c>
      <c r="E493">
        <f t="shared" si="100"/>
        <v>9672701</v>
      </c>
      <c r="F493" t="str">
        <f t="shared" si="101"/>
        <v>CDC</v>
      </c>
      <c r="G493" t="str">
        <f t="shared" si="102"/>
        <v>31-4234776</v>
      </c>
      <c r="H493">
        <f t="shared" ca="1" si="103"/>
        <v>2266321</v>
      </c>
      <c r="I493" t="str">
        <f t="shared" si="104"/>
        <v>Annual</v>
      </c>
      <c r="T493" s="54" t="s">
        <v>2406</v>
      </c>
      <c r="U493">
        <v>5965604</v>
      </c>
      <c r="V493" s="10" t="s">
        <v>929</v>
      </c>
      <c r="W493" s="10" t="s">
        <v>929</v>
      </c>
      <c r="Y493" s="1" t="s">
        <v>2437</v>
      </c>
      <c r="AI493" s="1">
        <v>227062</v>
      </c>
      <c r="AJ493" s="1" t="s">
        <v>119</v>
      </c>
      <c r="AK493" s="1" t="str">
        <f t="shared" si="105"/>
        <v/>
      </c>
      <c r="AL493" t="b">
        <f t="shared" si="106"/>
        <v>1</v>
      </c>
      <c r="AM493" s="49" t="str">
        <f t="shared" si="107"/>
        <v>Q</v>
      </c>
      <c r="AP493" s="10" t="s">
        <v>113</v>
      </c>
      <c r="AS493" t="s">
        <v>119</v>
      </c>
      <c r="AT493" s="6" t="s">
        <v>113</v>
      </c>
      <c r="AU493" s="6" t="str">
        <f t="shared" si="108"/>
        <v/>
      </c>
      <c r="AV493" s="6" t="s">
        <v>112</v>
      </c>
      <c r="AW493" s="6" t="str">
        <f t="shared" si="109"/>
        <v/>
      </c>
    </row>
    <row r="494" spans="1:49" ht="90">
      <c r="A494" s="1">
        <v>227066</v>
      </c>
      <c r="B494" t="str">
        <f t="shared" si="97"/>
        <v>5B38AR842743-11</v>
      </c>
      <c r="C494" s="6" t="str">
        <f t="shared" si="98"/>
        <v>COMPREHENSIVE HIGH-IMPACT HIV PREVENTION PROJECTS FOR YOUNG LATINO MEN WHO HAVE SEX WITH MEN IN LOS ANGELES COUNTY</v>
      </c>
      <c r="D494" s="6" t="str">
        <f t="shared" si="99"/>
        <v>NICOLALDE R AND D, LLC</v>
      </c>
      <c r="E494">
        <f t="shared" si="100"/>
        <v>9672701</v>
      </c>
      <c r="F494" t="str">
        <f t="shared" si="101"/>
        <v>NIH</v>
      </c>
      <c r="G494" t="str">
        <f t="shared" si="102"/>
        <v>31-4234777</v>
      </c>
      <c r="H494">
        <f t="shared" ca="1" si="103"/>
        <v>2488096</v>
      </c>
      <c r="I494" t="str">
        <f t="shared" si="104"/>
        <v>Annual</v>
      </c>
      <c r="T494" s="54" t="s">
        <v>2438</v>
      </c>
      <c r="U494">
        <v>15401863</v>
      </c>
      <c r="V494" s="10" t="s">
        <v>935</v>
      </c>
      <c r="W494" s="10" t="s">
        <v>935</v>
      </c>
      <c r="Y494" s="1" t="s">
        <v>2439</v>
      </c>
      <c r="AI494" s="1">
        <v>227066</v>
      </c>
      <c r="AJ494" s="1" t="s">
        <v>119</v>
      </c>
      <c r="AK494" s="1" t="str">
        <f t="shared" si="105"/>
        <v/>
      </c>
      <c r="AL494" t="b">
        <f t="shared" si="106"/>
        <v>1</v>
      </c>
      <c r="AM494" s="49" t="str">
        <f t="shared" si="107"/>
        <v>Q</v>
      </c>
      <c r="AP494" s="10" t="s">
        <v>97</v>
      </c>
      <c r="AS494" t="s">
        <v>119</v>
      </c>
      <c r="AT494" s="6" t="s">
        <v>97</v>
      </c>
      <c r="AU494" s="6" t="str">
        <f t="shared" si="108"/>
        <v/>
      </c>
      <c r="AV494" s="6" t="s">
        <v>96</v>
      </c>
      <c r="AW494" s="6" t="str">
        <f t="shared" si="109"/>
        <v/>
      </c>
    </row>
    <row r="495" spans="1:49" ht="120">
      <c r="A495" s="1">
        <v>227066</v>
      </c>
      <c r="B495" t="str">
        <f t="shared" si="97"/>
        <v>5B38AR842743-11</v>
      </c>
      <c r="C495" s="6" t="str">
        <f t="shared" si="98"/>
        <v>COMPREHENSIVE HIGH-IMPACT HIV PREVENTION PROJECTS FOR YOUNG LATINO MEN WHO HAVE SEX WITH MEN IN LOS ANGELES COUNTY</v>
      </c>
      <c r="D495" s="6" t="str">
        <f t="shared" si="99"/>
        <v>NICOLALDE R AND D, LLC</v>
      </c>
      <c r="E495">
        <f t="shared" si="100"/>
        <v>9672701</v>
      </c>
      <c r="F495" t="str">
        <f t="shared" si="101"/>
        <v>NIH</v>
      </c>
      <c r="G495" t="str">
        <f t="shared" si="102"/>
        <v>31-4234777</v>
      </c>
      <c r="H495">
        <f t="shared" ca="1" si="103"/>
        <v>2488096</v>
      </c>
      <c r="I495" t="str">
        <f t="shared" si="104"/>
        <v>Annual</v>
      </c>
      <c r="T495" s="54" t="s">
        <v>2304</v>
      </c>
      <c r="U495">
        <v>15401863</v>
      </c>
      <c r="V495" s="10" t="s">
        <v>941</v>
      </c>
      <c r="W495" s="10" t="s">
        <v>941</v>
      </c>
      <c r="Y495" s="1" t="s">
        <v>2440</v>
      </c>
      <c r="AI495" s="1">
        <v>227066</v>
      </c>
      <c r="AJ495" s="1" t="s">
        <v>119</v>
      </c>
      <c r="AK495" s="1" t="str">
        <f t="shared" si="105"/>
        <v/>
      </c>
      <c r="AL495" t="b">
        <f t="shared" si="106"/>
        <v>1</v>
      </c>
      <c r="AM495" s="49" t="str">
        <f t="shared" si="107"/>
        <v>Q</v>
      </c>
      <c r="AP495" s="10" t="s">
        <v>327</v>
      </c>
      <c r="AS495" t="s">
        <v>119</v>
      </c>
      <c r="AT495" s="6" t="s">
        <v>327</v>
      </c>
      <c r="AU495" s="6" t="str">
        <f t="shared" si="108"/>
        <v/>
      </c>
      <c r="AV495" s="6" t="s">
        <v>104</v>
      </c>
      <c r="AW495" s="6" t="str">
        <f t="shared" si="109"/>
        <v/>
      </c>
    </row>
    <row r="496" spans="1:49" ht="90">
      <c r="A496" s="1">
        <v>227066</v>
      </c>
      <c r="B496" t="str">
        <f t="shared" si="97"/>
        <v>5B38AR842743-11</v>
      </c>
      <c r="C496" s="6" t="str">
        <f t="shared" si="98"/>
        <v>COMPREHENSIVE HIGH-IMPACT HIV PREVENTION PROJECTS FOR YOUNG LATINO MEN WHO HAVE SEX WITH MEN IN LOS ANGELES COUNTY</v>
      </c>
      <c r="D496" s="6" t="str">
        <f t="shared" si="99"/>
        <v>NICOLALDE R AND D, LLC</v>
      </c>
      <c r="E496">
        <f t="shared" si="100"/>
        <v>9672701</v>
      </c>
      <c r="F496" t="str">
        <f t="shared" si="101"/>
        <v>NIH</v>
      </c>
      <c r="G496" t="str">
        <f t="shared" si="102"/>
        <v>31-4234777</v>
      </c>
      <c r="H496">
        <f t="shared" ca="1" si="103"/>
        <v>2488096</v>
      </c>
      <c r="I496" t="str">
        <f t="shared" si="104"/>
        <v>Annual</v>
      </c>
      <c r="T496" s="54" t="s">
        <v>2441</v>
      </c>
      <c r="U496">
        <v>22203446</v>
      </c>
      <c r="V496" s="10" t="s">
        <v>946</v>
      </c>
      <c r="W496" s="10" t="s">
        <v>946</v>
      </c>
      <c r="Y496" s="1" t="s">
        <v>2442</v>
      </c>
      <c r="AI496" s="1">
        <v>227066</v>
      </c>
      <c r="AJ496" s="1" t="s">
        <v>119</v>
      </c>
      <c r="AK496" s="1" t="str">
        <f t="shared" si="105"/>
        <v/>
      </c>
      <c r="AL496" t="b">
        <f t="shared" si="106"/>
        <v>1</v>
      </c>
      <c r="AM496" s="49" t="str">
        <f t="shared" si="107"/>
        <v>Q</v>
      </c>
      <c r="AP496" s="10" t="s">
        <v>113</v>
      </c>
      <c r="AS496" t="s">
        <v>119</v>
      </c>
      <c r="AT496" s="6" t="s">
        <v>113</v>
      </c>
      <c r="AU496" s="6" t="str">
        <f t="shared" si="108"/>
        <v/>
      </c>
      <c r="AV496" s="6" t="s">
        <v>112</v>
      </c>
      <c r="AW496" s="6" t="str">
        <f t="shared" si="109"/>
        <v/>
      </c>
    </row>
    <row r="497" spans="1:49" ht="90">
      <c r="A497" s="1">
        <v>227315</v>
      </c>
      <c r="B497" t="str">
        <f t="shared" si="97"/>
        <v>8B94ER842741-22</v>
      </c>
      <c r="C497" s="6" t="str">
        <f t="shared" si="98"/>
        <v>COMPREHENSIVE HIGH-IMPACT HIV PREVENTION PROJECTS FOR COMMUNITY-BASED
ORGANIZATIONS - APLA HEALTH &amp; WELLNESS R3VNG</v>
      </c>
      <c r="D497" s="6" t="str">
        <f t="shared" si="99"/>
        <v>NIDO SURGICAL, INC.</v>
      </c>
      <c r="E497">
        <f t="shared" si="100"/>
        <v>9672701</v>
      </c>
      <c r="F497" t="str">
        <f t="shared" si="101"/>
        <v>FDA</v>
      </c>
      <c r="G497" t="str">
        <f t="shared" si="102"/>
        <v>31-4234778</v>
      </c>
      <c r="H497">
        <f t="shared" ca="1" si="103"/>
        <v>2908096</v>
      </c>
      <c r="I497" t="str">
        <f t="shared" si="104"/>
        <v>Annual</v>
      </c>
      <c r="T497" s="57" t="s">
        <v>2443</v>
      </c>
      <c r="U497">
        <v>22203446</v>
      </c>
      <c r="V497" s="10" t="s">
        <v>952</v>
      </c>
      <c r="W497" s="10" t="s">
        <v>952</v>
      </c>
      <c r="Y497" s="1" t="s">
        <v>2444</v>
      </c>
      <c r="AI497" s="1">
        <v>227315</v>
      </c>
      <c r="AJ497" s="1" t="s">
        <v>119</v>
      </c>
      <c r="AK497" s="1" t="str">
        <f t="shared" si="105"/>
        <v/>
      </c>
      <c r="AL497" t="b">
        <f t="shared" si="106"/>
        <v>1</v>
      </c>
      <c r="AM497" s="49" t="str">
        <f t="shared" si="107"/>
        <v>Q</v>
      </c>
      <c r="AP497" s="10" t="s">
        <v>97</v>
      </c>
      <c r="AS497" t="s">
        <v>119</v>
      </c>
      <c r="AT497" s="6" t="s">
        <v>97</v>
      </c>
      <c r="AU497" s="6" t="str">
        <f t="shared" si="108"/>
        <v/>
      </c>
      <c r="AV497" s="6" t="s">
        <v>96</v>
      </c>
      <c r="AW497" s="6" t="str">
        <f t="shared" si="109"/>
        <v/>
      </c>
    </row>
    <row r="498" spans="1:49" ht="90">
      <c r="A498" s="1">
        <v>227315</v>
      </c>
      <c r="B498" t="str">
        <f t="shared" si="97"/>
        <v>8B94ER842741-22</v>
      </c>
      <c r="C498" s="6" t="str">
        <f t="shared" si="98"/>
        <v>COMPREHENSIVE HIGH-IMPACT HIV PREVENTION PROJECTS FOR COMMUNITY-BASED
ORGANIZATIONS - APLA HEALTH &amp; WELLNESS R3VNG</v>
      </c>
      <c r="D498" s="6" t="str">
        <f t="shared" si="99"/>
        <v>NIDO SURGICAL, INC.</v>
      </c>
      <c r="E498">
        <f t="shared" si="100"/>
        <v>9672701</v>
      </c>
      <c r="F498" t="str">
        <f t="shared" si="101"/>
        <v>FDA</v>
      </c>
      <c r="G498" t="str">
        <f t="shared" si="102"/>
        <v>31-4234778</v>
      </c>
      <c r="H498">
        <f t="shared" ca="1" si="103"/>
        <v>2908096</v>
      </c>
      <c r="I498" t="str">
        <f t="shared" si="104"/>
        <v>Annual</v>
      </c>
      <c r="T498" s="69" t="s">
        <v>1936</v>
      </c>
      <c r="U498">
        <v>22203446</v>
      </c>
      <c r="V498" s="10" t="s">
        <v>966</v>
      </c>
      <c r="W498" s="10" t="s">
        <v>966</v>
      </c>
      <c r="Y498" s="1" t="s">
        <v>2445</v>
      </c>
      <c r="AI498" s="1">
        <v>227315</v>
      </c>
      <c r="AJ498" s="1" t="s">
        <v>119</v>
      </c>
      <c r="AK498" s="1" t="str">
        <f t="shared" si="105"/>
        <v/>
      </c>
      <c r="AL498" t="b">
        <f t="shared" si="106"/>
        <v>1</v>
      </c>
      <c r="AM498" s="49" t="str">
        <f t="shared" si="107"/>
        <v>Q</v>
      </c>
      <c r="AP498" s="10" t="s">
        <v>327</v>
      </c>
      <c r="AS498" t="s">
        <v>119</v>
      </c>
      <c r="AT498" s="6" t="s">
        <v>327</v>
      </c>
      <c r="AU498" s="6" t="str">
        <f t="shared" si="108"/>
        <v/>
      </c>
      <c r="AV498" s="6" t="s">
        <v>104</v>
      </c>
      <c r="AW498" s="6" t="str">
        <f t="shared" si="109"/>
        <v/>
      </c>
    </row>
    <row r="499" spans="1:49" ht="105">
      <c r="A499" s="1">
        <v>228030</v>
      </c>
      <c r="B499" t="str">
        <f t="shared" si="97"/>
        <v>3D37IT842741-47</v>
      </c>
      <c r="C499" s="6" t="str">
        <f t="shared" si="98"/>
        <v>HIV PREVENTION SERVICES FOR YOUNG TRANSGENDER PERSONS OF COLOR AND THEIR PARTNERS REGARDLESS OF AGE, GENDER, AND
RACE/ETHNICITY.</v>
      </c>
      <c r="D499" s="6" t="str">
        <f t="shared" si="99"/>
        <v>NINE CONTINENTS MEDICAL, INC.</v>
      </c>
      <c r="E499">
        <f t="shared" si="100"/>
        <v>9672701</v>
      </c>
      <c r="F499" t="str">
        <f t="shared" si="101"/>
        <v>ACF</v>
      </c>
      <c r="G499" t="str">
        <f t="shared" si="102"/>
        <v>31-4234779</v>
      </c>
      <c r="H499">
        <f t="shared" ca="1" si="103"/>
        <v>2819377</v>
      </c>
      <c r="I499" t="str">
        <f t="shared" si="104"/>
        <v>Annual</v>
      </c>
      <c r="T499" s="50" t="s">
        <v>1959</v>
      </c>
      <c r="U499">
        <v>22203446</v>
      </c>
      <c r="V499" s="10" t="s">
        <v>973</v>
      </c>
      <c r="W499" s="10" t="s">
        <v>973</v>
      </c>
      <c r="Y499" s="1" t="s">
        <v>2446</v>
      </c>
      <c r="AI499" s="1">
        <v>228030</v>
      </c>
      <c r="AJ499" s="1" t="s">
        <v>119</v>
      </c>
      <c r="AK499" s="1" t="str">
        <f t="shared" si="105"/>
        <v/>
      </c>
      <c r="AL499" t="b">
        <f t="shared" si="106"/>
        <v>1</v>
      </c>
      <c r="AM499" s="49" t="str">
        <f t="shared" si="107"/>
        <v>Q</v>
      </c>
      <c r="AP499" s="10" t="s">
        <v>97</v>
      </c>
      <c r="AS499" t="s">
        <v>119</v>
      </c>
      <c r="AT499" s="6" t="s">
        <v>97</v>
      </c>
      <c r="AU499" s="6" t="str">
        <f t="shared" si="108"/>
        <v/>
      </c>
      <c r="AV499" s="6" t="s">
        <v>96</v>
      </c>
      <c r="AW499" s="6" t="str">
        <f t="shared" si="109"/>
        <v/>
      </c>
    </row>
    <row r="500" spans="1:49" ht="105">
      <c r="A500" s="1">
        <v>228030</v>
      </c>
      <c r="B500" t="str">
        <f t="shared" si="97"/>
        <v>3D37IT842741-47</v>
      </c>
      <c r="C500" s="6" t="str">
        <f t="shared" si="98"/>
        <v>HIV PREVENTION SERVICES FOR YOUNG TRANSGENDER PERSONS OF COLOR AND THEIR PARTNERS REGARDLESS OF AGE, GENDER, AND
RACE/ETHNICITY.</v>
      </c>
      <c r="D500" s="6" t="str">
        <f t="shared" si="99"/>
        <v>NINE CONTINENTS MEDICAL, INC.</v>
      </c>
      <c r="E500">
        <f t="shared" si="100"/>
        <v>9672701</v>
      </c>
      <c r="F500" t="str">
        <f t="shared" si="101"/>
        <v>ACF</v>
      </c>
      <c r="G500" t="str">
        <f t="shared" si="102"/>
        <v>31-4234779</v>
      </c>
      <c r="H500">
        <f t="shared" ca="1" si="103"/>
        <v>2819377</v>
      </c>
      <c r="I500" t="str">
        <f t="shared" si="104"/>
        <v>Annual</v>
      </c>
      <c r="T500" s="57" t="s">
        <v>2215</v>
      </c>
      <c r="U500">
        <v>18136341</v>
      </c>
      <c r="V500" s="10" t="s">
        <v>982</v>
      </c>
      <c r="W500" s="10" t="s">
        <v>982</v>
      </c>
      <c r="Y500" s="1" t="s">
        <v>2447</v>
      </c>
      <c r="AI500" s="1">
        <v>228030</v>
      </c>
      <c r="AJ500" s="1" t="s">
        <v>119</v>
      </c>
      <c r="AK500" s="1" t="str">
        <f t="shared" si="105"/>
        <v/>
      </c>
      <c r="AL500" t="b">
        <f t="shared" si="106"/>
        <v>1</v>
      </c>
      <c r="AM500" s="49" t="str">
        <f t="shared" si="107"/>
        <v>Q</v>
      </c>
      <c r="AP500" s="10" t="s">
        <v>327</v>
      </c>
      <c r="AS500" t="s">
        <v>119</v>
      </c>
      <c r="AT500" s="6" t="s">
        <v>327</v>
      </c>
      <c r="AU500" s="6" t="str">
        <f t="shared" si="108"/>
        <v/>
      </c>
      <c r="AV500" s="6" t="s">
        <v>104</v>
      </c>
      <c r="AW500" s="6" t="str">
        <f t="shared" si="109"/>
        <v/>
      </c>
    </row>
    <row r="501" spans="1:49" ht="105">
      <c r="A501" s="1">
        <v>228030</v>
      </c>
      <c r="B501" t="str">
        <f t="shared" si="97"/>
        <v>3D37IT842741-47</v>
      </c>
      <c r="C501" s="6" t="str">
        <f t="shared" si="98"/>
        <v>HIV PREVENTION SERVICES FOR YOUNG TRANSGENDER PERSONS OF COLOR AND THEIR PARTNERS REGARDLESS OF AGE, GENDER, AND
RACE/ETHNICITY.</v>
      </c>
      <c r="D501" s="6" t="str">
        <f t="shared" si="99"/>
        <v>NINE CONTINENTS MEDICAL, INC.</v>
      </c>
      <c r="E501">
        <f t="shared" si="100"/>
        <v>9672701</v>
      </c>
      <c r="F501" t="str">
        <f t="shared" si="101"/>
        <v>ACF</v>
      </c>
      <c r="G501" t="str">
        <f t="shared" si="102"/>
        <v>31-4234779</v>
      </c>
      <c r="H501">
        <f t="shared" ca="1" si="103"/>
        <v>2819377</v>
      </c>
      <c r="I501" t="str">
        <f t="shared" si="104"/>
        <v>Annual</v>
      </c>
      <c r="T501" s="53" t="s">
        <v>2417</v>
      </c>
      <c r="U501">
        <v>18136341</v>
      </c>
      <c r="V501" s="10" t="s">
        <v>986</v>
      </c>
      <c r="W501" s="10" t="s">
        <v>986</v>
      </c>
      <c r="Y501" s="1" t="s">
        <v>2448</v>
      </c>
      <c r="AI501" s="1">
        <v>228030</v>
      </c>
      <c r="AJ501" s="1" t="s">
        <v>119</v>
      </c>
      <c r="AK501" s="1" t="str">
        <f t="shared" si="105"/>
        <v/>
      </c>
      <c r="AL501" t="b">
        <f t="shared" si="106"/>
        <v>1</v>
      </c>
      <c r="AM501" s="49" t="str">
        <f t="shared" si="107"/>
        <v>Q</v>
      </c>
      <c r="AP501" s="10"/>
      <c r="AS501" t="s">
        <v>119</v>
      </c>
      <c r="AT501" s="6" t="s">
        <v>812</v>
      </c>
      <c r="AU501" s="6" t="str">
        <f t="shared" si="108"/>
        <v/>
      </c>
      <c r="AV501" s="6" t="s">
        <v>811</v>
      </c>
      <c r="AW501" s="6" t="str">
        <f t="shared" si="109"/>
        <v/>
      </c>
    </row>
    <row r="502" spans="1:49" ht="105">
      <c r="A502" s="1">
        <v>228030</v>
      </c>
      <c r="B502" t="str">
        <f t="shared" si="97"/>
        <v>3D37IT842741-47</v>
      </c>
      <c r="C502" s="6" t="str">
        <f t="shared" si="98"/>
        <v>HIV PREVENTION SERVICES FOR YOUNG TRANSGENDER PERSONS OF COLOR AND THEIR PARTNERS REGARDLESS OF AGE, GENDER, AND
RACE/ETHNICITY.</v>
      </c>
      <c r="D502" s="6" t="str">
        <f t="shared" si="99"/>
        <v>NINE CONTINENTS MEDICAL, INC.</v>
      </c>
      <c r="E502">
        <f t="shared" si="100"/>
        <v>9672701</v>
      </c>
      <c r="F502" t="str">
        <f t="shared" si="101"/>
        <v>ACF</v>
      </c>
      <c r="G502" t="str">
        <f t="shared" si="102"/>
        <v>31-4234779</v>
      </c>
      <c r="H502">
        <f t="shared" ca="1" si="103"/>
        <v>2819377</v>
      </c>
      <c r="I502" t="str">
        <f t="shared" si="104"/>
        <v>Annual</v>
      </c>
      <c r="T502" s="57" t="s">
        <v>2430</v>
      </c>
      <c r="U502">
        <v>18136341</v>
      </c>
      <c r="V502" s="10" t="s">
        <v>995</v>
      </c>
      <c r="W502" s="10" t="s">
        <v>995</v>
      </c>
      <c r="Y502" s="1" t="s">
        <v>2449</v>
      </c>
      <c r="AI502" s="1">
        <v>228030</v>
      </c>
      <c r="AJ502" s="1" t="s">
        <v>119</v>
      </c>
      <c r="AK502" s="1" t="str">
        <f t="shared" si="105"/>
        <v/>
      </c>
      <c r="AL502" t="b">
        <f t="shared" si="106"/>
        <v>1</v>
      </c>
      <c r="AM502" s="49" t="str">
        <f t="shared" si="107"/>
        <v>Q</v>
      </c>
      <c r="AP502" s="10"/>
      <c r="AS502" t="s">
        <v>119</v>
      </c>
      <c r="AT502" s="6" t="s">
        <v>812</v>
      </c>
      <c r="AU502" s="6" t="str">
        <f t="shared" si="108"/>
        <v/>
      </c>
      <c r="AV502" s="6" t="s">
        <v>811</v>
      </c>
      <c r="AW502" s="6" t="str">
        <f t="shared" si="109"/>
        <v/>
      </c>
    </row>
    <row r="503" spans="1:49" ht="105">
      <c r="A503" s="1">
        <v>228084</v>
      </c>
      <c r="B503" t="str">
        <f t="shared" si="97"/>
        <v>9B33BR845467-13</v>
      </c>
      <c r="C503" s="6" t="str">
        <f t="shared" si="98"/>
        <v>THE +C4H ACCELERATOR: CQI AND SUSTAINABILITY CAPACITY BUILDING ASSISTANCE FOR HIGH IMPACT HIV PREVENTION PROGRAM
INTEGRATION FOR CBOS</v>
      </c>
      <c r="D503" s="6" t="str">
        <f t="shared" si="99"/>
        <v>NINEPOINT MEDICAL, INC.</v>
      </c>
      <c r="E503">
        <f t="shared" si="100"/>
        <v>34240043</v>
      </c>
      <c r="F503" t="str">
        <f t="shared" si="101"/>
        <v>CDC</v>
      </c>
      <c r="G503" t="str">
        <f t="shared" si="102"/>
        <v>31-4234780</v>
      </c>
      <c r="H503">
        <f t="shared" ca="1" si="103"/>
        <v>2068801</v>
      </c>
      <c r="I503" t="str">
        <f t="shared" si="104"/>
        <v>Annual</v>
      </c>
      <c r="T503" s="52" t="s">
        <v>2384</v>
      </c>
      <c r="U503">
        <v>17394931</v>
      </c>
      <c r="V503" s="10" t="s">
        <v>1000</v>
      </c>
      <c r="W503" s="10" t="s">
        <v>1000</v>
      </c>
      <c r="Y503" s="1" t="s">
        <v>2450</v>
      </c>
      <c r="AI503" s="1">
        <v>228084</v>
      </c>
      <c r="AJ503" s="1" t="s">
        <v>119</v>
      </c>
      <c r="AK503" s="1" t="str">
        <f t="shared" si="105"/>
        <v/>
      </c>
      <c r="AL503" t="b">
        <f t="shared" si="106"/>
        <v>1</v>
      </c>
      <c r="AM503" s="49" t="str">
        <f t="shared" si="107"/>
        <v>Q</v>
      </c>
      <c r="AP503" s="10" t="s">
        <v>97</v>
      </c>
      <c r="AS503" t="s">
        <v>119</v>
      </c>
      <c r="AT503" s="6" t="s">
        <v>97</v>
      </c>
      <c r="AU503" s="6" t="str">
        <f t="shared" si="108"/>
        <v/>
      </c>
      <c r="AV503" s="6" t="s">
        <v>96</v>
      </c>
      <c r="AW503" s="6" t="str">
        <f t="shared" si="109"/>
        <v/>
      </c>
    </row>
    <row r="504" spans="1:49" ht="105">
      <c r="A504" s="1">
        <v>228084</v>
      </c>
      <c r="B504" t="str">
        <f t="shared" si="97"/>
        <v>9B33BR845467-13</v>
      </c>
      <c r="C504" s="6" t="str">
        <f t="shared" si="98"/>
        <v>THE +C4H ACCELERATOR: CQI AND SUSTAINABILITY CAPACITY BUILDING ASSISTANCE FOR HIGH IMPACT HIV PREVENTION PROGRAM
INTEGRATION FOR CBOS</v>
      </c>
      <c r="D504" s="6" t="str">
        <f t="shared" si="99"/>
        <v>NINEPOINT MEDICAL, INC.</v>
      </c>
      <c r="E504">
        <f t="shared" si="100"/>
        <v>34240043</v>
      </c>
      <c r="F504" t="str">
        <f t="shared" si="101"/>
        <v>CDC</v>
      </c>
      <c r="G504" t="str">
        <f t="shared" si="102"/>
        <v>31-4234780</v>
      </c>
      <c r="H504">
        <f t="shared" ca="1" si="103"/>
        <v>2068801</v>
      </c>
      <c r="I504" t="str">
        <f t="shared" si="104"/>
        <v>Annual</v>
      </c>
      <c r="T504" s="64" t="s">
        <v>2396</v>
      </c>
      <c r="U504">
        <v>17394931</v>
      </c>
      <c r="V504" s="10" t="s">
        <v>1006</v>
      </c>
      <c r="W504" s="10" t="s">
        <v>1006</v>
      </c>
      <c r="Y504" s="1" t="s">
        <v>2451</v>
      </c>
      <c r="AI504" s="1">
        <v>228084</v>
      </c>
      <c r="AJ504" s="1" t="s">
        <v>119</v>
      </c>
      <c r="AK504" s="1" t="str">
        <f t="shared" si="105"/>
        <v/>
      </c>
      <c r="AL504" t="b">
        <f t="shared" si="106"/>
        <v>1</v>
      </c>
      <c r="AM504" s="49" t="str">
        <f t="shared" si="107"/>
        <v>Q</v>
      </c>
      <c r="AP504" s="10" t="s">
        <v>327</v>
      </c>
      <c r="AS504" t="s">
        <v>119</v>
      </c>
      <c r="AT504" s="6" t="s">
        <v>327</v>
      </c>
      <c r="AU504" s="6" t="str">
        <f t="shared" si="108"/>
        <v/>
      </c>
      <c r="AV504" s="6" t="s">
        <v>104</v>
      </c>
      <c r="AW504" s="6" t="str">
        <f t="shared" si="109"/>
        <v/>
      </c>
    </row>
    <row r="505" spans="1:49" ht="105">
      <c r="A505" s="1">
        <v>228084</v>
      </c>
      <c r="B505" t="str">
        <f t="shared" si="97"/>
        <v>9B33BR845467-13</v>
      </c>
      <c r="C505" s="6" t="str">
        <f t="shared" si="98"/>
        <v>THE +C4H ACCELERATOR: CQI AND SUSTAINABILITY CAPACITY BUILDING ASSISTANCE FOR HIGH IMPACT HIV PREVENTION PROGRAM
INTEGRATION FOR CBOS</v>
      </c>
      <c r="D505" s="6" t="str">
        <f t="shared" si="99"/>
        <v>NINEPOINT MEDICAL, INC.</v>
      </c>
      <c r="E505">
        <f t="shared" si="100"/>
        <v>34240043</v>
      </c>
      <c r="F505" t="str">
        <f t="shared" si="101"/>
        <v>CDC</v>
      </c>
      <c r="G505" t="str">
        <f t="shared" si="102"/>
        <v>31-4234780</v>
      </c>
      <c r="H505">
        <f t="shared" ca="1" si="103"/>
        <v>2068801</v>
      </c>
      <c r="I505" t="str">
        <f t="shared" si="104"/>
        <v>Annual</v>
      </c>
      <c r="T505" s="54" t="s">
        <v>2406</v>
      </c>
      <c r="U505">
        <v>17394931</v>
      </c>
      <c r="V505" s="10" t="s">
        <v>1012</v>
      </c>
      <c r="W505" s="10" t="s">
        <v>1012</v>
      </c>
      <c r="Y505" s="1" t="s">
        <v>2452</v>
      </c>
      <c r="AI505" s="1">
        <v>228084</v>
      </c>
      <c r="AJ505" s="1" t="s">
        <v>119</v>
      </c>
      <c r="AK505" s="1" t="str">
        <f t="shared" si="105"/>
        <v/>
      </c>
      <c r="AL505" t="b">
        <f t="shared" si="106"/>
        <v>1</v>
      </c>
      <c r="AM505" s="49" t="str">
        <f t="shared" si="107"/>
        <v>Q</v>
      </c>
      <c r="AP505" s="10" t="s">
        <v>113</v>
      </c>
      <c r="AS505" t="s">
        <v>119</v>
      </c>
      <c r="AT505" s="6" t="s">
        <v>113</v>
      </c>
      <c r="AU505" s="6" t="str">
        <f t="shared" si="108"/>
        <v/>
      </c>
      <c r="AV505" s="6" t="s">
        <v>112</v>
      </c>
      <c r="AW505" s="6" t="str">
        <f t="shared" si="109"/>
        <v/>
      </c>
    </row>
    <row r="506" spans="1:49" ht="90">
      <c r="A506" s="1">
        <v>228101</v>
      </c>
      <c r="B506" t="str">
        <f t="shared" si="97"/>
        <v>1B43CR843430-37</v>
      </c>
      <c r="C506" s="6" t="str">
        <f t="shared" si="98"/>
        <v>COMPREHENSIVE HIGH-IMPACT HIV PREVENTION
PROJECTS FOR COMMUNITY-BASED ORGANIZATIONS</v>
      </c>
      <c r="D506" s="6" t="str">
        <f t="shared" si="99"/>
        <v>NIROGYONE THERAPEUTICS, LLC</v>
      </c>
      <c r="E506">
        <f t="shared" si="100"/>
        <v>34240043</v>
      </c>
      <c r="F506" t="str">
        <f t="shared" si="101"/>
        <v>NIH</v>
      </c>
      <c r="G506" t="str">
        <f t="shared" si="102"/>
        <v>31-4234781</v>
      </c>
      <c r="H506">
        <f t="shared" ca="1" si="103"/>
        <v>2538519</v>
      </c>
      <c r="I506" t="str">
        <f t="shared" si="104"/>
        <v>Annual</v>
      </c>
      <c r="T506" s="52" t="s">
        <v>2453</v>
      </c>
      <c r="U506">
        <v>39316298</v>
      </c>
      <c r="V506" s="10" t="s">
        <v>1017</v>
      </c>
      <c r="W506" s="10" t="s">
        <v>1017</v>
      </c>
      <c r="Y506" s="1" t="s">
        <v>2454</v>
      </c>
      <c r="AI506" s="1">
        <v>228101</v>
      </c>
      <c r="AJ506" s="1" t="s">
        <v>119</v>
      </c>
      <c r="AK506" s="1" t="str">
        <f t="shared" si="105"/>
        <v/>
      </c>
      <c r="AL506" t="b">
        <f t="shared" si="106"/>
        <v>1</v>
      </c>
      <c r="AM506" s="49" t="str">
        <f t="shared" si="107"/>
        <v>Q</v>
      </c>
      <c r="AP506" s="10" t="s">
        <v>97</v>
      </c>
      <c r="AS506" t="s">
        <v>119</v>
      </c>
      <c r="AT506" s="6" t="s">
        <v>97</v>
      </c>
      <c r="AU506" s="6" t="str">
        <f t="shared" si="108"/>
        <v/>
      </c>
      <c r="AV506" s="6" t="s">
        <v>96</v>
      </c>
      <c r="AW506" s="6" t="str">
        <f t="shared" si="109"/>
        <v/>
      </c>
    </row>
    <row r="507" spans="1:49" ht="75">
      <c r="A507" s="1">
        <v>228101</v>
      </c>
      <c r="B507" t="str">
        <f t="shared" si="97"/>
        <v>1B43CR843430-37</v>
      </c>
      <c r="C507" s="6" t="str">
        <f t="shared" si="98"/>
        <v>COMPREHENSIVE HIGH-IMPACT HIV PREVENTION
PROJECTS FOR COMMUNITY-BASED ORGANIZATIONS</v>
      </c>
      <c r="D507" s="6" t="str">
        <f t="shared" si="99"/>
        <v>NIROGYONE THERAPEUTICS, LLC</v>
      </c>
      <c r="E507">
        <f t="shared" si="100"/>
        <v>34240043</v>
      </c>
      <c r="F507" t="str">
        <f t="shared" si="101"/>
        <v>NIH</v>
      </c>
      <c r="G507" t="str">
        <f t="shared" si="102"/>
        <v>31-4234781</v>
      </c>
      <c r="H507">
        <f t="shared" ca="1" si="103"/>
        <v>2538519</v>
      </c>
      <c r="I507" t="str">
        <f t="shared" si="104"/>
        <v>Annual</v>
      </c>
      <c r="T507" s="54" t="s">
        <v>2287</v>
      </c>
      <c r="U507">
        <v>39316298</v>
      </c>
      <c r="V507" s="10" t="s">
        <v>1023</v>
      </c>
      <c r="W507" s="10" t="s">
        <v>1023</v>
      </c>
      <c r="Y507" s="1" t="s">
        <v>2455</v>
      </c>
      <c r="AI507" s="1">
        <v>228101</v>
      </c>
      <c r="AJ507" s="1" t="s">
        <v>119</v>
      </c>
      <c r="AK507" s="1" t="str">
        <f t="shared" si="105"/>
        <v/>
      </c>
      <c r="AL507" t="b">
        <f t="shared" si="106"/>
        <v>1</v>
      </c>
      <c r="AM507" s="49" t="str">
        <f t="shared" si="107"/>
        <v>Q</v>
      </c>
      <c r="AP507" s="10" t="s">
        <v>327</v>
      </c>
      <c r="AS507" t="s">
        <v>119</v>
      </c>
      <c r="AT507" s="6" t="s">
        <v>327</v>
      </c>
      <c r="AU507" s="6" t="str">
        <f t="shared" si="108"/>
        <v/>
      </c>
      <c r="AV507" s="6" t="s">
        <v>104</v>
      </c>
      <c r="AW507" s="6" t="str">
        <f t="shared" si="109"/>
        <v/>
      </c>
    </row>
    <row r="508" spans="1:49" ht="90">
      <c r="A508" s="1">
        <v>228103</v>
      </c>
      <c r="B508" t="str">
        <f t="shared" si="97"/>
        <v>6B68CR842913-70</v>
      </c>
      <c r="C508" s="6" t="str">
        <f t="shared" si="98"/>
        <v>COMPREHENSIVE HIGH-IMPACT HIV PREVENTION
PROJECTS FOR COMMUNITY-BASED ORGANIZATIONS</v>
      </c>
      <c r="D508" s="6" t="str">
        <f t="shared" si="99"/>
        <v>NIRSUM LABORATORIES, INC.</v>
      </c>
      <c r="E508">
        <f t="shared" si="100"/>
        <v>34240043</v>
      </c>
      <c r="F508" t="str">
        <f t="shared" si="101"/>
        <v>FDA</v>
      </c>
      <c r="G508" t="str">
        <f t="shared" si="102"/>
        <v>31-4234782</v>
      </c>
      <c r="H508">
        <f t="shared" ca="1" si="103"/>
        <v>2831430</v>
      </c>
      <c r="I508" t="str">
        <f t="shared" si="104"/>
        <v>Annual</v>
      </c>
      <c r="T508" s="57" t="s">
        <v>2326</v>
      </c>
      <c r="U508">
        <v>39316298</v>
      </c>
      <c r="V508" s="10" t="s">
        <v>1034</v>
      </c>
      <c r="W508" s="10" t="s">
        <v>1034</v>
      </c>
      <c r="Y508" s="1" t="s">
        <v>2456</v>
      </c>
      <c r="AI508" s="1">
        <v>228103</v>
      </c>
      <c r="AJ508" s="1" t="s">
        <v>119</v>
      </c>
      <c r="AK508" s="1" t="str">
        <f t="shared" si="105"/>
        <v/>
      </c>
      <c r="AL508" t="b">
        <f t="shared" si="106"/>
        <v>1</v>
      </c>
      <c r="AM508" s="49" t="str">
        <f t="shared" si="107"/>
        <v>Q</v>
      </c>
      <c r="AP508" s="10" t="s">
        <v>97</v>
      </c>
      <c r="AS508" t="s">
        <v>119</v>
      </c>
      <c r="AT508" s="6" t="s">
        <v>97</v>
      </c>
      <c r="AU508" s="6" t="str">
        <f t="shared" si="108"/>
        <v/>
      </c>
      <c r="AV508" s="6" t="s">
        <v>96</v>
      </c>
      <c r="AW508" s="6" t="str">
        <f t="shared" si="109"/>
        <v/>
      </c>
    </row>
    <row r="509" spans="1:49" ht="75">
      <c r="A509" s="1">
        <v>228103</v>
      </c>
      <c r="B509" t="str">
        <f t="shared" si="97"/>
        <v>6B68CR842913-70</v>
      </c>
      <c r="C509" s="6" t="str">
        <f t="shared" si="98"/>
        <v>COMPREHENSIVE HIGH-IMPACT HIV PREVENTION
PROJECTS FOR COMMUNITY-BASED ORGANIZATIONS</v>
      </c>
      <c r="D509" s="6" t="str">
        <f t="shared" si="99"/>
        <v>NIRSUM LABORATORIES, INC.</v>
      </c>
      <c r="E509">
        <f t="shared" si="100"/>
        <v>34240043</v>
      </c>
      <c r="F509" t="str">
        <f t="shared" si="101"/>
        <v>FDA</v>
      </c>
      <c r="G509" t="str">
        <f t="shared" si="102"/>
        <v>31-4234782</v>
      </c>
      <c r="H509">
        <f t="shared" ca="1" si="103"/>
        <v>2831430</v>
      </c>
      <c r="I509" t="str">
        <f t="shared" si="104"/>
        <v>Annual</v>
      </c>
      <c r="T509" s="52" t="s">
        <v>2022</v>
      </c>
      <c r="U509">
        <v>39316298</v>
      </c>
      <c r="V509" s="10" t="s">
        <v>1042</v>
      </c>
      <c r="W509" s="10" t="s">
        <v>1042</v>
      </c>
      <c r="Y509" s="1" t="s">
        <v>2457</v>
      </c>
      <c r="AI509" s="1">
        <v>228103</v>
      </c>
      <c r="AJ509" s="1" t="s">
        <v>119</v>
      </c>
      <c r="AK509" s="1" t="str">
        <f t="shared" si="105"/>
        <v/>
      </c>
      <c r="AL509" t="b">
        <f t="shared" si="106"/>
        <v>1</v>
      </c>
      <c r="AM509" s="49" t="str">
        <f t="shared" si="107"/>
        <v>Q</v>
      </c>
      <c r="AP509" s="10" t="s">
        <v>327</v>
      </c>
      <c r="AS509" t="s">
        <v>119</v>
      </c>
      <c r="AT509" s="6" t="s">
        <v>327</v>
      </c>
      <c r="AU509" s="6" t="str">
        <f t="shared" si="108"/>
        <v/>
      </c>
      <c r="AV509" s="6" t="s">
        <v>104</v>
      </c>
      <c r="AW509" s="6" t="str">
        <f t="shared" si="109"/>
        <v/>
      </c>
    </row>
    <row r="510" spans="1:49" ht="165">
      <c r="A510" s="1">
        <v>228285</v>
      </c>
      <c r="B510" t="str">
        <f t="shared" si="97"/>
        <v>5C44CS842757-66</v>
      </c>
      <c r="C510" s="6" t="str">
        <f t="shared" si="98"/>
        <v>PREVENTION POLICY MODELING LAB</v>
      </c>
      <c r="D510" s="6" t="str">
        <f t="shared" si="99"/>
        <v>NIRVANA SCIENCES, INC.</v>
      </c>
      <c r="E510">
        <f t="shared" si="100"/>
        <v>34240043</v>
      </c>
      <c r="F510" t="str">
        <f t="shared" si="101"/>
        <v>ACF</v>
      </c>
      <c r="G510" t="str">
        <f t="shared" si="102"/>
        <v>31-4234783</v>
      </c>
      <c r="H510">
        <f t="shared" ca="1" si="103"/>
        <v>2505187</v>
      </c>
      <c r="I510" t="str">
        <f t="shared" si="104"/>
        <v>Annual</v>
      </c>
      <c r="T510" s="61" t="s">
        <v>2022</v>
      </c>
      <c r="U510">
        <v>3653155</v>
      </c>
      <c r="V510" s="10" t="s">
        <v>1046</v>
      </c>
      <c r="W510" s="10" t="s">
        <v>1046</v>
      </c>
      <c r="Y510" s="1" t="s">
        <v>2458</v>
      </c>
      <c r="AI510" s="1">
        <v>228285</v>
      </c>
      <c r="AJ510" s="1" t="s">
        <v>584</v>
      </c>
      <c r="AK510" s="1" t="str">
        <f t="shared" si="105"/>
        <v/>
      </c>
      <c r="AL510" t="b">
        <f t="shared" si="106"/>
        <v>0</v>
      </c>
      <c r="AM510" s="49" t="str">
        <f t="shared" si="107"/>
        <v>Q</v>
      </c>
      <c r="AP510" s="10" t="s">
        <v>97</v>
      </c>
      <c r="AS510" t="s">
        <v>2350</v>
      </c>
      <c r="AT510" s="6" t="s">
        <v>97</v>
      </c>
      <c r="AU510" s="6" t="str">
        <f t="shared" si="108"/>
        <v>The errors in accounting will be corrected. The accounting policy suggested will be followed. The financials will be recalculated based on the revised accounting policies and submitted.</v>
      </c>
      <c r="AV510" s="6" t="s">
        <v>96</v>
      </c>
      <c r="AW510" s="6" t="str">
        <f t="shared" si="109"/>
        <v>Change in accounting practice</v>
      </c>
    </row>
    <row r="511" spans="1:49" ht="135">
      <c r="A511" s="1">
        <v>228285</v>
      </c>
      <c r="B511" t="str">
        <f t="shared" si="97"/>
        <v>5C44CS842757-66</v>
      </c>
      <c r="C511" s="6" t="str">
        <f t="shared" si="98"/>
        <v>PREVENTION POLICY MODELING LAB</v>
      </c>
      <c r="D511" s="6" t="str">
        <f t="shared" si="99"/>
        <v>NIRVANA SCIENCES, INC.</v>
      </c>
      <c r="E511">
        <f t="shared" si="100"/>
        <v>34240043</v>
      </c>
      <c r="F511" t="str">
        <f t="shared" si="101"/>
        <v>ACF</v>
      </c>
      <c r="G511" t="str">
        <f t="shared" si="102"/>
        <v>31-4234783</v>
      </c>
      <c r="H511">
        <f t="shared" ca="1" si="103"/>
        <v>2505187</v>
      </c>
      <c r="I511" t="str">
        <f t="shared" si="104"/>
        <v>Annual</v>
      </c>
      <c r="T511" s="57" t="s">
        <v>2215</v>
      </c>
      <c r="U511">
        <v>3653155</v>
      </c>
      <c r="V511" s="10" t="s">
        <v>1052</v>
      </c>
      <c r="W511" s="10" t="s">
        <v>1052</v>
      </c>
      <c r="Y511" s="1" t="s">
        <v>2459</v>
      </c>
      <c r="AI511" s="1">
        <v>228285</v>
      </c>
      <c r="AJ511" s="1" t="s">
        <v>584</v>
      </c>
      <c r="AK511" s="1" t="str">
        <f t="shared" si="105"/>
        <v/>
      </c>
      <c r="AL511" t="b">
        <f t="shared" si="106"/>
        <v>0</v>
      </c>
      <c r="AM511" s="49" t="str">
        <f t="shared" si="107"/>
        <v>Q</v>
      </c>
      <c r="AP511" s="10" t="s">
        <v>327</v>
      </c>
      <c r="AS511" t="s">
        <v>2350</v>
      </c>
      <c r="AT511" s="6" t="s">
        <v>327</v>
      </c>
      <c r="AU511" s="6" t="str">
        <f t="shared" si="108"/>
        <v>Cost rate will be followed. The revised rate will be applied from the last audit period and the expenditure recalculated and submitted.</v>
      </c>
      <c r="AV511" s="6" t="s">
        <v>104</v>
      </c>
      <c r="AW511" s="6" t="str">
        <f t="shared" si="109"/>
        <v>Cost rate Corrections</v>
      </c>
    </row>
    <row r="512" spans="1:49" ht="90">
      <c r="A512" s="1">
        <v>228285</v>
      </c>
      <c r="B512" t="str">
        <f t="shared" si="97"/>
        <v>5C44CS842757-66</v>
      </c>
      <c r="C512" s="6" t="str">
        <f t="shared" si="98"/>
        <v>PREVENTION POLICY MODELING LAB</v>
      </c>
      <c r="D512" s="6" t="str">
        <f t="shared" si="99"/>
        <v>NIRVANA SCIENCES, INC.</v>
      </c>
      <c r="E512">
        <f t="shared" si="100"/>
        <v>34240043</v>
      </c>
      <c r="F512" t="str">
        <f t="shared" si="101"/>
        <v>ACF</v>
      </c>
      <c r="G512" t="str">
        <f t="shared" si="102"/>
        <v>31-4234783</v>
      </c>
      <c r="H512">
        <f t="shared" ca="1" si="103"/>
        <v>2505187</v>
      </c>
      <c r="I512" t="str">
        <f t="shared" si="104"/>
        <v>Annual</v>
      </c>
      <c r="T512" s="54" t="s">
        <v>2460</v>
      </c>
      <c r="U512">
        <v>3653155</v>
      </c>
      <c r="V512" s="10" t="s">
        <v>1058</v>
      </c>
      <c r="W512" s="10" t="s">
        <v>1058</v>
      </c>
      <c r="Y512" s="1" t="s">
        <v>2461</v>
      </c>
      <c r="AI512" s="1">
        <v>228285</v>
      </c>
      <c r="AJ512" s="1" t="s">
        <v>584</v>
      </c>
      <c r="AK512" s="1" t="str">
        <f t="shared" si="105"/>
        <v/>
      </c>
      <c r="AL512" t="b">
        <f t="shared" si="106"/>
        <v>0</v>
      </c>
      <c r="AM512" s="49" t="str">
        <f t="shared" si="107"/>
        <v>Q</v>
      </c>
      <c r="AP512" s="10" t="s">
        <v>113</v>
      </c>
      <c r="AS512" t="s">
        <v>2350</v>
      </c>
      <c r="AT512" s="6" t="s">
        <v>113</v>
      </c>
      <c r="AU512" s="6" t="str">
        <f t="shared" si="108"/>
        <v>Loan accounts will be reviewed and appropriate amendments will be made and submitted</v>
      </c>
      <c r="AV512" s="6" t="s">
        <v>112</v>
      </c>
      <c r="AW512" s="6" t="str">
        <f t="shared" si="109"/>
        <v>Loan accountsrecalculation</v>
      </c>
    </row>
    <row r="513" spans="1:49" ht="90">
      <c r="A513" s="1">
        <v>228286</v>
      </c>
      <c r="B513" t="str">
        <f t="shared" si="97"/>
        <v>9C42FS844309-95</v>
      </c>
      <c r="C513" s="6" t="str">
        <f t="shared" si="98"/>
        <v>COOPERATIVE AGREEMENT FOR TUBERCULOSIS ELIMINATION AND LABORATORY IN THE STATE OF
CALIFORNIA</v>
      </c>
      <c r="D513" s="6" t="str">
        <f t="shared" si="99"/>
        <v>NODEXUS, INC.</v>
      </c>
      <c r="E513">
        <f t="shared" si="100"/>
        <v>34240043</v>
      </c>
      <c r="F513" t="str">
        <f t="shared" si="101"/>
        <v>CDC</v>
      </c>
      <c r="G513" t="str">
        <f t="shared" si="102"/>
        <v>31-4234784</v>
      </c>
      <c r="H513">
        <f t="shared" ca="1" si="103"/>
        <v>2960301</v>
      </c>
      <c r="I513" t="str">
        <f t="shared" si="104"/>
        <v>Annual</v>
      </c>
      <c r="T513" s="52" t="s">
        <v>2462</v>
      </c>
      <c r="U513">
        <v>3653155</v>
      </c>
      <c r="V513" s="10" t="s">
        <v>1067</v>
      </c>
      <c r="W513" s="10" t="s">
        <v>1067</v>
      </c>
      <c r="Y513" s="1" t="s">
        <v>2463</v>
      </c>
      <c r="AI513" s="1">
        <v>228286</v>
      </c>
      <c r="AJ513" s="1" t="s">
        <v>119</v>
      </c>
      <c r="AK513" s="1" t="str">
        <f t="shared" si="105"/>
        <v/>
      </c>
      <c r="AL513" t="b">
        <f t="shared" si="106"/>
        <v>1</v>
      </c>
      <c r="AM513" s="49" t="str">
        <f t="shared" si="107"/>
        <v>Q</v>
      </c>
      <c r="AP513" s="10" t="s">
        <v>97</v>
      </c>
      <c r="AS513" t="s">
        <v>119</v>
      </c>
      <c r="AT513" s="6" t="s">
        <v>97</v>
      </c>
      <c r="AU513" s="6" t="str">
        <f t="shared" si="108"/>
        <v/>
      </c>
      <c r="AV513" s="6" t="s">
        <v>96</v>
      </c>
      <c r="AW513" s="6" t="str">
        <f t="shared" si="109"/>
        <v/>
      </c>
    </row>
    <row r="514" spans="1:49" ht="90">
      <c r="A514" s="1">
        <v>228286</v>
      </c>
      <c r="B514" t="str">
        <f t="shared" si="97"/>
        <v>9C42FS844309-95</v>
      </c>
      <c r="C514" s="6" t="str">
        <f t="shared" si="98"/>
        <v>COOPERATIVE AGREEMENT FOR TUBERCULOSIS ELIMINATION AND LABORATORY IN THE STATE OF
CALIFORNIA</v>
      </c>
      <c r="D514" s="6" t="str">
        <f t="shared" si="99"/>
        <v>NODEXUS, INC.</v>
      </c>
      <c r="E514">
        <f t="shared" si="100"/>
        <v>34240043</v>
      </c>
      <c r="F514" t="str">
        <f t="shared" si="101"/>
        <v>CDC</v>
      </c>
      <c r="G514" t="str">
        <f t="shared" si="102"/>
        <v>31-4234784</v>
      </c>
      <c r="H514">
        <f t="shared" ca="1" si="103"/>
        <v>2960301</v>
      </c>
      <c r="I514" t="str">
        <f t="shared" si="104"/>
        <v>Annual</v>
      </c>
      <c r="T514" s="54" t="s">
        <v>2304</v>
      </c>
      <c r="U514">
        <v>3653155</v>
      </c>
      <c r="V514" s="10" t="s">
        <v>1072</v>
      </c>
      <c r="W514" s="10" t="s">
        <v>1072</v>
      </c>
      <c r="Y514" s="1" t="s">
        <v>2464</v>
      </c>
      <c r="AI514" s="1">
        <v>228286</v>
      </c>
      <c r="AJ514" s="1" t="s">
        <v>119</v>
      </c>
      <c r="AK514" s="1" t="str">
        <f t="shared" si="105"/>
        <v/>
      </c>
      <c r="AL514" t="b">
        <f t="shared" si="106"/>
        <v>1</v>
      </c>
      <c r="AM514" s="49" t="str">
        <f t="shared" si="107"/>
        <v>Q</v>
      </c>
      <c r="AP514" s="10" t="s">
        <v>327</v>
      </c>
      <c r="AS514" t="s">
        <v>119</v>
      </c>
      <c r="AT514" s="6" t="s">
        <v>327</v>
      </c>
      <c r="AU514" s="6" t="str">
        <f t="shared" si="108"/>
        <v/>
      </c>
      <c r="AV514" s="6" t="s">
        <v>104</v>
      </c>
      <c r="AW514" s="6" t="str">
        <f t="shared" si="109"/>
        <v/>
      </c>
    </row>
    <row r="515" spans="1:49" ht="90">
      <c r="A515" s="1">
        <v>228286</v>
      </c>
      <c r="B515" t="str">
        <f t="shared" ref="B515:B578" si="110">VLOOKUP(A515,$N$2:$Q$206,4,FALSE)</f>
        <v>9C42FS844309-95</v>
      </c>
      <c r="C515" s="6" t="str">
        <f t="shared" ref="C515:C578" si="111">VLOOKUP(A515,$N$2:$T$206,7,FALSE)</f>
        <v>COOPERATIVE AGREEMENT FOR TUBERCULOSIS ELIMINATION AND LABORATORY IN THE STATE OF
CALIFORNIA</v>
      </c>
      <c r="D515" s="6" t="str">
        <f t="shared" ref="D515:D578" si="112">VLOOKUP(A515,$N$2:$W$206,10,FALSE)</f>
        <v>NODEXUS, INC.</v>
      </c>
      <c r="E515">
        <f t="shared" ref="E515:E578" si="113">VLOOKUP(A515,$N$2:$U$206,8,FALSE)</f>
        <v>34240043</v>
      </c>
      <c r="F515" t="str">
        <f t="shared" ref="F515:F578" si="114">VLOOKUP(A515,$N$2:$X$206,11,FALSE)</f>
        <v>CDC</v>
      </c>
      <c r="G515" t="str">
        <f t="shared" ref="G515:G578" si="115">VLOOKUP(A515,$N$2:$Y$206,12,FALSE)</f>
        <v>31-4234784</v>
      </c>
      <c r="H515">
        <f t="shared" ref="H515:H578" ca="1" si="116">VLOOKUP(A515,$N$2:$AA$206,14,FALSE)</f>
        <v>2960301</v>
      </c>
      <c r="I515" t="str">
        <f t="shared" ref="I515:I578" si="117">VLOOKUP(A515,$N$2:$AB$206,15,FALSE)</f>
        <v>Annual</v>
      </c>
      <c r="T515" s="57" t="s">
        <v>2326</v>
      </c>
      <c r="U515">
        <v>3653155</v>
      </c>
      <c r="V515" s="10" t="s">
        <v>1081</v>
      </c>
      <c r="W515" s="10" t="s">
        <v>1081</v>
      </c>
      <c r="Y515" s="1" t="s">
        <v>2465</v>
      </c>
      <c r="AI515" s="1">
        <v>228286</v>
      </c>
      <c r="AJ515" s="1" t="s">
        <v>119</v>
      </c>
      <c r="AK515" s="1" t="str">
        <f t="shared" ref="AK515:AK578" si="118">IF(ISNUMBER(SEARCH("C",AJ515)),"Y","")</f>
        <v/>
      </c>
      <c r="AL515" t="b">
        <f t="shared" ref="AL515:AL578" si="119">OR(LEN(AJ515)=0, ISBLANK(AJ515))</f>
        <v>1</v>
      </c>
      <c r="AM515" s="49" t="str">
        <f t="shared" ref="AM515:AM578" si="120">IF(ISNUMBER(SEARCH("C",AJ515)),"A",IF(ISNUMBER(SEARCH("B",AJ515)),"Q",IF(ISNUMBER(SEARCH("FALSE",AL515)),"Q","Q")))</f>
        <v>Q</v>
      </c>
      <c r="AP515" s="10" t="s">
        <v>113</v>
      </c>
      <c r="AS515" t="s">
        <v>119</v>
      </c>
      <c r="AT515" s="6" t="s">
        <v>113</v>
      </c>
      <c r="AU515" s="6" t="str">
        <f t="shared" ref="AU515:AU578" si="121">IF(LEN(AS515)&gt;0, AT515,"")</f>
        <v/>
      </c>
      <c r="AV515" s="6" t="s">
        <v>112</v>
      </c>
      <c r="AW515" s="6" t="str">
        <f t="shared" ref="AW515:AW578" si="122">IF(LEN(AS515)&gt;0, AV515,"")</f>
        <v/>
      </c>
    </row>
    <row r="516" spans="1:49" ht="90">
      <c r="A516" s="1">
        <v>228390</v>
      </c>
      <c r="B516" t="str">
        <f t="shared" si="110"/>
        <v>2C58FS844309-12</v>
      </c>
      <c r="C516" s="6" t="str">
        <f t="shared" si="111"/>
        <v>INTEGRATED HIV SURVEILLANCE AND
PREVENTION PROGRAMS FOR HEALTH DEPARTMENTS</v>
      </c>
      <c r="D516" s="6" t="str">
        <f t="shared" si="112"/>
        <v>NOGUCHI MEMORIAL INSTITUTE / MEDICAL RES</v>
      </c>
      <c r="E516">
        <f t="shared" si="113"/>
        <v>988626</v>
      </c>
      <c r="F516" t="str">
        <f t="shared" si="114"/>
        <v>NIH</v>
      </c>
      <c r="G516" t="str">
        <f t="shared" si="115"/>
        <v>31-4234785</v>
      </c>
      <c r="H516">
        <f t="shared" ca="1" si="116"/>
        <v>2055177</v>
      </c>
      <c r="I516" t="str">
        <f t="shared" si="117"/>
        <v>Annual</v>
      </c>
      <c r="T516" s="52" t="s">
        <v>2022</v>
      </c>
      <c r="U516">
        <v>15733136</v>
      </c>
      <c r="V516" s="10" t="s">
        <v>1085</v>
      </c>
      <c r="W516" s="10" t="s">
        <v>1085</v>
      </c>
      <c r="Y516" s="1" t="s">
        <v>2466</v>
      </c>
      <c r="AI516" s="1">
        <v>228390</v>
      </c>
      <c r="AJ516" s="1" t="s">
        <v>119</v>
      </c>
      <c r="AK516" s="1" t="str">
        <f t="shared" si="118"/>
        <v/>
      </c>
      <c r="AL516" t="b">
        <f t="shared" si="119"/>
        <v>1</v>
      </c>
      <c r="AM516" s="49" t="str">
        <f t="shared" si="120"/>
        <v>Q</v>
      </c>
      <c r="AP516" s="10" t="s">
        <v>97</v>
      </c>
      <c r="AS516" t="s">
        <v>119</v>
      </c>
      <c r="AT516" s="6" t="s">
        <v>97</v>
      </c>
      <c r="AU516" s="6" t="str">
        <f t="shared" si="121"/>
        <v/>
      </c>
      <c r="AV516" s="6" t="s">
        <v>96</v>
      </c>
      <c r="AW516" s="6" t="str">
        <f t="shared" si="122"/>
        <v/>
      </c>
    </row>
    <row r="517" spans="1:49" ht="75">
      <c r="A517" s="1">
        <v>228390</v>
      </c>
      <c r="B517" t="str">
        <f t="shared" si="110"/>
        <v>2C58FS844309-12</v>
      </c>
      <c r="C517" s="6" t="str">
        <f t="shared" si="111"/>
        <v>INTEGRATED HIV SURVEILLANCE AND
PREVENTION PROGRAMS FOR HEALTH DEPARTMENTS</v>
      </c>
      <c r="D517" s="6" t="str">
        <f t="shared" si="112"/>
        <v>NOGUCHI MEMORIAL INSTITUTE / MEDICAL RES</v>
      </c>
      <c r="E517">
        <f t="shared" si="113"/>
        <v>988626</v>
      </c>
      <c r="F517" t="str">
        <f t="shared" si="114"/>
        <v>NIH</v>
      </c>
      <c r="G517" t="str">
        <f t="shared" si="115"/>
        <v>31-4234785</v>
      </c>
      <c r="H517">
        <f t="shared" ca="1" si="116"/>
        <v>2055177</v>
      </c>
      <c r="I517" t="str">
        <f t="shared" si="117"/>
        <v>Annual</v>
      </c>
      <c r="T517" s="52" t="s">
        <v>2022</v>
      </c>
      <c r="U517">
        <v>15733136</v>
      </c>
      <c r="V517" s="10" t="s">
        <v>1099</v>
      </c>
      <c r="W517" s="10" t="s">
        <v>1099</v>
      </c>
      <c r="Y517" s="1" t="s">
        <v>2467</v>
      </c>
      <c r="AI517" s="1">
        <v>228390</v>
      </c>
      <c r="AJ517" s="1" t="s">
        <v>119</v>
      </c>
      <c r="AK517" s="1" t="str">
        <f t="shared" si="118"/>
        <v/>
      </c>
      <c r="AL517" t="b">
        <f t="shared" si="119"/>
        <v>1</v>
      </c>
      <c r="AM517" s="49" t="str">
        <f t="shared" si="120"/>
        <v>Q</v>
      </c>
      <c r="AP517" s="10" t="s">
        <v>327</v>
      </c>
      <c r="AS517" t="s">
        <v>119</v>
      </c>
      <c r="AT517" s="6" t="s">
        <v>327</v>
      </c>
      <c r="AU517" s="6" t="str">
        <f t="shared" si="121"/>
        <v/>
      </c>
      <c r="AV517" s="6" t="s">
        <v>104</v>
      </c>
      <c r="AW517" s="6" t="str">
        <f t="shared" si="122"/>
        <v/>
      </c>
    </row>
    <row r="518" spans="1:49" ht="60">
      <c r="A518" s="1">
        <v>228390</v>
      </c>
      <c r="B518" t="str">
        <f t="shared" si="110"/>
        <v>2C58FS844309-12</v>
      </c>
      <c r="C518" s="6" t="str">
        <f t="shared" si="111"/>
        <v>INTEGRATED HIV SURVEILLANCE AND
PREVENTION PROGRAMS FOR HEALTH DEPARTMENTS</v>
      </c>
      <c r="D518" s="6" t="str">
        <f t="shared" si="112"/>
        <v>NOGUCHI MEMORIAL INSTITUTE / MEDICAL RES</v>
      </c>
      <c r="E518">
        <f t="shared" si="113"/>
        <v>988626</v>
      </c>
      <c r="F518" t="str">
        <f t="shared" si="114"/>
        <v>NIH</v>
      </c>
      <c r="G518" t="str">
        <f t="shared" si="115"/>
        <v>31-4234785</v>
      </c>
      <c r="H518">
        <f t="shared" ca="1" si="116"/>
        <v>2055177</v>
      </c>
      <c r="I518" t="str">
        <f t="shared" si="117"/>
        <v>Annual</v>
      </c>
      <c r="T518" s="66" t="s">
        <v>2296</v>
      </c>
      <c r="U518">
        <v>15733136</v>
      </c>
      <c r="V518" s="10" t="s">
        <v>1103</v>
      </c>
      <c r="W518" s="10" t="s">
        <v>1103</v>
      </c>
      <c r="Y518" s="1" t="s">
        <v>2468</v>
      </c>
      <c r="AI518" s="1">
        <v>228390</v>
      </c>
      <c r="AJ518" s="1" t="s">
        <v>119</v>
      </c>
      <c r="AK518" s="1" t="str">
        <f t="shared" si="118"/>
        <v/>
      </c>
      <c r="AL518" t="b">
        <f t="shared" si="119"/>
        <v>1</v>
      </c>
      <c r="AM518" s="49" t="str">
        <f t="shared" si="120"/>
        <v>Q</v>
      </c>
      <c r="AP518" s="10" t="s">
        <v>113</v>
      </c>
      <c r="AS518" t="s">
        <v>119</v>
      </c>
      <c r="AT518" s="6" t="s">
        <v>113</v>
      </c>
      <c r="AU518" s="6" t="str">
        <f t="shared" si="121"/>
        <v/>
      </c>
      <c r="AV518" s="6" t="s">
        <v>112</v>
      </c>
      <c r="AW518" s="6" t="str">
        <f t="shared" si="122"/>
        <v/>
      </c>
    </row>
    <row r="519" spans="1:49" ht="60">
      <c r="A519" s="1">
        <v>228390</v>
      </c>
      <c r="B519" t="str">
        <f t="shared" si="110"/>
        <v>2C58FS844309-12</v>
      </c>
      <c r="C519" s="6" t="str">
        <f t="shared" si="111"/>
        <v>INTEGRATED HIV SURVEILLANCE AND
PREVENTION PROGRAMS FOR HEALTH DEPARTMENTS</v>
      </c>
      <c r="D519" s="6" t="str">
        <f t="shared" si="112"/>
        <v>NOGUCHI MEMORIAL INSTITUTE / MEDICAL RES</v>
      </c>
      <c r="E519">
        <f t="shared" si="113"/>
        <v>988626</v>
      </c>
      <c r="F519" t="str">
        <f t="shared" si="114"/>
        <v>NIH</v>
      </c>
      <c r="G519" t="str">
        <f t="shared" si="115"/>
        <v>31-4234785</v>
      </c>
      <c r="H519">
        <f t="shared" ca="1" si="116"/>
        <v>2055177</v>
      </c>
      <c r="I519" t="str">
        <f t="shared" si="117"/>
        <v>Annual</v>
      </c>
      <c r="T519" s="57" t="s">
        <v>2469</v>
      </c>
      <c r="U519">
        <v>10097703</v>
      </c>
      <c r="V519" s="10" t="s">
        <v>1108</v>
      </c>
      <c r="W519" s="10" t="s">
        <v>1108</v>
      </c>
      <c r="Y519" s="1" t="s">
        <v>2470</v>
      </c>
      <c r="AI519" s="1">
        <v>228390</v>
      </c>
      <c r="AJ519" s="1" t="s">
        <v>119</v>
      </c>
      <c r="AK519" s="1" t="str">
        <f t="shared" si="118"/>
        <v/>
      </c>
      <c r="AL519" t="b">
        <f t="shared" si="119"/>
        <v>1</v>
      </c>
      <c r="AM519" s="49" t="str">
        <f t="shared" si="120"/>
        <v>Q</v>
      </c>
      <c r="AP519" s="10"/>
      <c r="AS519" t="s">
        <v>119</v>
      </c>
      <c r="AT519" s="6" t="s">
        <v>812</v>
      </c>
      <c r="AU519" s="6" t="str">
        <f t="shared" si="121"/>
        <v/>
      </c>
      <c r="AV519" s="6" t="s">
        <v>811</v>
      </c>
      <c r="AW519" s="6" t="str">
        <f t="shared" si="122"/>
        <v/>
      </c>
    </row>
    <row r="520" spans="1:49" ht="60">
      <c r="A520" s="1">
        <v>228390</v>
      </c>
      <c r="B520" t="str">
        <f t="shared" si="110"/>
        <v>2C58FS844309-12</v>
      </c>
      <c r="C520" s="6" t="str">
        <f t="shared" si="111"/>
        <v>INTEGRATED HIV SURVEILLANCE AND
PREVENTION PROGRAMS FOR HEALTH DEPARTMENTS</v>
      </c>
      <c r="D520" s="6" t="str">
        <f t="shared" si="112"/>
        <v>NOGUCHI MEMORIAL INSTITUTE / MEDICAL RES</v>
      </c>
      <c r="E520">
        <f t="shared" si="113"/>
        <v>988626</v>
      </c>
      <c r="F520" t="str">
        <f t="shared" si="114"/>
        <v>NIH</v>
      </c>
      <c r="G520" t="str">
        <f t="shared" si="115"/>
        <v>31-4234785</v>
      </c>
      <c r="H520">
        <f t="shared" ca="1" si="116"/>
        <v>2055177</v>
      </c>
      <c r="I520" t="str">
        <f t="shared" si="117"/>
        <v>Annual</v>
      </c>
      <c r="T520" s="54" t="s">
        <v>2304</v>
      </c>
      <c r="U520">
        <v>10097703</v>
      </c>
      <c r="V520" s="10" t="s">
        <v>1118</v>
      </c>
      <c r="W520" s="10" t="s">
        <v>1118</v>
      </c>
      <c r="Y520" s="1" t="s">
        <v>2471</v>
      </c>
      <c r="AI520" s="1">
        <v>228390</v>
      </c>
      <c r="AJ520" s="1" t="s">
        <v>119</v>
      </c>
      <c r="AK520" s="1" t="str">
        <f t="shared" si="118"/>
        <v/>
      </c>
      <c r="AL520" t="b">
        <f t="shared" si="119"/>
        <v>1</v>
      </c>
      <c r="AM520" s="49" t="str">
        <f t="shared" si="120"/>
        <v>Q</v>
      </c>
      <c r="AP520" s="10"/>
      <c r="AS520" t="s">
        <v>119</v>
      </c>
      <c r="AT520" s="6" t="s">
        <v>812</v>
      </c>
      <c r="AU520" s="6" t="str">
        <f t="shared" si="121"/>
        <v/>
      </c>
      <c r="AV520" s="6" t="s">
        <v>811</v>
      </c>
      <c r="AW520" s="6" t="str">
        <f t="shared" si="122"/>
        <v/>
      </c>
    </row>
    <row r="521" spans="1:49" ht="90">
      <c r="A521" s="1">
        <v>228483</v>
      </c>
      <c r="B521" t="str">
        <f t="shared" si="110"/>
        <v>2D90HT844992-92</v>
      </c>
      <c r="C521" s="6" t="str">
        <f t="shared" si="111"/>
        <v>NATIONAL HIV BEHAVIORAL SURVEILLANCE</v>
      </c>
      <c r="D521" s="6" t="str">
        <f t="shared" si="112"/>
        <v>NOKOMIS, INC.</v>
      </c>
      <c r="E521">
        <f t="shared" si="113"/>
        <v>988626</v>
      </c>
      <c r="F521" t="str">
        <f t="shared" si="114"/>
        <v>FDA</v>
      </c>
      <c r="G521" t="str">
        <f t="shared" si="115"/>
        <v>31-4234786</v>
      </c>
      <c r="H521">
        <f t="shared" ca="1" si="116"/>
        <v>2484212</v>
      </c>
      <c r="I521" t="str">
        <f t="shared" si="117"/>
        <v>Annual</v>
      </c>
      <c r="T521" s="50" t="s">
        <v>2319</v>
      </c>
      <c r="U521">
        <v>10097703</v>
      </c>
      <c r="V521" s="10" t="s">
        <v>1122</v>
      </c>
      <c r="W521" s="10" t="s">
        <v>1122</v>
      </c>
      <c r="Y521" s="1" t="s">
        <v>2472</v>
      </c>
      <c r="AI521" s="1">
        <v>228483</v>
      </c>
      <c r="AJ521" s="1" t="s">
        <v>119</v>
      </c>
      <c r="AK521" s="1" t="str">
        <f t="shared" si="118"/>
        <v/>
      </c>
      <c r="AL521" t="b">
        <f t="shared" si="119"/>
        <v>1</v>
      </c>
      <c r="AM521" s="49" t="str">
        <f t="shared" si="120"/>
        <v>Q</v>
      </c>
      <c r="AP521" s="10" t="s">
        <v>97</v>
      </c>
      <c r="AS521" t="s">
        <v>119</v>
      </c>
      <c r="AT521" s="6" t="s">
        <v>97</v>
      </c>
      <c r="AU521" s="6" t="str">
        <f t="shared" si="121"/>
        <v/>
      </c>
      <c r="AV521" s="6" t="s">
        <v>96</v>
      </c>
      <c r="AW521" s="6" t="str">
        <f t="shared" si="122"/>
        <v/>
      </c>
    </row>
    <row r="522" spans="1:49" ht="75">
      <c r="A522" s="1">
        <v>228483</v>
      </c>
      <c r="B522" t="str">
        <f t="shared" si="110"/>
        <v>2D90HT844992-92</v>
      </c>
      <c r="C522" s="6" t="str">
        <f t="shared" si="111"/>
        <v>NATIONAL HIV BEHAVIORAL SURVEILLANCE</v>
      </c>
      <c r="D522" s="6" t="str">
        <f t="shared" si="112"/>
        <v>NOKOMIS, INC.</v>
      </c>
      <c r="E522">
        <f t="shared" si="113"/>
        <v>988626</v>
      </c>
      <c r="F522" t="str">
        <f t="shared" si="114"/>
        <v>FDA</v>
      </c>
      <c r="G522" t="str">
        <f t="shared" si="115"/>
        <v>31-4234786</v>
      </c>
      <c r="H522">
        <f t="shared" ca="1" si="116"/>
        <v>2484212</v>
      </c>
      <c r="I522" t="str">
        <f t="shared" si="117"/>
        <v>Annual</v>
      </c>
      <c r="T522" s="52" t="s">
        <v>2022</v>
      </c>
      <c r="U522">
        <v>10097703</v>
      </c>
      <c r="V522" s="10" t="s">
        <v>1133</v>
      </c>
      <c r="W522" s="10" t="s">
        <v>1133</v>
      </c>
      <c r="Y522" s="1" t="s">
        <v>2473</v>
      </c>
      <c r="AI522" s="1">
        <v>228483</v>
      </c>
      <c r="AJ522" s="1" t="s">
        <v>119</v>
      </c>
      <c r="AK522" s="1" t="str">
        <f t="shared" si="118"/>
        <v/>
      </c>
      <c r="AL522" t="b">
        <f t="shared" si="119"/>
        <v>1</v>
      </c>
      <c r="AM522" s="49" t="str">
        <f t="shared" si="120"/>
        <v>Q</v>
      </c>
      <c r="AP522" s="10" t="s">
        <v>327</v>
      </c>
      <c r="AS522" t="s">
        <v>119</v>
      </c>
      <c r="AT522" s="6" t="s">
        <v>327</v>
      </c>
      <c r="AU522" s="6" t="str">
        <f t="shared" si="121"/>
        <v/>
      </c>
      <c r="AV522" s="6" t="s">
        <v>104</v>
      </c>
      <c r="AW522" s="6" t="str">
        <f t="shared" si="122"/>
        <v/>
      </c>
    </row>
    <row r="523" spans="1:49" ht="90">
      <c r="A523" s="1">
        <v>230493</v>
      </c>
      <c r="B523" t="str">
        <f t="shared" si="110"/>
        <v>8D11FT843361-40</v>
      </c>
      <c r="C523" s="6" t="str">
        <f t="shared" si="111"/>
        <v>STD SURVEILLANCE NETWORK (SSUN)</v>
      </c>
      <c r="D523" s="6" t="str">
        <f t="shared" si="112"/>
        <v>NOOM, INC.</v>
      </c>
      <c r="E523">
        <f t="shared" si="113"/>
        <v>988626</v>
      </c>
      <c r="F523" t="str">
        <f t="shared" si="114"/>
        <v>ACF</v>
      </c>
      <c r="G523" t="str">
        <f t="shared" si="115"/>
        <v>31-4234787</v>
      </c>
      <c r="H523">
        <f t="shared" ca="1" si="116"/>
        <v>2125720</v>
      </c>
      <c r="I523" t="str">
        <f t="shared" si="117"/>
        <v>Annual</v>
      </c>
      <c r="T523" s="52" t="s">
        <v>2022</v>
      </c>
      <c r="U523">
        <v>10097703</v>
      </c>
      <c r="V523" s="10" t="s">
        <v>1139</v>
      </c>
      <c r="W523" s="10" t="s">
        <v>1139</v>
      </c>
      <c r="Y523" s="1" t="s">
        <v>2474</v>
      </c>
      <c r="AI523" s="1">
        <v>230493</v>
      </c>
      <c r="AJ523" s="1" t="s">
        <v>119</v>
      </c>
      <c r="AK523" s="1" t="str">
        <f t="shared" si="118"/>
        <v/>
      </c>
      <c r="AL523" t="b">
        <f t="shared" si="119"/>
        <v>1</v>
      </c>
      <c r="AM523" s="49" t="str">
        <f t="shared" si="120"/>
        <v>Q</v>
      </c>
      <c r="AP523" s="10" t="s">
        <v>97</v>
      </c>
      <c r="AS523" t="s">
        <v>119</v>
      </c>
      <c r="AT523" s="6" t="s">
        <v>97</v>
      </c>
      <c r="AU523" s="6" t="str">
        <f t="shared" si="121"/>
        <v/>
      </c>
      <c r="AV523" s="6" t="s">
        <v>96</v>
      </c>
      <c r="AW523" s="6" t="str">
        <f t="shared" si="122"/>
        <v/>
      </c>
    </row>
    <row r="524" spans="1:49" ht="75">
      <c r="A524" s="1">
        <v>230493</v>
      </c>
      <c r="B524" t="str">
        <f t="shared" si="110"/>
        <v>8D11FT843361-40</v>
      </c>
      <c r="C524" s="6" t="str">
        <f t="shared" si="111"/>
        <v>STD SURVEILLANCE NETWORK (SSUN)</v>
      </c>
      <c r="D524" s="6" t="str">
        <f t="shared" si="112"/>
        <v>NOOM, INC.</v>
      </c>
      <c r="E524">
        <f t="shared" si="113"/>
        <v>988626</v>
      </c>
      <c r="F524" t="str">
        <f t="shared" si="114"/>
        <v>ACF</v>
      </c>
      <c r="G524" t="str">
        <f t="shared" si="115"/>
        <v>31-4234787</v>
      </c>
      <c r="H524">
        <f t="shared" ca="1" si="116"/>
        <v>2125720</v>
      </c>
      <c r="I524" t="str">
        <f t="shared" si="117"/>
        <v>Annual</v>
      </c>
      <c r="T524" s="66" t="s">
        <v>2296</v>
      </c>
      <c r="U524">
        <v>10097703</v>
      </c>
      <c r="V524" s="10" t="s">
        <v>1145</v>
      </c>
      <c r="W524" s="10" t="s">
        <v>1145</v>
      </c>
      <c r="Y524" s="1" t="s">
        <v>2475</v>
      </c>
      <c r="AI524" s="1">
        <v>230493</v>
      </c>
      <c r="AJ524" s="1" t="s">
        <v>119</v>
      </c>
      <c r="AK524" s="1" t="str">
        <f t="shared" si="118"/>
        <v/>
      </c>
      <c r="AL524" t="b">
        <f t="shared" si="119"/>
        <v>1</v>
      </c>
      <c r="AM524" s="49" t="str">
        <f t="shared" si="120"/>
        <v>Q</v>
      </c>
      <c r="AP524" s="10" t="s">
        <v>327</v>
      </c>
      <c r="AS524" t="s">
        <v>119</v>
      </c>
      <c r="AT524" s="6" t="s">
        <v>327</v>
      </c>
      <c r="AU524" s="6" t="str">
        <f t="shared" si="121"/>
        <v/>
      </c>
      <c r="AV524" s="6" t="s">
        <v>104</v>
      </c>
      <c r="AW524" s="6" t="str">
        <f t="shared" si="122"/>
        <v/>
      </c>
    </row>
    <row r="525" spans="1:49" ht="45">
      <c r="A525" s="1">
        <v>230493</v>
      </c>
      <c r="B525" t="str">
        <f t="shared" si="110"/>
        <v>8D11FT843361-40</v>
      </c>
      <c r="C525" s="6" t="str">
        <f t="shared" si="111"/>
        <v>STD SURVEILLANCE NETWORK (SSUN)</v>
      </c>
      <c r="D525" s="6" t="str">
        <f t="shared" si="112"/>
        <v>NOOM, INC.</v>
      </c>
      <c r="E525">
        <f t="shared" si="113"/>
        <v>988626</v>
      </c>
      <c r="F525" t="str">
        <f t="shared" si="114"/>
        <v>ACF</v>
      </c>
      <c r="G525" t="str">
        <f t="shared" si="115"/>
        <v>31-4234787</v>
      </c>
      <c r="H525">
        <f t="shared" ca="1" si="116"/>
        <v>2125720</v>
      </c>
      <c r="I525" t="str">
        <f t="shared" si="117"/>
        <v>Annual</v>
      </c>
      <c r="T525" s="53" t="s">
        <v>2476</v>
      </c>
      <c r="U525">
        <v>10097703</v>
      </c>
      <c r="V525" s="10" t="s">
        <v>1150</v>
      </c>
      <c r="W525" s="10" t="s">
        <v>1150</v>
      </c>
      <c r="Y525" s="1" t="s">
        <v>2477</v>
      </c>
      <c r="AI525" s="1">
        <v>230493</v>
      </c>
      <c r="AJ525" s="1" t="s">
        <v>119</v>
      </c>
      <c r="AK525" s="1" t="str">
        <f t="shared" si="118"/>
        <v/>
      </c>
      <c r="AL525" t="b">
        <f t="shared" si="119"/>
        <v>1</v>
      </c>
      <c r="AM525" s="49" t="str">
        <f t="shared" si="120"/>
        <v>Q</v>
      </c>
      <c r="AP525" s="10" t="s">
        <v>113</v>
      </c>
      <c r="AS525" t="s">
        <v>119</v>
      </c>
      <c r="AT525" s="6" t="s">
        <v>113</v>
      </c>
      <c r="AU525" s="6" t="str">
        <f t="shared" si="121"/>
        <v/>
      </c>
      <c r="AV525" s="6" t="s">
        <v>112</v>
      </c>
      <c r="AW525" s="6" t="str">
        <f t="shared" si="122"/>
        <v/>
      </c>
    </row>
    <row r="526" spans="1:49" ht="90">
      <c r="A526" s="1">
        <v>230495</v>
      </c>
      <c r="B526" t="str">
        <f t="shared" si="110"/>
        <v>6C39CS843361-60</v>
      </c>
      <c r="C526" s="6" t="str">
        <f t="shared" si="111"/>
        <v>STRENGTHENING STD PREVENTION AND CONTROL FOR HEALTH DEPARTMENTS (STD
PCHD)</v>
      </c>
      <c r="D526" s="6" t="str">
        <f t="shared" si="112"/>
        <v>NORFOLK STATE UNIVERSITY</v>
      </c>
      <c r="E526">
        <f t="shared" si="113"/>
        <v>16098312</v>
      </c>
      <c r="F526" t="str">
        <f t="shared" si="114"/>
        <v>CDC</v>
      </c>
      <c r="G526" t="str">
        <f t="shared" si="115"/>
        <v>31-4234788</v>
      </c>
      <c r="H526">
        <f t="shared" ca="1" si="116"/>
        <v>2658393</v>
      </c>
      <c r="I526" t="str">
        <f t="shared" si="117"/>
        <v>Annual</v>
      </c>
      <c r="T526" s="52" t="s">
        <v>2478</v>
      </c>
      <c r="U526">
        <v>23777490</v>
      </c>
      <c r="V526" s="10" t="s">
        <v>1154</v>
      </c>
      <c r="W526" s="10" t="s">
        <v>1154</v>
      </c>
      <c r="Y526" s="1" t="s">
        <v>2479</v>
      </c>
      <c r="AI526" s="1">
        <v>230495</v>
      </c>
      <c r="AJ526" s="1" t="s">
        <v>119</v>
      </c>
      <c r="AK526" s="1" t="str">
        <f t="shared" si="118"/>
        <v/>
      </c>
      <c r="AL526" t="b">
        <f t="shared" si="119"/>
        <v>1</v>
      </c>
      <c r="AM526" s="49" t="str">
        <f t="shared" si="120"/>
        <v>Q</v>
      </c>
      <c r="AP526" s="10" t="s">
        <v>97</v>
      </c>
      <c r="AS526" t="s">
        <v>119</v>
      </c>
      <c r="AT526" s="6" t="s">
        <v>97</v>
      </c>
      <c r="AU526" s="6" t="str">
        <f t="shared" si="121"/>
        <v/>
      </c>
      <c r="AV526" s="6" t="s">
        <v>96</v>
      </c>
      <c r="AW526" s="6" t="str">
        <f t="shared" si="122"/>
        <v/>
      </c>
    </row>
    <row r="527" spans="1:49" ht="75">
      <c r="A527" s="1">
        <v>230495</v>
      </c>
      <c r="B527" t="str">
        <f t="shared" si="110"/>
        <v>6C39CS843361-60</v>
      </c>
      <c r="C527" s="6" t="str">
        <f t="shared" si="111"/>
        <v>STRENGTHENING STD PREVENTION AND CONTROL FOR HEALTH DEPARTMENTS (STD
PCHD)</v>
      </c>
      <c r="D527" s="6" t="str">
        <f t="shared" si="112"/>
        <v>NORFOLK STATE UNIVERSITY</v>
      </c>
      <c r="E527">
        <f t="shared" si="113"/>
        <v>16098312</v>
      </c>
      <c r="F527" t="str">
        <f t="shared" si="114"/>
        <v>CDC</v>
      </c>
      <c r="G527" t="str">
        <f t="shared" si="115"/>
        <v>31-4234788</v>
      </c>
      <c r="H527">
        <f t="shared" ca="1" si="116"/>
        <v>2658393</v>
      </c>
      <c r="I527" t="str">
        <f t="shared" si="117"/>
        <v>Annual</v>
      </c>
      <c r="T527" s="54" t="s">
        <v>2480</v>
      </c>
      <c r="U527">
        <v>23777490</v>
      </c>
      <c r="V527" s="10" t="s">
        <v>1163</v>
      </c>
      <c r="W527" s="10" t="s">
        <v>1163</v>
      </c>
      <c r="Y527" s="1" t="s">
        <v>2481</v>
      </c>
      <c r="AI527" s="1">
        <v>230495</v>
      </c>
      <c r="AJ527" s="1" t="s">
        <v>119</v>
      </c>
      <c r="AK527" s="1" t="str">
        <f t="shared" si="118"/>
        <v/>
      </c>
      <c r="AL527" t="b">
        <f t="shared" si="119"/>
        <v>1</v>
      </c>
      <c r="AM527" s="49" t="str">
        <f t="shared" si="120"/>
        <v>Q</v>
      </c>
      <c r="AP527" s="10" t="s">
        <v>327</v>
      </c>
      <c r="AS527" t="s">
        <v>119</v>
      </c>
      <c r="AT527" s="6" t="s">
        <v>327</v>
      </c>
      <c r="AU527" s="6" t="str">
        <f t="shared" si="121"/>
        <v/>
      </c>
      <c r="AV527" s="6" t="s">
        <v>104</v>
      </c>
      <c r="AW527" s="6" t="str">
        <f t="shared" si="122"/>
        <v/>
      </c>
    </row>
    <row r="528" spans="1:49" ht="75">
      <c r="A528" s="1">
        <v>230495</v>
      </c>
      <c r="B528" t="str">
        <f t="shared" si="110"/>
        <v>6C39CS843361-60</v>
      </c>
      <c r="C528" s="6" t="str">
        <f t="shared" si="111"/>
        <v>STRENGTHENING STD PREVENTION AND CONTROL FOR HEALTH DEPARTMENTS (STD
PCHD)</v>
      </c>
      <c r="D528" s="6" t="str">
        <f t="shared" si="112"/>
        <v>NORFOLK STATE UNIVERSITY</v>
      </c>
      <c r="E528">
        <f t="shared" si="113"/>
        <v>16098312</v>
      </c>
      <c r="F528" t="str">
        <f t="shared" si="114"/>
        <v>CDC</v>
      </c>
      <c r="G528" t="str">
        <f t="shared" si="115"/>
        <v>31-4234788</v>
      </c>
      <c r="H528">
        <f t="shared" ca="1" si="116"/>
        <v>2658393</v>
      </c>
      <c r="I528" t="str">
        <f t="shared" si="117"/>
        <v>Annual</v>
      </c>
      <c r="T528" s="54" t="s">
        <v>2482</v>
      </c>
      <c r="U528">
        <v>23777490</v>
      </c>
      <c r="V528" s="10" t="s">
        <v>1167</v>
      </c>
      <c r="W528" s="10" t="s">
        <v>1167</v>
      </c>
      <c r="Y528" s="1" t="s">
        <v>2483</v>
      </c>
      <c r="AI528" s="1">
        <v>230495</v>
      </c>
      <c r="AJ528" s="1" t="s">
        <v>119</v>
      </c>
      <c r="AK528" s="1" t="str">
        <f t="shared" si="118"/>
        <v/>
      </c>
      <c r="AL528" t="b">
        <f t="shared" si="119"/>
        <v>1</v>
      </c>
      <c r="AM528" s="49" t="str">
        <f t="shared" si="120"/>
        <v>Q</v>
      </c>
      <c r="AP528" s="10" t="s">
        <v>113</v>
      </c>
      <c r="AS528" t="s">
        <v>119</v>
      </c>
      <c r="AT528" s="6" t="s">
        <v>113</v>
      </c>
      <c r="AU528" s="6" t="str">
        <f t="shared" si="121"/>
        <v/>
      </c>
      <c r="AV528" s="6" t="s">
        <v>112</v>
      </c>
      <c r="AW528" s="6" t="str">
        <f t="shared" si="122"/>
        <v/>
      </c>
    </row>
    <row r="529" spans="1:49" ht="135">
      <c r="A529" s="1">
        <v>230503</v>
      </c>
      <c r="B529" t="str">
        <f t="shared" si="110"/>
        <v>9C32IS844106-67</v>
      </c>
      <c r="C529" s="6" t="str">
        <f t="shared" si="111"/>
        <v>THE ADULT VIRAL HEPATITIS PREVENTION AND CONTROL PROGRAM IS FOCUSED ON INCREASING THE NUMBER OF PEOPLE WITH HEPATITIS C WHO ARE AWARE OF THEIR INFECTION SO THEY CAN
BE LINKED TO CARE AND TREATMENT.</v>
      </c>
      <c r="D529" s="6" t="str">
        <f t="shared" si="112"/>
        <v>NORTH AMERICAN ASSN/CENTRAL CANCER REG</v>
      </c>
      <c r="E529">
        <f t="shared" si="113"/>
        <v>16098312</v>
      </c>
      <c r="F529" t="str">
        <f t="shared" si="114"/>
        <v>NIH</v>
      </c>
      <c r="G529" t="str">
        <f t="shared" si="115"/>
        <v>31-4234789</v>
      </c>
      <c r="H529">
        <f t="shared" ca="1" si="116"/>
        <v>2712738</v>
      </c>
      <c r="I529" t="str">
        <f t="shared" si="117"/>
        <v>Annual</v>
      </c>
      <c r="T529" s="52" t="s">
        <v>2478</v>
      </c>
      <c r="U529">
        <v>14535228</v>
      </c>
      <c r="V529" s="10" t="s">
        <v>1172</v>
      </c>
      <c r="W529" s="10" t="s">
        <v>1172</v>
      </c>
      <c r="Y529" s="1" t="s">
        <v>2484</v>
      </c>
      <c r="AI529" s="1">
        <v>230503</v>
      </c>
      <c r="AJ529" s="1" t="s">
        <v>119</v>
      </c>
      <c r="AK529" s="1" t="str">
        <f t="shared" si="118"/>
        <v/>
      </c>
      <c r="AL529" t="b">
        <f t="shared" si="119"/>
        <v>1</v>
      </c>
      <c r="AM529" s="49" t="str">
        <f t="shared" si="120"/>
        <v>Q</v>
      </c>
      <c r="AP529" s="10" t="s">
        <v>97</v>
      </c>
      <c r="AS529" t="s">
        <v>119</v>
      </c>
      <c r="AT529" s="6" t="s">
        <v>97</v>
      </c>
      <c r="AU529" s="6" t="str">
        <f t="shared" si="121"/>
        <v/>
      </c>
      <c r="AV529" s="6" t="s">
        <v>96</v>
      </c>
      <c r="AW529" s="6" t="str">
        <f t="shared" si="122"/>
        <v/>
      </c>
    </row>
    <row r="530" spans="1:49" ht="135">
      <c r="A530" s="1">
        <v>230503</v>
      </c>
      <c r="B530" t="str">
        <f t="shared" si="110"/>
        <v>9C32IS844106-67</v>
      </c>
      <c r="C530" s="6" t="str">
        <f t="shared" si="111"/>
        <v>THE ADULT VIRAL HEPATITIS PREVENTION AND CONTROL PROGRAM IS FOCUSED ON INCREASING THE NUMBER OF PEOPLE WITH HEPATITIS C WHO ARE AWARE OF THEIR INFECTION SO THEY CAN
BE LINKED TO CARE AND TREATMENT.</v>
      </c>
      <c r="D530" s="6" t="str">
        <f t="shared" si="112"/>
        <v>NORTH AMERICAN ASSN/CENTRAL CANCER REG</v>
      </c>
      <c r="E530">
        <f t="shared" si="113"/>
        <v>16098312</v>
      </c>
      <c r="F530" t="str">
        <f t="shared" si="114"/>
        <v>NIH</v>
      </c>
      <c r="G530" t="str">
        <f t="shared" si="115"/>
        <v>31-4234789</v>
      </c>
      <c r="H530">
        <f t="shared" ca="1" si="116"/>
        <v>2712738</v>
      </c>
      <c r="I530" t="str">
        <f t="shared" si="117"/>
        <v>Annual</v>
      </c>
      <c r="T530" s="52" t="s">
        <v>2485</v>
      </c>
      <c r="U530">
        <v>14535228</v>
      </c>
      <c r="V530" s="10" t="s">
        <v>1178</v>
      </c>
      <c r="W530" s="10" t="s">
        <v>1178</v>
      </c>
      <c r="Y530" s="1" t="s">
        <v>2486</v>
      </c>
      <c r="AI530" s="1">
        <v>230503</v>
      </c>
      <c r="AJ530" s="1" t="s">
        <v>119</v>
      </c>
      <c r="AK530" s="1" t="str">
        <f t="shared" si="118"/>
        <v/>
      </c>
      <c r="AL530" t="b">
        <f t="shared" si="119"/>
        <v>1</v>
      </c>
      <c r="AM530" s="49" t="str">
        <f t="shared" si="120"/>
        <v>Q</v>
      </c>
      <c r="AP530" s="10" t="s">
        <v>327</v>
      </c>
      <c r="AS530" t="s">
        <v>119</v>
      </c>
      <c r="AT530" s="6" t="s">
        <v>327</v>
      </c>
      <c r="AU530" s="6" t="str">
        <f t="shared" si="121"/>
        <v/>
      </c>
      <c r="AV530" s="6" t="s">
        <v>104</v>
      </c>
      <c r="AW530" s="6" t="str">
        <f t="shared" si="122"/>
        <v/>
      </c>
    </row>
    <row r="531" spans="1:49" ht="135">
      <c r="A531" s="1">
        <v>230503</v>
      </c>
      <c r="B531" t="str">
        <f t="shared" si="110"/>
        <v>9C32IS844106-67</v>
      </c>
      <c r="C531" s="6" t="str">
        <f t="shared" si="111"/>
        <v>THE ADULT VIRAL HEPATITIS PREVENTION AND CONTROL PROGRAM IS FOCUSED ON INCREASING THE NUMBER OF PEOPLE WITH HEPATITIS C WHO ARE AWARE OF THEIR INFECTION SO THEY CAN
BE LINKED TO CARE AND TREATMENT.</v>
      </c>
      <c r="D531" s="6" t="str">
        <f t="shared" si="112"/>
        <v>NORTH AMERICAN ASSN/CENTRAL CANCER REG</v>
      </c>
      <c r="E531">
        <f t="shared" si="113"/>
        <v>16098312</v>
      </c>
      <c r="F531" t="str">
        <f t="shared" si="114"/>
        <v>NIH</v>
      </c>
      <c r="G531" t="str">
        <f t="shared" si="115"/>
        <v>31-4234789</v>
      </c>
      <c r="H531">
        <f t="shared" ca="1" si="116"/>
        <v>2712738</v>
      </c>
      <c r="I531" t="str">
        <f t="shared" si="117"/>
        <v>Annual</v>
      </c>
      <c r="T531" s="86" t="s">
        <v>2487</v>
      </c>
      <c r="U531">
        <v>21689879</v>
      </c>
      <c r="V531" s="10" t="s">
        <v>1184</v>
      </c>
      <c r="W531" s="10" t="s">
        <v>1184</v>
      </c>
      <c r="Y531" s="1" t="s">
        <v>2488</v>
      </c>
      <c r="AI531" s="1">
        <v>230503</v>
      </c>
      <c r="AJ531" s="1" t="s">
        <v>119</v>
      </c>
      <c r="AK531" s="1" t="str">
        <f t="shared" si="118"/>
        <v/>
      </c>
      <c r="AL531" t="b">
        <f t="shared" si="119"/>
        <v>1</v>
      </c>
      <c r="AM531" s="49" t="str">
        <f t="shared" si="120"/>
        <v>Q</v>
      </c>
      <c r="AP531" s="10" t="s">
        <v>113</v>
      </c>
      <c r="AS531" t="s">
        <v>119</v>
      </c>
      <c r="AT531" s="6" t="s">
        <v>113</v>
      </c>
      <c r="AU531" s="6" t="str">
        <f t="shared" si="121"/>
        <v/>
      </c>
      <c r="AV531" s="6" t="s">
        <v>112</v>
      </c>
      <c r="AW531" s="6" t="str">
        <f t="shared" si="122"/>
        <v/>
      </c>
    </row>
    <row r="532" spans="1:49" ht="165">
      <c r="A532" s="1">
        <v>230504</v>
      </c>
      <c r="B532" t="str">
        <f t="shared" si="110"/>
        <v>1C58GS844333-55</v>
      </c>
      <c r="C532" s="6" t="str">
        <f t="shared" si="111"/>
        <v>THE MEDICAL MONITORING PROJECT (MMP) IS AN ON-GOING, LOCALLY AND NATIONALLY REPRESENTATIVE SUPPLEMENTAL SURVEILLANCE SYSTEM THAT COLLECTS DATA ON A STRATIFIED SAMPLE OF HIV-DIAGNOSED
ADULTS IN THE US.</v>
      </c>
      <c r="D532" s="6" t="str">
        <f t="shared" si="112"/>
        <v>NORTH AMERICAN VASCULAR BIOLOGY ORG</v>
      </c>
      <c r="E532">
        <f t="shared" si="113"/>
        <v>16098312</v>
      </c>
      <c r="F532" t="str">
        <f t="shared" si="114"/>
        <v>FDA</v>
      </c>
      <c r="G532" t="str">
        <f t="shared" si="115"/>
        <v>31-4234790</v>
      </c>
      <c r="H532">
        <f t="shared" ca="1" si="116"/>
        <v>2791403</v>
      </c>
      <c r="I532" t="str">
        <f t="shared" si="117"/>
        <v>Annual</v>
      </c>
      <c r="T532" s="58" t="s">
        <v>2489</v>
      </c>
      <c r="U532">
        <v>21689879</v>
      </c>
      <c r="V532" s="10" t="s">
        <v>1190</v>
      </c>
      <c r="W532" s="10" t="s">
        <v>1190</v>
      </c>
      <c r="Y532" s="1" t="s">
        <v>2490</v>
      </c>
      <c r="AI532" s="1">
        <v>230504</v>
      </c>
      <c r="AJ532" s="1" t="s">
        <v>119</v>
      </c>
      <c r="AK532" s="1" t="str">
        <f t="shared" si="118"/>
        <v/>
      </c>
      <c r="AL532" t="b">
        <f t="shared" si="119"/>
        <v>1</v>
      </c>
      <c r="AM532" s="49" t="str">
        <f t="shared" si="120"/>
        <v>Q</v>
      </c>
      <c r="AP532" s="10" t="s">
        <v>97</v>
      </c>
      <c r="AS532" t="s">
        <v>119</v>
      </c>
      <c r="AT532" s="6" t="s">
        <v>97</v>
      </c>
      <c r="AU532" s="6" t="str">
        <f t="shared" si="121"/>
        <v/>
      </c>
      <c r="AV532" s="6" t="s">
        <v>96</v>
      </c>
      <c r="AW532" s="6" t="str">
        <f t="shared" si="122"/>
        <v/>
      </c>
    </row>
    <row r="533" spans="1:49" ht="165">
      <c r="A533" s="1">
        <v>230504</v>
      </c>
      <c r="B533" t="str">
        <f t="shared" si="110"/>
        <v>1C58GS844333-55</v>
      </c>
      <c r="C533" s="6" t="str">
        <f t="shared" si="111"/>
        <v>THE MEDICAL MONITORING PROJECT (MMP) IS AN ON-GOING, LOCALLY AND NATIONALLY REPRESENTATIVE SUPPLEMENTAL SURVEILLANCE SYSTEM THAT COLLECTS DATA ON A STRATIFIED SAMPLE OF HIV-DIAGNOSED
ADULTS IN THE US.</v>
      </c>
      <c r="D533" s="6" t="str">
        <f t="shared" si="112"/>
        <v>NORTH AMERICAN VASCULAR BIOLOGY ORG</v>
      </c>
      <c r="E533">
        <f t="shared" si="113"/>
        <v>16098312</v>
      </c>
      <c r="F533" t="str">
        <f t="shared" si="114"/>
        <v>FDA</v>
      </c>
      <c r="G533" t="str">
        <f t="shared" si="115"/>
        <v>31-4234790</v>
      </c>
      <c r="H533">
        <f t="shared" ca="1" si="116"/>
        <v>2791403</v>
      </c>
      <c r="I533" t="str">
        <f t="shared" si="117"/>
        <v>Annual</v>
      </c>
      <c r="T533" s="52" t="s">
        <v>2213</v>
      </c>
      <c r="U533">
        <v>21689879</v>
      </c>
      <c r="V533" s="10" t="s">
        <v>1197</v>
      </c>
      <c r="W533" s="10" t="s">
        <v>1197</v>
      </c>
      <c r="Y533" s="1" t="s">
        <v>2491</v>
      </c>
      <c r="AI533" s="1">
        <v>230504</v>
      </c>
      <c r="AJ533" s="1" t="s">
        <v>119</v>
      </c>
      <c r="AK533" s="1" t="str">
        <f t="shared" si="118"/>
        <v/>
      </c>
      <c r="AL533" t="b">
        <f t="shared" si="119"/>
        <v>1</v>
      </c>
      <c r="AM533" s="49" t="str">
        <f t="shared" si="120"/>
        <v>Q</v>
      </c>
      <c r="AP533" s="10" t="s">
        <v>327</v>
      </c>
      <c r="AS533" t="s">
        <v>119</v>
      </c>
      <c r="AT533" s="6" t="s">
        <v>327</v>
      </c>
      <c r="AU533" s="6" t="str">
        <f t="shared" si="121"/>
        <v/>
      </c>
      <c r="AV533" s="6" t="s">
        <v>104</v>
      </c>
      <c r="AW533" s="6" t="str">
        <f t="shared" si="122"/>
        <v/>
      </c>
    </row>
    <row r="534" spans="1:49" ht="165">
      <c r="A534" s="1">
        <v>230504</v>
      </c>
      <c r="B534" t="str">
        <f t="shared" si="110"/>
        <v>1C58GS844333-55</v>
      </c>
      <c r="C534" s="6" t="str">
        <f t="shared" si="111"/>
        <v>THE MEDICAL MONITORING PROJECT (MMP) IS AN ON-GOING, LOCALLY AND NATIONALLY REPRESENTATIVE SUPPLEMENTAL SURVEILLANCE SYSTEM THAT COLLECTS DATA ON A STRATIFIED SAMPLE OF HIV-DIAGNOSED
ADULTS IN THE US.</v>
      </c>
      <c r="D534" s="6" t="str">
        <f t="shared" si="112"/>
        <v>NORTH AMERICAN VASCULAR BIOLOGY ORG</v>
      </c>
      <c r="E534">
        <f t="shared" si="113"/>
        <v>16098312</v>
      </c>
      <c r="F534" t="str">
        <f t="shared" si="114"/>
        <v>FDA</v>
      </c>
      <c r="G534" t="str">
        <f t="shared" si="115"/>
        <v>31-4234790</v>
      </c>
      <c r="H534">
        <f t="shared" ca="1" si="116"/>
        <v>2791403</v>
      </c>
      <c r="I534" t="str">
        <f t="shared" si="117"/>
        <v>Annual</v>
      </c>
      <c r="T534" s="53" t="s">
        <v>2223</v>
      </c>
      <c r="U534">
        <v>27813110</v>
      </c>
      <c r="V534" s="10" t="s">
        <v>1204</v>
      </c>
      <c r="W534" s="10" t="s">
        <v>1204</v>
      </c>
      <c r="Y534" s="1" t="s">
        <v>2492</v>
      </c>
      <c r="AI534" s="1">
        <v>230504</v>
      </c>
      <c r="AJ534" s="1" t="s">
        <v>119</v>
      </c>
      <c r="AK534" s="1" t="str">
        <f t="shared" si="118"/>
        <v/>
      </c>
      <c r="AL534" t="b">
        <f t="shared" si="119"/>
        <v>1</v>
      </c>
      <c r="AM534" s="49" t="str">
        <f t="shared" si="120"/>
        <v>Q</v>
      </c>
      <c r="AP534" s="10" t="s">
        <v>113</v>
      </c>
      <c r="AS534" t="s">
        <v>119</v>
      </c>
      <c r="AT534" s="6" t="s">
        <v>113</v>
      </c>
      <c r="AU534" s="6" t="str">
        <f t="shared" si="121"/>
        <v/>
      </c>
      <c r="AV534" s="6" t="s">
        <v>112</v>
      </c>
      <c r="AW534" s="6" t="str">
        <f t="shared" si="122"/>
        <v/>
      </c>
    </row>
    <row r="535" spans="1:49" ht="90">
      <c r="A535" s="1">
        <v>230721</v>
      </c>
      <c r="B535" t="str">
        <f t="shared" si="110"/>
        <v>8B27HR844333-84</v>
      </c>
      <c r="C535" s="6" t="str">
        <f t="shared" si="111"/>
        <v>COMPREHENSIVE HIGH-IMPACT HIV PREVENTION PROJECTS FOR COMMUNITY-BASED ORGANIZATIONS</v>
      </c>
      <c r="D535" s="6" t="str">
        <f t="shared" si="112"/>
        <v>NORTH CAROLINA AGRI &amp; TECH ST UNIV</v>
      </c>
      <c r="E535">
        <f t="shared" si="113"/>
        <v>38632498</v>
      </c>
      <c r="F535" t="str">
        <f t="shared" si="114"/>
        <v>ACF</v>
      </c>
      <c r="G535" t="str">
        <f t="shared" si="115"/>
        <v>31-4234791</v>
      </c>
      <c r="H535">
        <f t="shared" ca="1" si="116"/>
        <v>2953110</v>
      </c>
      <c r="I535" t="str">
        <f t="shared" si="117"/>
        <v>Annual</v>
      </c>
      <c r="T535" s="64" t="s">
        <v>2275</v>
      </c>
      <c r="U535">
        <v>27813110</v>
      </c>
      <c r="V535" s="10" t="s">
        <v>1209</v>
      </c>
      <c r="W535" s="10" t="s">
        <v>1209</v>
      </c>
      <c r="Y535" s="1" t="s">
        <v>2493</v>
      </c>
      <c r="AI535" s="1">
        <v>230721</v>
      </c>
      <c r="AJ535" s="1" t="s">
        <v>119</v>
      </c>
      <c r="AK535" s="1" t="str">
        <f t="shared" si="118"/>
        <v/>
      </c>
      <c r="AL535" t="b">
        <f t="shared" si="119"/>
        <v>1</v>
      </c>
      <c r="AM535" s="49" t="str">
        <f t="shared" si="120"/>
        <v>Q</v>
      </c>
      <c r="AP535" s="10" t="s">
        <v>97</v>
      </c>
      <c r="AS535" t="s">
        <v>119</v>
      </c>
      <c r="AT535" s="6" t="s">
        <v>97</v>
      </c>
      <c r="AU535" s="6" t="str">
        <f t="shared" si="121"/>
        <v/>
      </c>
      <c r="AV535" s="6" t="s">
        <v>96</v>
      </c>
      <c r="AW535" s="6" t="str">
        <f t="shared" si="122"/>
        <v/>
      </c>
    </row>
    <row r="536" spans="1:49" ht="75">
      <c r="A536" s="1">
        <v>230721</v>
      </c>
      <c r="B536" t="str">
        <f t="shared" si="110"/>
        <v>8B27HR844333-84</v>
      </c>
      <c r="C536" s="6" t="str">
        <f t="shared" si="111"/>
        <v>COMPREHENSIVE HIGH-IMPACT HIV PREVENTION PROJECTS FOR COMMUNITY-BASED ORGANIZATIONS</v>
      </c>
      <c r="D536" s="6" t="str">
        <f t="shared" si="112"/>
        <v>NORTH CAROLINA AGRI &amp; TECH ST UNIV</v>
      </c>
      <c r="E536">
        <f t="shared" si="113"/>
        <v>38632498</v>
      </c>
      <c r="F536" t="str">
        <f t="shared" si="114"/>
        <v>ACF</v>
      </c>
      <c r="G536" t="str">
        <f t="shared" si="115"/>
        <v>31-4234791</v>
      </c>
      <c r="H536">
        <f t="shared" ca="1" si="116"/>
        <v>2953110</v>
      </c>
      <c r="I536" t="str">
        <f t="shared" si="117"/>
        <v>Annual</v>
      </c>
      <c r="T536" s="53" t="s">
        <v>2494</v>
      </c>
      <c r="U536">
        <v>27813110</v>
      </c>
      <c r="V536" s="10" t="s">
        <v>1214</v>
      </c>
      <c r="W536" s="10" t="s">
        <v>1214</v>
      </c>
      <c r="Y536" s="1" t="s">
        <v>2495</v>
      </c>
      <c r="AI536" s="1">
        <v>230721</v>
      </c>
      <c r="AJ536" s="1" t="s">
        <v>119</v>
      </c>
      <c r="AK536" s="1" t="str">
        <f t="shared" si="118"/>
        <v/>
      </c>
      <c r="AL536" t="b">
        <f t="shared" si="119"/>
        <v>1</v>
      </c>
      <c r="AM536" s="49" t="str">
        <f t="shared" si="120"/>
        <v>Q</v>
      </c>
      <c r="AP536" s="10" t="s">
        <v>327</v>
      </c>
      <c r="AS536" t="s">
        <v>119</v>
      </c>
      <c r="AT536" s="6" t="s">
        <v>327</v>
      </c>
      <c r="AU536" s="6" t="str">
        <f t="shared" si="121"/>
        <v/>
      </c>
      <c r="AV536" s="6" t="s">
        <v>104</v>
      </c>
      <c r="AW536" s="6" t="str">
        <f t="shared" si="122"/>
        <v/>
      </c>
    </row>
    <row r="537" spans="1:49" ht="75">
      <c r="A537" s="1">
        <v>230721</v>
      </c>
      <c r="B537" t="str">
        <f t="shared" si="110"/>
        <v>8B27HR844333-84</v>
      </c>
      <c r="C537" s="6" t="str">
        <f t="shared" si="111"/>
        <v>COMPREHENSIVE HIGH-IMPACT HIV PREVENTION PROJECTS FOR COMMUNITY-BASED ORGANIZATIONS</v>
      </c>
      <c r="D537" s="6" t="str">
        <f t="shared" si="112"/>
        <v>NORTH CAROLINA AGRI &amp; TECH ST UNIV</v>
      </c>
      <c r="E537">
        <f t="shared" si="113"/>
        <v>38632498</v>
      </c>
      <c r="F537" t="str">
        <f t="shared" si="114"/>
        <v>ACF</v>
      </c>
      <c r="G537" t="str">
        <f t="shared" si="115"/>
        <v>31-4234791</v>
      </c>
      <c r="H537">
        <f t="shared" ca="1" si="116"/>
        <v>2953110</v>
      </c>
      <c r="I537" t="str">
        <f t="shared" si="117"/>
        <v>Annual</v>
      </c>
      <c r="T537" s="53" t="s">
        <v>2277</v>
      </c>
      <c r="U537">
        <v>31036411</v>
      </c>
      <c r="V537" s="10" t="s">
        <v>1220</v>
      </c>
      <c r="W537" s="10" t="s">
        <v>1220</v>
      </c>
      <c r="Y537" s="1" t="s">
        <v>2496</v>
      </c>
      <c r="AI537" s="1">
        <v>230721</v>
      </c>
      <c r="AJ537" s="1" t="s">
        <v>119</v>
      </c>
      <c r="AK537" s="1" t="str">
        <f t="shared" si="118"/>
        <v/>
      </c>
      <c r="AL537" t="b">
        <f t="shared" si="119"/>
        <v>1</v>
      </c>
      <c r="AM537" s="49" t="str">
        <f t="shared" si="120"/>
        <v>Q</v>
      </c>
      <c r="AP537" s="10" t="s">
        <v>113</v>
      </c>
      <c r="AS537" t="s">
        <v>119</v>
      </c>
      <c r="AT537" s="6" t="s">
        <v>113</v>
      </c>
      <c r="AU537" s="6" t="str">
        <f t="shared" si="121"/>
        <v/>
      </c>
      <c r="AV537" s="6" t="s">
        <v>112</v>
      </c>
      <c r="AW537" s="6" t="str">
        <f t="shared" si="122"/>
        <v/>
      </c>
    </row>
    <row r="538" spans="1:49" ht="60">
      <c r="A538" s="1">
        <v>230721</v>
      </c>
      <c r="B538" t="str">
        <f t="shared" si="110"/>
        <v>8B27HR844333-84</v>
      </c>
      <c r="C538" s="6" t="str">
        <f t="shared" si="111"/>
        <v>COMPREHENSIVE HIGH-IMPACT HIV PREVENTION PROJECTS FOR COMMUNITY-BASED ORGANIZATIONS</v>
      </c>
      <c r="D538" s="6" t="str">
        <f t="shared" si="112"/>
        <v>NORTH CAROLINA AGRI &amp; TECH ST UNIV</v>
      </c>
      <c r="E538">
        <f t="shared" si="113"/>
        <v>38632498</v>
      </c>
      <c r="F538" t="str">
        <f t="shared" si="114"/>
        <v>ACF</v>
      </c>
      <c r="G538" t="str">
        <f t="shared" si="115"/>
        <v>31-4234791</v>
      </c>
      <c r="H538">
        <f t="shared" ca="1" si="116"/>
        <v>2953110</v>
      </c>
      <c r="I538" t="str">
        <f t="shared" si="117"/>
        <v>Annual</v>
      </c>
      <c r="T538" s="54" t="s">
        <v>2497</v>
      </c>
      <c r="U538">
        <v>31036411</v>
      </c>
      <c r="V538" s="10" t="s">
        <v>1225</v>
      </c>
      <c r="W538" s="10" t="s">
        <v>1225</v>
      </c>
      <c r="Y538" s="1" t="s">
        <v>2498</v>
      </c>
      <c r="AI538" s="1">
        <v>230721</v>
      </c>
      <c r="AJ538" s="1" t="s">
        <v>119</v>
      </c>
      <c r="AK538" s="1" t="str">
        <f t="shared" si="118"/>
        <v/>
      </c>
      <c r="AL538" t="b">
        <f t="shared" si="119"/>
        <v>1</v>
      </c>
      <c r="AM538" s="49" t="str">
        <f t="shared" si="120"/>
        <v>Q</v>
      </c>
      <c r="AP538" s="10"/>
      <c r="AS538" t="s">
        <v>119</v>
      </c>
      <c r="AT538" s="6" t="s">
        <v>812</v>
      </c>
      <c r="AU538" s="6" t="str">
        <f t="shared" si="121"/>
        <v/>
      </c>
      <c r="AV538" s="6" t="s">
        <v>811</v>
      </c>
      <c r="AW538" s="6" t="str">
        <f t="shared" si="122"/>
        <v/>
      </c>
    </row>
    <row r="539" spans="1:49" ht="60">
      <c r="A539" s="1">
        <v>230721</v>
      </c>
      <c r="B539" t="str">
        <f t="shared" si="110"/>
        <v>8B27HR844333-84</v>
      </c>
      <c r="C539" s="6" t="str">
        <f t="shared" si="111"/>
        <v>COMPREHENSIVE HIGH-IMPACT HIV PREVENTION PROJECTS FOR COMMUNITY-BASED ORGANIZATIONS</v>
      </c>
      <c r="D539" s="6" t="str">
        <f t="shared" si="112"/>
        <v>NORTH CAROLINA AGRI &amp; TECH ST UNIV</v>
      </c>
      <c r="E539">
        <f t="shared" si="113"/>
        <v>38632498</v>
      </c>
      <c r="F539" t="str">
        <f t="shared" si="114"/>
        <v>ACF</v>
      </c>
      <c r="G539" t="str">
        <f t="shared" si="115"/>
        <v>31-4234791</v>
      </c>
      <c r="H539">
        <f t="shared" ca="1" si="116"/>
        <v>2953110</v>
      </c>
      <c r="I539" t="str">
        <f t="shared" si="117"/>
        <v>Annual</v>
      </c>
      <c r="T539" s="52" t="s">
        <v>2478</v>
      </c>
      <c r="U539">
        <v>31368257</v>
      </c>
      <c r="V539" s="10" t="s">
        <v>1229</v>
      </c>
      <c r="W539" s="10" t="s">
        <v>1229</v>
      </c>
      <c r="Y539" s="1" t="s">
        <v>2499</v>
      </c>
      <c r="AI539" s="1">
        <v>230721</v>
      </c>
      <c r="AJ539" s="1" t="s">
        <v>119</v>
      </c>
      <c r="AK539" s="1" t="str">
        <f t="shared" si="118"/>
        <v/>
      </c>
      <c r="AL539" t="b">
        <f t="shared" si="119"/>
        <v>1</v>
      </c>
      <c r="AM539" s="49" t="str">
        <f t="shared" si="120"/>
        <v>Q</v>
      </c>
      <c r="AP539" s="10"/>
      <c r="AS539" t="s">
        <v>119</v>
      </c>
      <c r="AT539" s="6" t="s">
        <v>812</v>
      </c>
      <c r="AU539" s="6" t="str">
        <f t="shared" si="121"/>
        <v/>
      </c>
      <c r="AV539" s="6" t="s">
        <v>811</v>
      </c>
      <c r="AW539" s="6" t="str">
        <f t="shared" si="122"/>
        <v/>
      </c>
    </row>
    <row r="540" spans="1:49" ht="90">
      <c r="A540" s="1">
        <v>230722</v>
      </c>
      <c r="B540" t="str">
        <f t="shared" si="110"/>
        <v>3C91DS844332-69</v>
      </c>
      <c r="C540" s="6" t="str">
        <f t="shared" si="111"/>
        <v>SYHC COMPREHENSIVE HIGH-IMPACT HIV PREVENTION (CHIP) PROJECT</v>
      </c>
      <c r="D540" s="6" t="str">
        <f t="shared" si="112"/>
        <v>NORTH CAROLINA CENTRAL UNIVERSITY</v>
      </c>
      <c r="E540">
        <f t="shared" si="113"/>
        <v>38632498</v>
      </c>
      <c r="F540" t="str">
        <f t="shared" si="114"/>
        <v>CDC</v>
      </c>
      <c r="G540" t="str">
        <f t="shared" si="115"/>
        <v>31-4234792</v>
      </c>
      <c r="H540">
        <f t="shared" ca="1" si="116"/>
        <v>2882252</v>
      </c>
      <c r="I540" t="str">
        <f t="shared" si="117"/>
        <v>Annual</v>
      </c>
      <c r="T540" s="54" t="s">
        <v>2500</v>
      </c>
      <c r="U540">
        <v>31368257</v>
      </c>
      <c r="V540" s="10" t="s">
        <v>1234</v>
      </c>
      <c r="W540" s="10" t="s">
        <v>1234</v>
      </c>
      <c r="Y540" s="1" t="s">
        <v>2501</v>
      </c>
      <c r="AI540" s="1">
        <v>230722</v>
      </c>
      <c r="AJ540" s="1" t="s">
        <v>425</v>
      </c>
      <c r="AK540" s="1" t="str">
        <f t="shared" si="118"/>
        <v/>
      </c>
      <c r="AL540" t="b">
        <f t="shared" si="119"/>
        <v>0</v>
      </c>
      <c r="AM540" s="49" t="str">
        <f t="shared" si="120"/>
        <v>Q</v>
      </c>
      <c r="AP540" s="10" t="s">
        <v>97</v>
      </c>
      <c r="AS540" t="s">
        <v>119</v>
      </c>
      <c r="AT540" s="6" t="s">
        <v>97</v>
      </c>
      <c r="AU540" s="6" t="str">
        <f t="shared" si="121"/>
        <v/>
      </c>
      <c r="AV540" s="6" t="s">
        <v>96</v>
      </c>
      <c r="AW540" s="6" t="str">
        <f t="shared" si="122"/>
        <v/>
      </c>
    </row>
    <row r="541" spans="1:49" ht="75">
      <c r="A541" s="1">
        <v>230722</v>
      </c>
      <c r="B541" t="str">
        <f t="shared" si="110"/>
        <v>3C91DS844332-69</v>
      </c>
      <c r="C541" s="6" t="str">
        <f t="shared" si="111"/>
        <v>SYHC COMPREHENSIVE HIGH-IMPACT HIV PREVENTION (CHIP) PROJECT</v>
      </c>
      <c r="D541" s="6" t="str">
        <f t="shared" si="112"/>
        <v>NORTH CAROLINA CENTRAL UNIVERSITY</v>
      </c>
      <c r="E541">
        <f t="shared" si="113"/>
        <v>38632498</v>
      </c>
      <c r="F541" t="str">
        <f t="shared" si="114"/>
        <v>CDC</v>
      </c>
      <c r="G541" t="str">
        <f t="shared" si="115"/>
        <v>31-4234792</v>
      </c>
      <c r="H541">
        <f t="shared" ca="1" si="116"/>
        <v>2882252</v>
      </c>
      <c r="I541" t="str">
        <f t="shared" si="117"/>
        <v>Annual</v>
      </c>
      <c r="T541" s="57" t="s">
        <v>2502</v>
      </c>
      <c r="U541">
        <v>31368257</v>
      </c>
      <c r="V541" s="10" t="s">
        <v>1239</v>
      </c>
      <c r="W541" s="10" t="s">
        <v>1239</v>
      </c>
      <c r="Y541" s="1" t="s">
        <v>2503</v>
      </c>
      <c r="AI541" s="1">
        <v>230722</v>
      </c>
      <c r="AJ541" s="1" t="s">
        <v>425</v>
      </c>
      <c r="AK541" s="1" t="str">
        <f t="shared" si="118"/>
        <v/>
      </c>
      <c r="AL541" t="b">
        <f t="shared" si="119"/>
        <v>0</v>
      </c>
      <c r="AM541" s="49" t="str">
        <f t="shared" si="120"/>
        <v>Q</v>
      </c>
      <c r="AP541" s="10" t="s">
        <v>327</v>
      </c>
      <c r="AS541" t="s">
        <v>119</v>
      </c>
      <c r="AT541" s="6" t="s">
        <v>327</v>
      </c>
      <c r="AU541" s="6" t="str">
        <f t="shared" si="121"/>
        <v/>
      </c>
      <c r="AV541" s="6" t="s">
        <v>104</v>
      </c>
      <c r="AW541" s="6" t="str">
        <f t="shared" si="122"/>
        <v/>
      </c>
    </row>
    <row r="542" spans="1:49" ht="60">
      <c r="A542" s="1">
        <v>230722</v>
      </c>
      <c r="B542" t="str">
        <f t="shared" si="110"/>
        <v>3C91DS844332-69</v>
      </c>
      <c r="C542" s="6" t="str">
        <f t="shared" si="111"/>
        <v>SYHC COMPREHENSIVE HIGH-IMPACT HIV PREVENTION (CHIP) PROJECT</v>
      </c>
      <c r="D542" s="6" t="str">
        <f t="shared" si="112"/>
        <v>NORTH CAROLINA CENTRAL UNIVERSITY</v>
      </c>
      <c r="E542">
        <f t="shared" si="113"/>
        <v>38632498</v>
      </c>
      <c r="F542" t="str">
        <f t="shared" si="114"/>
        <v>CDC</v>
      </c>
      <c r="G542" t="str">
        <f t="shared" si="115"/>
        <v>31-4234792</v>
      </c>
      <c r="H542">
        <f t="shared" ca="1" si="116"/>
        <v>2882252</v>
      </c>
      <c r="I542" t="str">
        <f t="shared" si="117"/>
        <v>Annual</v>
      </c>
      <c r="T542" s="86" t="s">
        <v>2504</v>
      </c>
      <c r="U542">
        <v>31368257</v>
      </c>
      <c r="V542" s="10" t="s">
        <v>1244</v>
      </c>
      <c r="W542" s="10" t="s">
        <v>1244</v>
      </c>
      <c r="Y542" s="1" t="s">
        <v>2505</v>
      </c>
      <c r="AI542" s="1">
        <v>230722</v>
      </c>
      <c r="AJ542" s="1" t="s">
        <v>425</v>
      </c>
      <c r="AK542" s="1" t="str">
        <f t="shared" si="118"/>
        <v/>
      </c>
      <c r="AL542" t="b">
        <f t="shared" si="119"/>
        <v>0</v>
      </c>
      <c r="AM542" s="49" t="str">
        <f t="shared" si="120"/>
        <v>Q</v>
      </c>
      <c r="AP542" s="10" t="s">
        <v>113</v>
      </c>
      <c r="AS542" t="s">
        <v>119</v>
      </c>
      <c r="AT542" s="6" t="s">
        <v>113</v>
      </c>
      <c r="AU542" s="6" t="str">
        <f t="shared" si="121"/>
        <v/>
      </c>
      <c r="AV542" s="6" t="s">
        <v>112</v>
      </c>
      <c r="AW542" s="6" t="str">
        <f t="shared" si="122"/>
        <v/>
      </c>
    </row>
    <row r="543" spans="1:49" ht="45">
      <c r="A543" s="1">
        <v>230722</v>
      </c>
      <c r="B543" t="str">
        <f t="shared" si="110"/>
        <v>3C91DS844332-69</v>
      </c>
      <c r="C543" s="6" t="str">
        <f t="shared" si="111"/>
        <v>SYHC COMPREHENSIVE HIGH-IMPACT HIV PREVENTION (CHIP) PROJECT</v>
      </c>
      <c r="D543" s="6" t="str">
        <f t="shared" si="112"/>
        <v>NORTH CAROLINA CENTRAL UNIVERSITY</v>
      </c>
      <c r="E543">
        <f t="shared" si="113"/>
        <v>38632498</v>
      </c>
      <c r="F543" t="str">
        <f t="shared" si="114"/>
        <v>CDC</v>
      </c>
      <c r="G543" t="str">
        <f t="shared" si="115"/>
        <v>31-4234792</v>
      </c>
      <c r="H543">
        <f t="shared" ca="1" si="116"/>
        <v>2882252</v>
      </c>
      <c r="I543" t="str">
        <f t="shared" si="117"/>
        <v>Annual</v>
      </c>
      <c r="T543" s="50" t="s">
        <v>2506</v>
      </c>
      <c r="U543">
        <v>33575557</v>
      </c>
      <c r="V543" s="10" t="s">
        <v>1253</v>
      </c>
      <c r="W543" s="10" t="s">
        <v>1253</v>
      </c>
      <c r="Y543" s="1" t="s">
        <v>2507</v>
      </c>
      <c r="AI543" s="1">
        <v>230722</v>
      </c>
      <c r="AJ543" s="1" t="s">
        <v>425</v>
      </c>
      <c r="AK543" s="1" t="str">
        <f t="shared" si="118"/>
        <v/>
      </c>
      <c r="AL543" t="b">
        <f t="shared" si="119"/>
        <v>0</v>
      </c>
      <c r="AM543" s="49" t="str">
        <f t="shared" si="120"/>
        <v>Q</v>
      </c>
      <c r="AP543" s="10"/>
      <c r="AS543" t="s">
        <v>119</v>
      </c>
      <c r="AT543" s="6" t="s">
        <v>812</v>
      </c>
      <c r="AU543" s="6" t="str">
        <f t="shared" si="121"/>
        <v/>
      </c>
      <c r="AV543" s="6" t="s">
        <v>811</v>
      </c>
      <c r="AW543" s="6" t="str">
        <f t="shared" si="122"/>
        <v/>
      </c>
    </row>
    <row r="544" spans="1:49" ht="45">
      <c r="A544" s="1">
        <v>230722</v>
      </c>
      <c r="B544" t="str">
        <f t="shared" si="110"/>
        <v>3C91DS844332-69</v>
      </c>
      <c r="C544" s="6" t="str">
        <f t="shared" si="111"/>
        <v>SYHC COMPREHENSIVE HIGH-IMPACT HIV PREVENTION (CHIP) PROJECT</v>
      </c>
      <c r="D544" s="6" t="str">
        <f t="shared" si="112"/>
        <v>NORTH CAROLINA CENTRAL UNIVERSITY</v>
      </c>
      <c r="E544">
        <f t="shared" si="113"/>
        <v>38632498</v>
      </c>
      <c r="F544" t="str">
        <f t="shared" si="114"/>
        <v>CDC</v>
      </c>
      <c r="G544" t="str">
        <f t="shared" si="115"/>
        <v>31-4234792</v>
      </c>
      <c r="H544">
        <f t="shared" ca="1" si="116"/>
        <v>2882252</v>
      </c>
      <c r="I544" t="str">
        <f t="shared" si="117"/>
        <v>Annual</v>
      </c>
      <c r="T544" s="64" t="s">
        <v>2308</v>
      </c>
      <c r="U544">
        <v>33575557</v>
      </c>
      <c r="V544" s="10" t="s">
        <v>1257</v>
      </c>
      <c r="W544" s="10" t="s">
        <v>1257</v>
      </c>
      <c r="Y544" s="1" t="s">
        <v>2508</v>
      </c>
      <c r="AI544" s="1">
        <v>230722</v>
      </c>
      <c r="AJ544" s="1" t="s">
        <v>425</v>
      </c>
      <c r="AK544" s="1" t="str">
        <f t="shared" si="118"/>
        <v/>
      </c>
      <c r="AL544" t="b">
        <f t="shared" si="119"/>
        <v>0</v>
      </c>
      <c r="AM544" s="49" t="str">
        <f t="shared" si="120"/>
        <v>Q</v>
      </c>
      <c r="AP544" s="10"/>
      <c r="AS544" t="s">
        <v>119</v>
      </c>
      <c r="AT544" s="6" t="s">
        <v>812</v>
      </c>
      <c r="AU544" s="6" t="str">
        <f t="shared" si="121"/>
        <v/>
      </c>
      <c r="AV544" s="6" t="s">
        <v>811</v>
      </c>
      <c r="AW544" s="6" t="str">
        <f t="shared" si="122"/>
        <v/>
      </c>
    </row>
    <row r="545" spans="1:49" ht="90">
      <c r="A545" s="1">
        <v>230765</v>
      </c>
      <c r="B545" t="str">
        <f t="shared" si="110"/>
        <v>4C67CS845705-41</v>
      </c>
      <c r="C545" s="6" t="str">
        <f t="shared" si="111"/>
        <v>CATEGORY B: PUBLIC HEALTH LAWYERS AND THEIR CLIENTS</v>
      </c>
      <c r="D545" s="6" t="str">
        <f t="shared" si="112"/>
        <v>NORTH CAROLINA STATE UNIVERSITY RALEIGH</v>
      </c>
      <c r="E545">
        <f t="shared" si="113"/>
        <v>38632498</v>
      </c>
      <c r="F545" t="str">
        <f t="shared" si="114"/>
        <v>NIH</v>
      </c>
      <c r="G545" t="str">
        <f t="shared" si="115"/>
        <v>31-4234793</v>
      </c>
      <c r="H545">
        <f t="shared" ca="1" si="116"/>
        <v>2962957</v>
      </c>
      <c r="I545" t="str">
        <f t="shared" si="117"/>
        <v>Annual</v>
      </c>
      <c r="T545" s="52" t="s">
        <v>2478</v>
      </c>
      <c r="U545">
        <v>33575557</v>
      </c>
      <c r="V545" s="10" t="s">
        <v>1261</v>
      </c>
      <c r="W545" s="10" t="s">
        <v>1261</v>
      </c>
      <c r="Y545" s="1" t="s">
        <v>2509</v>
      </c>
      <c r="AI545" s="1">
        <v>230765</v>
      </c>
      <c r="AJ545" s="1" t="s">
        <v>119</v>
      </c>
      <c r="AK545" s="1" t="str">
        <f t="shared" si="118"/>
        <v/>
      </c>
      <c r="AL545" t="b">
        <f t="shared" si="119"/>
        <v>1</v>
      </c>
      <c r="AM545" s="49" t="str">
        <f t="shared" si="120"/>
        <v>Q</v>
      </c>
      <c r="AP545" s="10" t="s">
        <v>97</v>
      </c>
      <c r="AS545" t="s">
        <v>119</v>
      </c>
      <c r="AT545" s="6" t="s">
        <v>97</v>
      </c>
      <c r="AU545" s="6" t="str">
        <f t="shared" si="121"/>
        <v/>
      </c>
      <c r="AV545" s="6" t="s">
        <v>96</v>
      </c>
      <c r="AW545" s="6" t="str">
        <f t="shared" si="122"/>
        <v/>
      </c>
    </row>
    <row r="546" spans="1:49" ht="75">
      <c r="A546" s="1">
        <v>230765</v>
      </c>
      <c r="B546" t="str">
        <f t="shared" si="110"/>
        <v>4C67CS845705-41</v>
      </c>
      <c r="C546" s="6" t="str">
        <f t="shared" si="111"/>
        <v>CATEGORY B: PUBLIC HEALTH LAWYERS AND THEIR CLIENTS</v>
      </c>
      <c r="D546" s="6" t="str">
        <f t="shared" si="112"/>
        <v>NORTH CAROLINA STATE UNIVERSITY RALEIGH</v>
      </c>
      <c r="E546">
        <f t="shared" si="113"/>
        <v>38632498</v>
      </c>
      <c r="F546" t="str">
        <f t="shared" si="114"/>
        <v>NIH</v>
      </c>
      <c r="G546" t="str">
        <f t="shared" si="115"/>
        <v>31-4234793</v>
      </c>
      <c r="H546">
        <f t="shared" ca="1" si="116"/>
        <v>2962957</v>
      </c>
      <c r="I546" t="str">
        <f t="shared" si="117"/>
        <v>Annual</v>
      </c>
      <c r="T546" s="53" t="s">
        <v>2510</v>
      </c>
      <c r="U546">
        <v>23679706</v>
      </c>
      <c r="V546" s="10" t="s">
        <v>1265</v>
      </c>
      <c r="W546" s="10" t="s">
        <v>1265</v>
      </c>
      <c r="Y546" s="1" t="s">
        <v>2511</v>
      </c>
      <c r="AI546" s="1">
        <v>230765</v>
      </c>
      <c r="AJ546" s="1" t="s">
        <v>119</v>
      </c>
      <c r="AK546" s="1" t="str">
        <f t="shared" si="118"/>
        <v/>
      </c>
      <c r="AL546" t="b">
        <f t="shared" si="119"/>
        <v>1</v>
      </c>
      <c r="AM546" s="49" t="str">
        <f t="shared" si="120"/>
        <v>Q</v>
      </c>
      <c r="AP546" s="10" t="s">
        <v>327</v>
      </c>
      <c r="AS546" t="s">
        <v>119</v>
      </c>
      <c r="AT546" s="6" t="s">
        <v>327</v>
      </c>
      <c r="AU546" s="6" t="str">
        <f t="shared" si="121"/>
        <v/>
      </c>
      <c r="AV546" s="6" t="s">
        <v>104</v>
      </c>
      <c r="AW546" s="6" t="str">
        <f t="shared" si="122"/>
        <v/>
      </c>
    </row>
    <row r="547" spans="1:49" ht="75">
      <c r="A547" s="1">
        <v>230765</v>
      </c>
      <c r="B547" t="str">
        <f t="shared" si="110"/>
        <v>4C67CS845705-41</v>
      </c>
      <c r="C547" s="6" t="str">
        <f t="shared" si="111"/>
        <v>CATEGORY B: PUBLIC HEALTH LAWYERS AND THEIR CLIENTS</v>
      </c>
      <c r="D547" s="6" t="str">
        <f t="shared" si="112"/>
        <v>NORTH CAROLINA STATE UNIVERSITY RALEIGH</v>
      </c>
      <c r="E547">
        <f t="shared" si="113"/>
        <v>38632498</v>
      </c>
      <c r="F547" t="str">
        <f t="shared" si="114"/>
        <v>NIH</v>
      </c>
      <c r="G547" t="str">
        <f t="shared" si="115"/>
        <v>31-4234793</v>
      </c>
      <c r="H547">
        <f t="shared" ca="1" si="116"/>
        <v>2962957</v>
      </c>
      <c r="I547" t="str">
        <f t="shared" si="117"/>
        <v>Annual</v>
      </c>
      <c r="T547" s="57" t="s">
        <v>2512</v>
      </c>
      <c r="U547">
        <v>23679706</v>
      </c>
      <c r="V547" s="10" t="s">
        <v>1269</v>
      </c>
      <c r="W547" s="10" t="s">
        <v>1269</v>
      </c>
      <c r="Y547" s="1" t="s">
        <v>2513</v>
      </c>
      <c r="AI547" s="1">
        <v>230765</v>
      </c>
      <c r="AJ547" s="1" t="s">
        <v>119</v>
      </c>
      <c r="AK547" s="1" t="str">
        <f t="shared" si="118"/>
        <v/>
      </c>
      <c r="AL547" t="b">
        <f t="shared" si="119"/>
        <v>1</v>
      </c>
      <c r="AM547" s="49" t="str">
        <f t="shared" si="120"/>
        <v>Q</v>
      </c>
      <c r="AP547" s="10" t="s">
        <v>113</v>
      </c>
      <c r="AS547" t="s">
        <v>119</v>
      </c>
      <c r="AT547" s="6" t="s">
        <v>113</v>
      </c>
      <c r="AU547" s="6" t="str">
        <f t="shared" si="121"/>
        <v/>
      </c>
      <c r="AV547" s="6" t="s">
        <v>112</v>
      </c>
      <c r="AW547" s="6" t="str">
        <f t="shared" si="122"/>
        <v/>
      </c>
    </row>
    <row r="548" spans="1:49" ht="75">
      <c r="A548" s="1">
        <v>230765</v>
      </c>
      <c r="B548" t="str">
        <f t="shared" si="110"/>
        <v>4C67CS845705-41</v>
      </c>
      <c r="C548" s="6" t="str">
        <f t="shared" si="111"/>
        <v>CATEGORY B: PUBLIC HEALTH LAWYERS AND THEIR CLIENTS</v>
      </c>
      <c r="D548" s="6" t="str">
        <f t="shared" si="112"/>
        <v>NORTH CAROLINA STATE UNIVERSITY RALEIGH</v>
      </c>
      <c r="E548">
        <f t="shared" si="113"/>
        <v>38632498</v>
      </c>
      <c r="F548" t="str">
        <f t="shared" si="114"/>
        <v>NIH</v>
      </c>
      <c r="G548" t="str">
        <f t="shared" si="115"/>
        <v>31-4234793</v>
      </c>
      <c r="H548">
        <f t="shared" ca="1" si="116"/>
        <v>2962957</v>
      </c>
      <c r="I548" t="str">
        <f t="shared" si="117"/>
        <v>Annual</v>
      </c>
      <c r="T548" s="54" t="s">
        <v>2514</v>
      </c>
      <c r="U548">
        <v>39193008</v>
      </c>
      <c r="V548" s="10" t="s">
        <v>1273</v>
      </c>
      <c r="W548" s="10" t="s">
        <v>1273</v>
      </c>
      <c r="Y548" s="1" t="s">
        <v>2515</v>
      </c>
      <c r="AI548" s="1">
        <v>230765</v>
      </c>
      <c r="AJ548" s="1" t="s">
        <v>119</v>
      </c>
      <c r="AK548" s="1" t="str">
        <f t="shared" si="118"/>
        <v/>
      </c>
      <c r="AL548" t="b">
        <f t="shared" si="119"/>
        <v>1</v>
      </c>
      <c r="AM548" s="49" t="str">
        <f t="shared" si="120"/>
        <v>Q</v>
      </c>
      <c r="AP548" s="10"/>
      <c r="AS548" t="s">
        <v>119</v>
      </c>
      <c r="AT548" s="6" t="s">
        <v>812</v>
      </c>
      <c r="AU548" s="6" t="str">
        <f t="shared" si="121"/>
        <v/>
      </c>
      <c r="AV548" s="6" t="s">
        <v>811</v>
      </c>
      <c r="AW548" s="6" t="str">
        <f t="shared" si="122"/>
        <v/>
      </c>
    </row>
    <row r="549" spans="1:49" ht="90">
      <c r="A549" s="1">
        <v>231267</v>
      </c>
      <c r="B549" t="str">
        <f t="shared" si="110"/>
        <v>7B16CR845705-39</v>
      </c>
      <c r="C549" s="6" t="str">
        <f t="shared" si="111"/>
        <v>EVOLVE: A NATIONAL ELEARNING TRAINING CENTER</v>
      </c>
      <c r="D549" s="6" t="str">
        <f t="shared" si="112"/>
        <v>NORTH DAKOTA STATE UNIVERSITY</v>
      </c>
      <c r="E549">
        <f t="shared" si="113"/>
        <v>4182641</v>
      </c>
      <c r="F549" t="str">
        <f t="shared" si="114"/>
        <v>FDA</v>
      </c>
      <c r="G549" t="str">
        <f t="shared" si="115"/>
        <v>31-4234794</v>
      </c>
      <c r="H549">
        <f t="shared" ca="1" si="116"/>
        <v>2231923</v>
      </c>
      <c r="I549" t="str">
        <f t="shared" si="117"/>
        <v>Annual</v>
      </c>
      <c r="T549" s="54" t="s">
        <v>2516</v>
      </c>
      <c r="U549">
        <v>39193008</v>
      </c>
      <c r="V549" s="10" t="s">
        <v>1277</v>
      </c>
      <c r="W549" s="10" t="s">
        <v>1277</v>
      </c>
      <c r="Y549" s="1" t="s">
        <v>2517</v>
      </c>
      <c r="AI549" s="1">
        <v>231267</v>
      </c>
      <c r="AJ549" s="1" t="s">
        <v>119</v>
      </c>
      <c r="AK549" s="1" t="str">
        <f t="shared" si="118"/>
        <v/>
      </c>
      <c r="AL549" t="b">
        <f t="shared" si="119"/>
        <v>1</v>
      </c>
      <c r="AM549" s="49" t="str">
        <f t="shared" si="120"/>
        <v>Q</v>
      </c>
      <c r="AP549" s="10" t="s">
        <v>97</v>
      </c>
      <c r="AS549" t="s">
        <v>119</v>
      </c>
      <c r="AT549" s="6" t="s">
        <v>97</v>
      </c>
      <c r="AU549" s="6" t="str">
        <f t="shared" si="121"/>
        <v/>
      </c>
      <c r="AV549" s="6" t="s">
        <v>96</v>
      </c>
      <c r="AW549" s="6" t="str">
        <f t="shared" si="122"/>
        <v/>
      </c>
    </row>
    <row r="550" spans="1:49" ht="75">
      <c r="A550" s="1">
        <v>231267</v>
      </c>
      <c r="B550" t="str">
        <f t="shared" si="110"/>
        <v>7B16CR845705-39</v>
      </c>
      <c r="C550" s="6" t="str">
        <f t="shared" si="111"/>
        <v>EVOLVE: A NATIONAL ELEARNING TRAINING CENTER</v>
      </c>
      <c r="D550" s="6" t="str">
        <f t="shared" si="112"/>
        <v>NORTH DAKOTA STATE UNIVERSITY</v>
      </c>
      <c r="E550">
        <f t="shared" si="113"/>
        <v>4182641</v>
      </c>
      <c r="F550" t="str">
        <f t="shared" si="114"/>
        <v>FDA</v>
      </c>
      <c r="G550" t="str">
        <f t="shared" si="115"/>
        <v>31-4234794</v>
      </c>
      <c r="H550">
        <f t="shared" ca="1" si="116"/>
        <v>2231923</v>
      </c>
      <c r="I550" t="str">
        <f t="shared" si="117"/>
        <v>Annual</v>
      </c>
      <c r="T550" s="52" t="s">
        <v>2518</v>
      </c>
      <c r="U550">
        <v>26756039</v>
      </c>
      <c r="V550" s="10" t="s">
        <v>1283</v>
      </c>
      <c r="W550" s="10" t="s">
        <v>1283</v>
      </c>
      <c r="Y550" s="1" t="s">
        <v>2519</v>
      </c>
      <c r="AI550" s="1">
        <v>231267</v>
      </c>
      <c r="AJ550" s="1" t="s">
        <v>119</v>
      </c>
      <c r="AK550" s="1" t="str">
        <f t="shared" si="118"/>
        <v/>
      </c>
      <c r="AL550" t="b">
        <f t="shared" si="119"/>
        <v>1</v>
      </c>
      <c r="AM550" s="49" t="str">
        <f t="shared" si="120"/>
        <v>Q</v>
      </c>
      <c r="AP550" s="10" t="s">
        <v>327</v>
      </c>
      <c r="AS550" t="s">
        <v>119</v>
      </c>
      <c r="AT550" s="6" t="s">
        <v>327</v>
      </c>
      <c r="AU550" s="6" t="str">
        <f t="shared" si="121"/>
        <v/>
      </c>
      <c r="AV550" s="6" t="s">
        <v>104</v>
      </c>
      <c r="AW550" s="6" t="str">
        <f t="shared" si="122"/>
        <v/>
      </c>
    </row>
    <row r="551" spans="1:49" ht="120">
      <c r="A551" s="1">
        <v>233878</v>
      </c>
      <c r="B551" t="str">
        <f t="shared" si="110"/>
        <v>7D60GT843334-29</v>
      </c>
      <c r="C551" s="6" t="str">
        <f t="shared" si="111"/>
        <v>COMPREHENSIVE HIGH-IMPACT HIV PREVENTION PROJECT FOR YOUNG MEN OF COLOR WHO HAVE SEX WITH MEN SERVING SAN DIEGO COUNTY'S
CENTRAL AND NORTH REGIONS</v>
      </c>
      <c r="D551" s="6" t="str">
        <f t="shared" si="112"/>
        <v>NORTHEAST OHIO MEDICAL UNIVERSITY</v>
      </c>
      <c r="E551">
        <f t="shared" si="113"/>
        <v>4182641</v>
      </c>
      <c r="F551" t="str">
        <f t="shared" si="114"/>
        <v>ACF</v>
      </c>
      <c r="G551" t="str">
        <f t="shared" si="115"/>
        <v>31-4234795</v>
      </c>
      <c r="H551">
        <f t="shared" ca="1" si="116"/>
        <v>2451537</v>
      </c>
      <c r="I551" t="str">
        <f t="shared" si="117"/>
        <v>Annual</v>
      </c>
      <c r="T551" s="54" t="s">
        <v>2520</v>
      </c>
      <c r="U551">
        <v>26756039</v>
      </c>
      <c r="V551" s="10" t="s">
        <v>1287</v>
      </c>
      <c r="W551" s="10" t="s">
        <v>1287</v>
      </c>
      <c r="Y551" s="1" t="s">
        <v>2521</v>
      </c>
      <c r="AI551" s="1">
        <v>233878</v>
      </c>
      <c r="AJ551" s="1" t="s">
        <v>119</v>
      </c>
      <c r="AK551" s="1" t="str">
        <f t="shared" si="118"/>
        <v/>
      </c>
      <c r="AL551" t="b">
        <f t="shared" si="119"/>
        <v>1</v>
      </c>
      <c r="AM551" s="49" t="str">
        <f t="shared" si="120"/>
        <v>Q</v>
      </c>
      <c r="AP551" s="10" t="s">
        <v>97</v>
      </c>
      <c r="AS551" t="s">
        <v>119</v>
      </c>
      <c r="AT551" s="6" t="s">
        <v>97</v>
      </c>
      <c r="AU551" s="6" t="str">
        <f t="shared" si="121"/>
        <v/>
      </c>
      <c r="AV551" s="6" t="s">
        <v>96</v>
      </c>
      <c r="AW551" s="6" t="str">
        <f t="shared" si="122"/>
        <v/>
      </c>
    </row>
    <row r="552" spans="1:49" ht="120">
      <c r="A552" s="1">
        <v>233878</v>
      </c>
      <c r="B552" t="str">
        <f t="shared" si="110"/>
        <v>7D60GT843334-29</v>
      </c>
      <c r="C552" s="6" t="str">
        <f t="shared" si="111"/>
        <v>COMPREHENSIVE HIGH-IMPACT HIV PREVENTION PROJECT FOR YOUNG MEN OF COLOR WHO HAVE SEX WITH MEN SERVING SAN DIEGO COUNTY'S
CENTRAL AND NORTH REGIONS</v>
      </c>
      <c r="D552" s="6" t="str">
        <f t="shared" si="112"/>
        <v>NORTHEAST OHIO MEDICAL UNIVERSITY</v>
      </c>
      <c r="E552">
        <f t="shared" si="113"/>
        <v>4182641</v>
      </c>
      <c r="F552" t="str">
        <f t="shared" si="114"/>
        <v>ACF</v>
      </c>
      <c r="G552" t="str">
        <f t="shared" si="115"/>
        <v>31-4234795</v>
      </c>
      <c r="H552">
        <f t="shared" ca="1" si="116"/>
        <v>2451537</v>
      </c>
      <c r="I552" t="str">
        <f t="shared" si="117"/>
        <v>Annual</v>
      </c>
      <c r="T552" s="52" t="s">
        <v>2522</v>
      </c>
      <c r="U552">
        <v>26756039</v>
      </c>
      <c r="V552" s="10" t="s">
        <v>1295</v>
      </c>
      <c r="W552" s="10" t="s">
        <v>1295</v>
      </c>
      <c r="Y552" s="1" t="s">
        <v>2523</v>
      </c>
      <c r="AI552" s="1">
        <v>233878</v>
      </c>
      <c r="AJ552" s="1" t="s">
        <v>119</v>
      </c>
      <c r="AK552" s="1" t="str">
        <f t="shared" si="118"/>
        <v/>
      </c>
      <c r="AL552" t="b">
        <f t="shared" si="119"/>
        <v>1</v>
      </c>
      <c r="AM552" s="49" t="str">
        <f t="shared" si="120"/>
        <v>Q</v>
      </c>
      <c r="AP552" s="10" t="s">
        <v>327</v>
      </c>
      <c r="AS552" t="s">
        <v>119</v>
      </c>
      <c r="AT552" s="6" t="s">
        <v>327</v>
      </c>
      <c r="AU552" s="6" t="str">
        <f t="shared" si="121"/>
        <v/>
      </c>
      <c r="AV552" s="6" t="s">
        <v>104</v>
      </c>
      <c r="AW552" s="6" t="str">
        <f t="shared" si="122"/>
        <v/>
      </c>
    </row>
    <row r="553" spans="1:49" ht="120">
      <c r="A553" s="1">
        <v>233878</v>
      </c>
      <c r="B553" t="str">
        <f t="shared" si="110"/>
        <v>7D60GT843334-29</v>
      </c>
      <c r="C553" s="6" t="str">
        <f t="shared" si="111"/>
        <v>COMPREHENSIVE HIGH-IMPACT HIV PREVENTION PROJECT FOR YOUNG MEN OF COLOR WHO HAVE SEX WITH MEN SERVING SAN DIEGO COUNTY'S
CENTRAL AND NORTH REGIONS</v>
      </c>
      <c r="D553" s="6" t="str">
        <f t="shared" si="112"/>
        <v>NORTHEAST OHIO MEDICAL UNIVERSITY</v>
      </c>
      <c r="E553">
        <f t="shared" si="113"/>
        <v>4182641</v>
      </c>
      <c r="F553" t="str">
        <f t="shared" si="114"/>
        <v>ACF</v>
      </c>
      <c r="G553" t="str">
        <f t="shared" si="115"/>
        <v>31-4234795</v>
      </c>
      <c r="H553">
        <f t="shared" ca="1" si="116"/>
        <v>2451537</v>
      </c>
      <c r="I553" t="str">
        <f t="shared" si="117"/>
        <v>Annual</v>
      </c>
      <c r="T553" s="57" t="s">
        <v>2512</v>
      </c>
      <c r="U553">
        <v>8290094</v>
      </c>
      <c r="V553" s="10" t="s">
        <v>1299</v>
      </c>
      <c r="W553" s="10" t="s">
        <v>1299</v>
      </c>
      <c r="Y553" s="1" t="s">
        <v>2524</v>
      </c>
      <c r="AI553" s="1">
        <v>233878</v>
      </c>
      <c r="AJ553" s="1" t="s">
        <v>119</v>
      </c>
      <c r="AK553" s="1" t="str">
        <f t="shared" si="118"/>
        <v/>
      </c>
      <c r="AL553" t="b">
        <f t="shared" si="119"/>
        <v>1</v>
      </c>
      <c r="AM553" s="49" t="str">
        <f t="shared" si="120"/>
        <v>Q</v>
      </c>
      <c r="AP553" s="10"/>
      <c r="AS553" t="s">
        <v>119</v>
      </c>
      <c r="AT553" s="6" t="s">
        <v>812</v>
      </c>
      <c r="AU553" s="6" t="str">
        <f t="shared" si="121"/>
        <v/>
      </c>
      <c r="AV553" s="6" t="s">
        <v>811</v>
      </c>
      <c r="AW553" s="6" t="str">
        <f t="shared" si="122"/>
        <v/>
      </c>
    </row>
    <row r="554" spans="1:49" ht="165">
      <c r="A554" s="1">
        <v>234203</v>
      </c>
      <c r="B554" t="str">
        <f t="shared" si="110"/>
        <v>6D55GT844554-36</v>
      </c>
      <c r="C554" s="6" t="str">
        <f t="shared" si="111"/>
        <v>COMPREHENSIVE HIGH-IMPACT HIV PREVENTION PROJECTS FOR COMMUNITY-BASED
ORGANIZATIONS</v>
      </c>
      <c r="D554" s="6" t="str">
        <f t="shared" si="112"/>
        <v>NORTHEASTERN ILLINOIS UNIVERSITY</v>
      </c>
      <c r="E554">
        <f t="shared" si="113"/>
        <v>4182641</v>
      </c>
      <c r="F554" t="str">
        <f t="shared" si="114"/>
        <v>CDC</v>
      </c>
      <c r="G554" t="str">
        <f t="shared" si="115"/>
        <v>31-4234796</v>
      </c>
      <c r="H554">
        <f t="shared" ca="1" si="116"/>
        <v>2569216</v>
      </c>
      <c r="I554" t="str">
        <f t="shared" si="117"/>
        <v>Annual</v>
      </c>
      <c r="T554" s="61" t="s">
        <v>2525</v>
      </c>
      <c r="U554">
        <v>8290094</v>
      </c>
      <c r="V554" s="10" t="s">
        <v>1304</v>
      </c>
      <c r="W554" s="10" t="s">
        <v>1304</v>
      </c>
      <c r="Y554" s="1" t="s">
        <v>2526</v>
      </c>
      <c r="AI554" s="1">
        <v>234203</v>
      </c>
      <c r="AJ554" s="1" t="s">
        <v>85</v>
      </c>
      <c r="AK554" s="1" t="str">
        <f t="shared" si="118"/>
        <v/>
      </c>
      <c r="AL554" t="b">
        <f t="shared" si="119"/>
        <v>0</v>
      </c>
      <c r="AM554" s="49" t="str">
        <f t="shared" si="120"/>
        <v>Q</v>
      </c>
      <c r="AP554" s="10" t="s">
        <v>97</v>
      </c>
      <c r="AS554" t="s">
        <v>2350</v>
      </c>
      <c r="AT554" s="6" t="s">
        <v>97</v>
      </c>
      <c r="AU554" s="6" t="str">
        <f t="shared" si="121"/>
        <v>The errors in accounting will be corrected. The accounting policy suggested will be followed. The financials will be recalculated based on the revised accounting policies and submitted.</v>
      </c>
      <c r="AV554" s="6" t="s">
        <v>96</v>
      </c>
      <c r="AW554" s="6" t="str">
        <f t="shared" si="122"/>
        <v>Change in accounting practice</v>
      </c>
    </row>
    <row r="555" spans="1:49" ht="135">
      <c r="A555" s="1">
        <v>234203</v>
      </c>
      <c r="B555" t="str">
        <f t="shared" si="110"/>
        <v>6D55GT844554-36</v>
      </c>
      <c r="C555" s="6" t="str">
        <f t="shared" si="111"/>
        <v>COMPREHENSIVE HIGH-IMPACT HIV PREVENTION PROJECTS FOR COMMUNITY-BASED
ORGANIZATIONS</v>
      </c>
      <c r="D555" s="6" t="str">
        <f t="shared" si="112"/>
        <v>NORTHEASTERN ILLINOIS UNIVERSITY</v>
      </c>
      <c r="E555">
        <f t="shared" si="113"/>
        <v>4182641</v>
      </c>
      <c r="F555" t="str">
        <f t="shared" si="114"/>
        <v>CDC</v>
      </c>
      <c r="G555" t="str">
        <f t="shared" si="115"/>
        <v>31-4234796</v>
      </c>
      <c r="H555">
        <f t="shared" ca="1" si="116"/>
        <v>2569216</v>
      </c>
      <c r="I555" t="str">
        <f t="shared" si="117"/>
        <v>Annual</v>
      </c>
      <c r="T555" s="64" t="s">
        <v>2308</v>
      </c>
      <c r="U555">
        <v>8290094</v>
      </c>
      <c r="V555" s="10" t="s">
        <v>1308</v>
      </c>
      <c r="W555" s="10" t="s">
        <v>1308</v>
      </c>
      <c r="Y555" s="1" t="s">
        <v>2527</v>
      </c>
      <c r="AI555" s="1">
        <v>234203</v>
      </c>
      <c r="AJ555" s="1" t="s">
        <v>85</v>
      </c>
      <c r="AK555" s="1" t="str">
        <f t="shared" si="118"/>
        <v/>
      </c>
      <c r="AL555" t="b">
        <f t="shared" si="119"/>
        <v>0</v>
      </c>
      <c r="AM555" s="49" t="str">
        <f t="shared" si="120"/>
        <v>Q</v>
      </c>
      <c r="AP555" s="10" t="s">
        <v>327</v>
      </c>
      <c r="AS555" t="s">
        <v>2350</v>
      </c>
      <c r="AT555" s="6" t="s">
        <v>327</v>
      </c>
      <c r="AU555" s="6" t="str">
        <f t="shared" si="121"/>
        <v>Cost rate will be followed. The revised rate will be applied from the last audit period and the expenditure recalculated and submitted.</v>
      </c>
      <c r="AV555" s="6" t="s">
        <v>104</v>
      </c>
      <c r="AW555" s="6" t="str">
        <f t="shared" si="122"/>
        <v>Cost rate Corrections</v>
      </c>
    </row>
    <row r="556" spans="1:49" ht="90">
      <c r="A556" s="1">
        <v>234203</v>
      </c>
      <c r="B556" t="str">
        <f t="shared" si="110"/>
        <v>6D55GT844554-36</v>
      </c>
      <c r="C556" s="6" t="str">
        <f t="shared" si="111"/>
        <v>COMPREHENSIVE HIGH-IMPACT HIV PREVENTION PROJECTS FOR COMMUNITY-BASED
ORGANIZATIONS</v>
      </c>
      <c r="D556" s="6" t="str">
        <f t="shared" si="112"/>
        <v>NORTHEASTERN ILLINOIS UNIVERSITY</v>
      </c>
      <c r="E556">
        <f t="shared" si="113"/>
        <v>4182641</v>
      </c>
      <c r="F556" t="str">
        <f t="shared" si="114"/>
        <v>CDC</v>
      </c>
      <c r="G556" t="str">
        <f t="shared" si="115"/>
        <v>31-4234796</v>
      </c>
      <c r="H556">
        <f t="shared" ca="1" si="116"/>
        <v>2569216</v>
      </c>
      <c r="I556" t="str">
        <f t="shared" si="117"/>
        <v>Annual</v>
      </c>
      <c r="T556" s="65" t="s">
        <v>2528</v>
      </c>
      <c r="U556">
        <v>15030563</v>
      </c>
      <c r="V556" s="10" t="s">
        <v>1314</v>
      </c>
      <c r="W556" s="10" t="s">
        <v>1314</v>
      </c>
      <c r="Y556" s="1" t="s">
        <v>2529</v>
      </c>
      <c r="AI556" s="1">
        <v>234203</v>
      </c>
      <c r="AJ556" s="1" t="s">
        <v>85</v>
      </c>
      <c r="AK556" s="1" t="str">
        <f t="shared" si="118"/>
        <v/>
      </c>
      <c r="AL556" t="b">
        <f t="shared" si="119"/>
        <v>0</v>
      </c>
      <c r="AM556" s="49" t="str">
        <f t="shared" si="120"/>
        <v>Q</v>
      </c>
      <c r="AP556" s="10"/>
      <c r="AS556" t="s">
        <v>2350</v>
      </c>
      <c r="AT556" s="6" t="s">
        <v>812</v>
      </c>
      <c r="AU556" s="6" t="str">
        <f t="shared" si="121"/>
        <v>The audit comments will be followed. The financials will be redrawn and resubmitted.</v>
      </c>
      <c r="AV556" s="6" t="s">
        <v>811</v>
      </c>
      <c r="AW556" s="6" t="str">
        <f t="shared" si="122"/>
        <v>Audit findings Adherance</v>
      </c>
    </row>
    <row r="557" spans="1:49" ht="90">
      <c r="A557" s="1">
        <v>234203</v>
      </c>
      <c r="B557" t="str">
        <f t="shared" si="110"/>
        <v>6D55GT844554-36</v>
      </c>
      <c r="C557" s="6" t="str">
        <f t="shared" si="111"/>
        <v>COMPREHENSIVE HIGH-IMPACT HIV PREVENTION PROJECTS FOR COMMUNITY-BASED
ORGANIZATIONS</v>
      </c>
      <c r="D557" s="6" t="str">
        <f t="shared" si="112"/>
        <v>NORTHEASTERN ILLINOIS UNIVERSITY</v>
      </c>
      <c r="E557">
        <f t="shared" si="113"/>
        <v>4182641</v>
      </c>
      <c r="F557" t="str">
        <f t="shared" si="114"/>
        <v>CDC</v>
      </c>
      <c r="G557" t="str">
        <f t="shared" si="115"/>
        <v>31-4234796</v>
      </c>
      <c r="H557">
        <f t="shared" ca="1" si="116"/>
        <v>2569216</v>
      </c>
      <c r="I557" t="str">
        <f t="shared" si="117"/>
        <v>Annual</v>
      </c>
      <c r="T557" s="87" t="s">
        <v>2530</v>
      </c>
      <c r="U557">
        <v>15030563</v>
      </c>
      <c r="V557" s="10" t="s">
        <v>1318</v>
      </c>
      <c r="W557" s="10" t="s">
        <v>1318</v>
      </c>
      <c r="Y557" s="1" t="s">
        <v>2531</v>
      </c>
      <c r="AI557" s="1">
        <v>234203</v>
      </c>
      <c r="AJ557" s="1" t="s">
        <v>85</v>
      </c>
      <c r="AK557" s="1" t="str">
        <f t="shared" si="118"/>
        <v/>
      </c>
      <c r="AL557" t="b">
        <f t="shared" si="119"/>
        <v>0</v>
      </c>
      <c r="AM557" s="49" t="str">
        <f t="shared" si="120"/>
        <v>Q</v>
      </c>
      <c r="AP557" s="10"/>
      <c r="AS557" t="s">
        <v>2350</v>
      </c>
      <c r="AT557" s="6" t="s">
        <v>812</v>
      </c>
      <c r="AU557" s="6" t="str">
        <f t="shared" si="121"/>
        <v>The audit comments will be followed. The financials will be redrawn and resubmitted.</v>
      </c>
      <c r="AV557" s="6" t="s">
        <v>811</v>
      </c>
      <c r="AW557" s="6" t="str">
        <f t="shared" si="122"/>
        <v>Audit findings Adherance</v>
      </c>
    </row>
    <row r="558" spans="1:49" ht="90">
      <c r="A558" s="1">
        <v>234417</v>
      </c>
      <c r="B558" t="str">
        <f t="shared" si="110"/>
        <v>1D81DT842266-85</v>
      </c>
      <c r="C558" s="6" t="str">
        <f t="shared" si="111"/>
        <v>HIV AND AIDS PREVENTION, MESSAGING,
AWARENESS AND EDUCATION IN AFRICAN AMERICAN COMMUNITIES</v>
      </c>
      <c r="D558" s="6" t="str">
        <f t="shared" si="112"/>
        <v>NORTHEASTERN UNIVERSITY</v>
      </c>
      <c r="E558">
        <f t="shared" si="113"/>
        <v>1132146</v>
      </c>
      <c r="F558" t="str">
        <f t="shared" si="114"/>
        <v>NIH</v>
      </c>
      <c r="G558" t="str">
        <f t="shared" si="115"/>
        <v>31-4234797</v>
      </c>
      <c r="H558">
        <f t="shared" ca="1" si="116"/>
        <v>2157285</v>
      </c>
      <c r="I558" t="str">
        <f t="shared" si="117"/>
        <v>Annual</v>
      </c>
      <c r="T558" s="66" t="s">
        <v>2532</v>
      </c>
      <c r="U558">
        <v>15030563</v>
      </c>
      <c r="V558" s="10" t="s">
        <v>1325</v>
      </c>
      <c r="W558" s="10" t="s">
        <v>1325</v>
      </c>
      <c r="Y558" s="1" t="s">
        <v>2533</v>
      </c>
      <c r="AI558" s="1">
        <v>234417</v>
      </c>
      <c r="AJ558" s="1" t="s">
        <v>119</v>
      </c>
      <c r="AK558" s="1" t="str">
        <f t="shared" si="118"/>
        <v/>
      </c>
      <c r="AL558" t="b">
        <f t="shared" si="119"/>
        <v>1</v>
      </c>
      <c r="AM558" s="49" t="str">
        <f t="shared" si="120"/>
        <v>Q</v>
      </c>
      <c r="AP558" s="10" t="s">
        <v>97</v>
      </c>
      <c r="AS558" t="s">
        <v>119</v>
      </c>
      <c r="AT558" s="6" t="s">
        <v>97</v>
      </c>
      <c r="AU558" s="6" t="str">
        <f t="shared" si="121"/>
        <v/>
      </c>
      <c r="AV558" s="6" t="s">
        <v>96</v>
      </c>
      <c r="AW558" s="6" t="str">
        <f t="shared" si="122"/>
        <v/>
      </c>
    </row>
    <row r="559" spans="1:49" ht="75">
      <c r="A559" s="1">
        <v>234417</v>
      </c>
      <c r="B559" t="str">
        <f t="shared" si="110"/>
        <v>1D81DT842266-85</v>
      </c>
      <c r="C559" s="6" t="str">
        <f t="shared" si="111"/>
        <v>HIV AND AIDS PREVENTION, MESSAGING,
AWARENESS AND EDUCATION IN AFRICAN AMERICAN COMMUNITIES</v>
      </c>
      <c r="D559" s="6" t="str">
        <f t="shared" si="112"/>
        <v>NORTHEASTERN UNIVERSITY</v>
      </c>
      <c r="E559">
        <f t="shared" si="113"/>
        <v>1132146</v>
      </c>
      <c r="F559" t="str">
        <f t="shared" si="114"/>
        <v>NIH</v>
      </c>
      <c r="G559" t="str">
        <f t="shared" si="115"/>
        <v>31-4234797</v>
      </c>
      <c r="H559">
        <f t="shared" ca="1" si="116"/>
        <v>2157285</v>
      </c>
      <c r="I559" t="str">
        <f t="shared" si="117"/>
        <v>Annual</v>
      </c>
      <c r="T559" s="57" t="s">
        <v>2215</v>
      </c>
      <c r="U559">
        <v>15030563</v>
      </c>
      <c r="V559" s="10" t="s">
        <v>1330</v>
      </c>
      <c r="W559" s="10" t="s">
        <v>1330</v>
      </c>
      <c r="Y559" s="1" t="s">
        <v>2534</v>
      </c>
      <c r="AI559" s="1">
        <v>234417</v>
      </c>
      <c r="AJ559" s="1" t="s">
        <v>119</v>
      </c>
      <c r="AK559" s="1" t="str">
        <f t="shared" si="118"/>
        <v/>
      </c>
      <c r="AL559" t="b">
        <f t="shared" si="119"/>
        <v>1</v>
      </c>
      <c r="AM559" s="49" t="str">
        <f t="shared" si="120"/>
        <v>Q</v>
      </c>
      <c r="AP559" s="10" t="s">
        <v>327</v>
      </c>
      <c r="AS559" t="s">
        <v>119</v>
      </c>
      <c r="AT559" s="6" t="s">
        <v>327</v>
      </c>
      <c r="AU559" s="6" t="str">
        <f t="shared" si="121"/>
        <v/>
      </c>
      <c r="AV559" s="6" t="s">
        <v>104</v>
      </c>
      <c r="AW559" s="6" t="str">
        <f t="shared" si="122"/>
        <v/>
      </c>
    </row>
    <row r="560" spans="1:49" ht="75">
      <c r="A560" s="1">
        <v>234417</v>
      </c>
      <c r="B560" t="str">
        <f t="shared" si="110"/>
        <v>1D81DT842266-85</v>
      </c>
      <c r="C560" s="6" t="str">
        <f t="shared" si="111"/>
        <v>HIV AND AIDS PREVENTION, MESSAGING,
AWARENESS AND EDUCATION IN AFRICAN AMERICAN COMMUNITIES</v>
      </c>
      <c r="D560" s="6" t="str">
        <f t="shared" si="112"/>
        <v>NORTHEASTERN UNIVERSITY</v>
      </c>
      <c r="E560">
        <f t="shared" si="113"/>
        <v>1132146</v>
      </c>
      <c r="F560" t="str">
        <f t="shared" si="114"/>
        <v>NIH</v>
      </c>
      <c r="G560" t="str">
        <f t="shared" si="115"/>
        <v>31-4234797</v>
      </c>
      <c r="H560">
        <f t="shared" ca="1" si="116"/>
        <v>2157285</v>
      </c>
      <c r="I560" t="str">
        <f t="shared" si="117"/>
        <v>Annual</v>
      </c>
      <c r="T560" s="64" t="s">
        <v>2308</v>
      </c>
      <c r="U560">
        <v>15030563</v>
      </c>
      <c r="V560" s="10" t="s">
        <v>1335</v>
      </c>
      <c r="W560" s="10" t="s">
        <v>1335</v>
      </c>
      <c r="Y560" s="1" t="s">
        <v>2535</v>
      </c>
      <c r="AI560" s="1">
        <v>234417</v>
      </c>
      <c r="AJ560" s="1" t="s">
        <v>119</v>
      </c>
      <c r="AK560" s="1" t="str">
        <f t="shared" si="118"/>
        <v/>
      </c>
      <c r="AL560" t="b">
        <f t="shared" si="119"/>
        <v>1</v>
      </c>
      <c r="AM560" s="49" t="str">
        <f t="shared" si="120"/>
        <v>Q</v>
      </c>
      <c r="AP560" s="10" t="s">
        <v>113</v>
      </c>
      <c r="AS560" t="s">
        <v>119</v>
      </c>
      <c r="AT560" s="6" t="s">
        <v>113</v>
      </c>
      <c r="AU560" s="6" t="str">
        <f t="shared" si="121"/>
        <v/>
      </c>
      <c r="AV560" s="6" t="s">
        <v>112</v>
      </c>
      <c r="AW560" s="6" t="str">
        <f t="shared" si="122"/>
        <v/>
      </c>
    </row>
    <row r="561" spans="1:49" ht="90">
      <c r="A561" s="1">
        <v>236764</v>
      </c>
      <c r="B561" t="str">
        <f t="shared" si="110"/>
        <v>2C82BS842766-40</v>
      </c>
      <c r="C561" s="6" t="str">
        <f t="shared" si="111"/>
        <v>COMPREHENSIVE HIGH-IMPACT HIV PREVENTION
PROJECTS FOR COMMUNITY-BASED ORGANIZATIONS</v>
      </c>
      <c r="D561" s="6" t="str">
        <f t="shared" si="112"/>
        <v>NORTHERN ARIZONA UNIVERSITY</v>
      </c>
      <c r="E561">
        <f t="shared" si="113"/>
        <v>1132146</v>
      </c>
      <c r="F561" t="str">
        <f t="shared" si="114"/>
        <v>FDA</v>
      </c>
      <c r="G561" t="str">
        <f t="shared" si="115"/>
        <v>31-4234798</v>
      </c>
      <c r="H561">
        <f t="shared" ca="1" si="116"/>
        <v>2199688</v>
      </c>
      <c r="I561" t="str">
        <f t="shared" si="117"/>
        <v>Annual</v>
      </c>
      <c r="T561" s="54" t="s">
        <v>2313</v>
      </c>
      <c r="U561">
        <v>1949612</v>
      </c>
      <c r="V561" s="10" t="s">
        <v>1341</v>
      </c>
      <c r="W561" s="10" t="s">
        <v>1341</v>
      </c>
      <c r="Y561" s="1" t="s">
        <v>2536</v>
      </c>
      <c r="AI561" s="1">
        <v>236764</v>
      </c>
      <c r="AJ561" s="1" t="s">
        <v>119</v>
      </c>
      <c r="AK561" s="1" t="str">
        <f t="shared" si="118"/>
        <v/>
      </c>
      <c r="AL561" t="b">
        <f t="shared" si="119"/>
        <v>1</v>
      </c>
      <c r="AM561" s="49" t="str">
        <f t="shared" si="120"/>
        <v>Q</v>
      </c>
      <c r="AP561" s="10" t="s">
        <v>97</v>
      </c>
      <c r="AS561" t="s">
        <v>119</v>
      </c>
      <c r="AT561" s="6" t="s">
        <v>97</v>
      </c>
      <c r="AU561" s="6" t="str">
        <f t="shared" si="121"/>
        <v/>
      </c>
      <c r="AV561" s="6" t="s">
        <v>96</v>
      </c>
      <c r="AW561" s="6" t="str">
        <f t="shared" si="122"/>
        <v/>
      </c>
    </row>
    <row r="562" spans="1:49" ht="75">
      <c r="A562" s="1">
        <v>236764</v>
      </c>
      <c r="B562" t="str">
        <f t="shared" si="110"/>
        <v>2C82BS842766-40</v>
      </c>
      <c r="C562" s="6" t="str">
        <f t="shared" si="111"/>
        <v>COMPREHENSIVE HIGH-IMPACT HIV PREVENTION
PROJECTS FOR COMMUNITY-BASED ORGANIZATIONS</v>
      </c>
      <c r="D562" s="6" t="str">
        <f t="shared" si="112"/>
        <v>NORTHERN ARIZONA UNIVERSITY</v>
      </c>
      <c r="E562">
        <f t="shared" si="113"/>
        <v>1132146</v>
      </c>
      <c r="F562" t="str">
        <f t="shared" si="114"/>
        <v>FDA</v>
      </c>
      <c r="G562" t="str">
        <f t="shared" si="115"/>
        <v>31-4234798</v>
      </c>
      <c r="H562">
        <f t="shared" ca="1" si="116"/>
        <v>2199688</v>
      </c>
      <c r="I562" t="str">
        <f t="shared" si="117"/>
        <v>Annual</v>
      </c>
      <c r="T562" s="52" t="s">
        <v>2022</v>
      </c>
      <c r="U562">
        <v>1949612</v>
      </c>
      <c r="V562" s="10" t="s">
        <v>1348</v>
      </c>
      <c r="W562" s="10" t="s">
        <v>1348</v>
      </c>
      <c r="Y562" s="1" t="s">
        <v>2537</v>
      </c>
      <c r="AI562" s="1">
        <v>236764</v>
      </c>
      <c r="AJ562" s="1" t="s">
        <v>119</v>
      </c>
      <c r="AK562" s="1" t="str">
        <f t="shared" si="118"/>
        <v/>
      </c>
      <c r="AL562" t="b">
        <f t="shared" si="119"/>
        <v>1</v>
      </c>
      <c r="AM562" s="49" t="str">
        <f t="shared" si="120"/>
        <v>Q</v>
      </c>
      <c r="AP562" s="10" t="s">
        <v>327</v>
      </c>
      <c r="AS562" t="s">
        <v>119</v>
      </c>
      <c r="AT562" s="6" t="s">
        <v>327</v>
      </c>
      <c r="AU562" s="6" t="str">
        <f t="shared" si="121"/>
        <v/>
      </c>
      <c r="AV562" s="6" t="s">
        <v>104</v>
      </c>
      <c r="AW562" s="6" t="str">
        <f t="shared" si="122"/>
        <v/>
      </c>
    </row>
    <row r="563" spans="1:49" ht="60">
      <c r="A563" s="1">
        <v>236764</v>
      </c>
      <c r="B563" t="str">
        <f t="shared" si="110"/>
        <v>2C82BS842766-40</v>
      </c>
      <c r="C563" s="6" t="str">
        <f t="shared" si="111"/>
        <v>COMPREHENSIVE HIGH-IMPACT HIV PREVENTION
PROJECTS FOR COMMUNITY-BASED ORGANIZATIONS</v>
      </c>
      <c r="D563" s="6" t="str">
        <f t="shared" si="112"/>
        <v>NORTHERN ARIZONA UNIVERSITY</v>
      </c>
      <c r="E563">
        <f t="shared" si="113"/>
        <v>1132146</v>
      </c>
      <c r="F563" t="str">
        <f t="shared" si="114"/>
        <v>FDA</v>
      </c>
      <c r="G563" t="str">
        <f t="shared" si="115"/>
        <v>31-4234798</v>
      </c>
      <c r="H563">
        <f t="shared" ca="1" si="116"/>
        <v>2199688</v>
      </c>
      <c r="I563" t="str">
        <f t="shared" si="117"/>
        <v>Annual</v>
      </c>
      <c r="T563" s="52" t="s">
        <v>2022</v>
      </c>
      <c r="U563">
        <v>24425672</v>
      </c>
      <c r="V563" s="10" t="s">
        <v>1352</v>
      </c>
      <c r="W563" s="10" t="s">
        <v>1352</v>
      </c>
      <c r="Y563" s="1" t="s">
        <v>2538</v>
      </c>
      <c r="AI563" s="1">
        <v>236764</v>
      </c>
      <c r="AJ563" s="1" t="s">
        <v>119</v>
      </c>
      <c r="AK563" s="1" t="str">
        <f t="shared" si="118"/>
        <v/>
      </c>
      <c r="AL563" t="b">
        <f t="shared" si="119"/>
        <v>1</v>
      </c>
      <c r="AM563" s="49" t="str">
        <f t="shared" si="120"/>
        <v>Q</v>
      </c>
      <c r="AP563" s="10" t="s">
        <v>113</v>
      </c>
      <c r="AS563" t="s">
        <v>119</v>
      </c>
      <c r="AT563" s="6" t="s">
        <v>113</v>
      </c>
      <c r="AU563" s="6" t="str">
        <f t="shared" si="121"/>
        <v/>
      </c>
      <c r="AV563" s="6" t="s">
        <v>112</v>
      </c>
      <c r="AW563" s="6" t="str">
        <f t="shared" si="122"/>
        <v/>
      </c>
    </row>
    <row r="564" spans="1:49" ht="90">
      <c r="A564" s="1">
        <v>237082</v>
      </c>
      <c r="B564" t="str">
        <f t="shared" si="110"/>
        <v>5R22ER842766-74</v>
      </c>
      <c r="C564" s="6" t="str">
        <f t="shared" si="111"/>
        <v>BEHAVIORAL SURVEILLANCE STUDY OF HIV RISK AND PREVENTION BEHAVIORS AMONG AT-RISK POPULATIONS IN LOS ANGELES COUNTY</v>
      </c>
      <c r="D564" s="6" t="str">
        <f t="shared" si="112"/>
        <v>NORTHERN CALIFORNIA INSTITUTE/RES/EDU</v>
      </c>
      <c r="E564">
        <f t="shared" si="113"/>
        <v>1132146</v>
      </c>
      <c r="F564" t="str">
        <f t="shared" si="114"/>
        <v>ACF</v>
      </c>
      <c r="G564" t="str">
        <f t="shared" si="115"/>
        <v>31-4234799</v>
      </c>
      <c r="H564">
        <f t="shared" ca="1" si="116"/>
        <v>2992418</v>
      </c>
      <c r="I564" t="str">
        <f t="shared" si="117"/>
        <v>Annual</v>
      </c>
      <c r="T564" s="54" t="s">
        <v>2460</v>
      </c>
      <c r="U564">
        <v>24425672</v>
      </c>
      <c r="V564" s="10" t="s">
        <v>1357</v>
      </c>
      <c r="W564" s="10" t="s">
        <v>1357</v>
      </c>
      <c r="Y564" s="1" t="s">
        <v>2539</v>
      </c>
      <c r="AI564" s="1">
        <v>237082</v>
      </c>
      <c r="AJ564" s="1" t="s">
        <v>119</v>
      </c>
      <c r="AK564" s="1" t="str">
        <f t="shared" si="118"/>
        <v/>
      </c>
      <c r="AL564" t="b">
        <f t="shared" si="119"/>
        <v>1</v>
      </c>
      <c r="AM564" s="49" t="str">
        <f t="shared" si="120"/>
        <v>Q</v>
      </c>
      <c r="AP564" s="10" t="s">
        <v>97</v>
      </c>
      <c r="AS564" t="s">
        <v>119</v>
      </c>
      <c r="AT564" s="6" t="s">
        <v>97</v>
      </c>
      <c r="AU564" s="6" t="str">
        <f t="shared" si="121"/>
        <v/>
      </c>
      <c r="AV564" s="6" t="s">
        <v>96</v>
      </c>
      <c r="AW564" s="6" t="str">
        <f t="shared" si="122"/>
        <v/>
      </c>
    </row>
    <row r="565" spans="1:49" ht="90">
      <c r="A565" s="1">
        <v>237082</v>
      </c>
      <c r="B565" t="str">
        <f t="shared" si="110"/>
        <v>5R22ER842766-74</v>
      </c>
      <c r="C565" s="6" t="str">
        <f t="shared" si="111"/>
        <v>BEHAVIORAL SURVEILLANCE STUDY OF HIV RISK AND PREVENTION BEHAVIORS AMONG AT-RISK POPULATIONS IN LOS ANGELES COUNTY</v>
      </c>
      <c r="D565" s="6" t="str">
        <f t="shared" si="112"/>
        <v>NORTHERN CALIFORNIA INSTITUTE/RES/EDU</v>
      </c>
      <c r="E565">
        <f t="shared" si="113"/>
        <v>1132146</v>
      </c>
      <c r="F565" t="str">
        <f t="shared" si="114"/>
        <v>ACF</v>
      </c>
      <c r="G565" t="str">
        <f t="shared" si="115"/>
        <v>31-4234799</v>
      </c>
      <c r="H565">
        <f t="shared" ca="1" si="116"/>
        <v>2992418</v>
      </c>
      <c r="I565" t="str">
        <f t="shared" si="117"/>
        <v>Annual</v>
      </c>
      <c r="T565" s="57" t="s">
        <v>1962</v>
      </c>
      <c r="U565">
        <v>24425672</v>
      </c>
      <c r="V565" s="10" t="s">
        <v>1363</v>
      </c>
      <c r="W565" s="10" t="s">
        <v>1363</v>
      </c>
      <c r="Y565" s="1" t="s">
        <v>2540</v>
      </c>
      <c r="AI565" s="1">
        <v>237082</v>
      </c>
      <c r="AJ565" s="1" t="s">
        <v>119</v>
      </c>
      <c r="AK565" s="1" t="str">
        <f t="shared" si="118"/>
        <v/>
      </c>
      <c r="AL565" t="b">
        <f t="shared" si="119"/>
        <v>1</v>
      </c>
      <c r="AM565" s="49" t="str">
        <f t="shared" si="120"/>
        <v>Q</v>
      </c>
      <c r="AP565" s="10" t="s">
        <v>327</v>
      </c>
      <c r="AS565" t="s">
        <v>119</v>
      </c>
      <c r="AT565" s="6" t="s">
        <v>327</v>
      </c>
      <c r="AU565" s="6" t="str">
        <f t="shared" si="121"/>
        <v/>
      </c>
      <c r="AV565" s="6" t="s">
        <v>104</v>
      </c>
      <c r="AW565" s="6" t="str">
        <f t="shared" si="122"/>
        <v/>
      </c>
    </row>
    <row r="566" spans="1:49" ht="90">
      <c r="A566" s="1">
        <v>237082</v>
      </c>
      <c r="B566" t="str">
        <f t="shared" si="110"/>
        <v>5R22ER842766-74</v>
      </c>
      <c r="C566" s="6" t="str">
        <f t="shared" si="111"/>
        <v>BEHAVIORAL SURVEILLANCE STUDY OF HIV RISK AND PREVENTION BEHAVIORS AMONG AT-RISK POPULATIONS IN LOS ANGELES COUNTY</v>
      </c>
      <c r="D566" s="6" t="str">
        <f t="shared" si="112"/>
        <v>NORTHERN CALIFORNIA INSTITUTE/RES/EDU</v>
      </c>
      <c r="E566">
        <f t="shared" si="113"/>
        <v>1132146</v>
      </c>
      <c r="F566" t="str">
        <f t="shared" si="114"/>
        <v>ACF</v>
      </c>
      <c r="G566" t="str">
        <f t="shared" si="115"/>
        <v>31-4234799</v>
      </c>
      <c r="H566">
        <f t="shared" ca="1" si="116"/>
        <v>2992418</v>
      </c>
      <c r="I566" t="str">
        <f t="shared" si="117"/>
        <v>Annual</v>
      </c>
      <c r="T566" s="52" t="s">
        <v>2022</v>
      </c>
      <c r="U566">
        <v>23014654</v>
      </c>
      <c r="V566" s="10" t="s">
        <v>1369</v>
      </c>
      <c r="W566" s="10" t="s">
        <v>1369</v>
      </c>
      <c r="Y566" s="1" t="s">
        <v>2541</v>
      </c>
      <c r="AI566" s="1">
        <v>237082</v>
      </c>
      <c r="AJ566" s="1" t="s">
        <v>119</v>
      </c>
      <c r="AK566" s="1" t="str">
        <f t="shared" si="118"/>
        <v/>
      </c>
      <c r="AL566" t="b">
        <f t="shared" si="119"/>
        <v>1</v>
      </c>
      <c r="AM566" s="49" t="str">
        <f t="shared" si="120"/>
        <v>Q</v>
      </c>
      <c r="AP566" s="10" t="s">
        <v>113</v>
      </c>
      <c r="AS566" t="s">
        <v>119</v>
      </c>
      <c r="AT566" s="6" t="s">
        <v>113</v>
      </c>
      <c r="AU566" s="6" t="str">
        <f t="shared" si="121"/>
        <v/>
      </c>
      <c r="AV566" s="6" t="s">
        <v>112</v>
      </c>
      <c r="AW566" s="6" t="str">
        <f t="shared" si="122"/>
        <v/>
      </c>
    </row>
    <row r="567" spans="1:49" ht="90">
      <c r="A567" s="1">
        <v>237733</v>
      </c>
      <c r="B567" t="str">
        <f t="shared" si="110"/>
        <v>7R10ER843758-68</v>
      </c>
      <c r="C567" s="6" t="str">
        <f t="shared" si="111"/>
        <v>CDC STRENGTHENING STD PREVENTION AND CONTROL FOR HEALTH DEPARTMENTS (STD PCHD)</v>
      </c>
      <c r="D567" s="6" t="str">
        <f t="shared" si="112"/>
        <v>NORTHERN ILLINOIS UNIVERSITY</v>
      </c>
      <c r="E567">
        <f t="shared" si="113"/>
        <v>27498408</v>
      </c>
      <c r="F567" t="str">
        <f t="shared" si="114"/>
        <v>CDC</v>
      </c>
      <c r="G567" t="str">
        <f t="shared" si="115"/>
        <v>31-4234800</v>
      </c>
      <c r="H567">
        <f t="shared" ca="1" si="116"/>
        <v>2985115</v>
      </c>
      <c r="I567" t="str">
        <f t="shared" si="117"/>
        <v>Annual</v>
      </c>
      <c r="T567" s="54" t="s">
        <v>2542</v>
      </c>
      <c r="U567">
        <v>23014654</v>
      </c>
      <c r="V567" s="10" t="s">
        <v>1374</v>
      </c>
      <c r="W567" s="10" t="s">
        <v>1374</v>
      </c>
      <c r="Y567" s="1" t="s">
        <v>2543</v>
      </c>
      <c r="AI567" s="1">
        <v>237733</v>
      </c>
      <c r="AJ567" s="1" t="s">
        <v>119</v>
      </c>
      <c r="AK567" s="1" t="str">
        <f t="shared" si="118"/>
        <v/>
      </c>
      <c r="AL567" t="b">
        <f t="shared" si="119"/>
        <v>1</v>
      </c>
      <c r="AM567" s="49" t="str">
        <f t="shared" si="120"/>
        <v>Q</v>
      </c>
      <c r="AP567" s="10" t="s">
        <v>97</v>
      </c>
      <c r="AS567" t="s">
        <v>119</v>
      </c>
      <c r="AT567" s="6" t="s">
        <v>97</v>
      </c>
      <c r="AU567" s="6" t="str">
        <f t="shared" si="121"/>
        <v/>
      </c>
      <c r="AV567" s="6" t="s">
        <v>96</v>
      </c>
      <c r="AW567" s="6" t="str">
        <f t="shared" si="122"/>
        <v/>
      </c>
    </row>
    <row r="568" spans="1:49" ht="75">
      <c r="A568" s="1">
        <v>237733</v>
      </c>
      <c r="B568" t="str">
        <f t="shared" si="110"/>
        <v>7R10ER843758-68</v>
      </c>
      <c r="C568" s="6" t="str">
        <f t="shared" si="111"/>
        <v>CDC STRENGTHENING STD PREVENTION AND CONTROL FOR HEALTH DEPARTMENTS (STD PCHD)</v>
      </c>
      <c r="D568" s="6" t="str">
        <f t="shared" si="112"/>
        <v>NORTHERN ILLINOIS UNIVERSITY</v>
      </c>
      <c r="E568">
        <f t="shared" si="113"/>
        <v>27498408</v>
      </c>
      <c r="F568" t="str">
        <f t="shared" si="114"/>
        <v>CDC</v>
      </c>
      <c r="G568" t="str">
        <f t="shared" si="115"/>
        <v>31-4234800</v>
      </c>
      <c r="H568">
        <f t="shared" ca="1" si="116"/>
        <v>2985115</v>
      </c>
      <c r="I568" t="str">
        <f t="shared" si="117"/>
        <v>Annual</v>
      </c>
      <c r="T568" s="54" t="s">
        <v>2544</v>
      </c>
      <c r="U568">
        <v>23014654</v>
      </c>
      <c r="V568" s="10" t="s">
        <v>1379</v>
      </c>
      <c r="W568" s="10" t="s">
        <v>1379</v>
      </c>
      <c r="Y568" s="1" t="s">
        <v>2545</v>
      </c>
      <c r="AI568" s="1">
        <v>237733</v>
      </c>
      <c r="AJ568" s="1" t="s">
        <v>119</v>
      </c>
      <c r="AK568" s="1" t="str">
        <f t="shared" si="118"/>
        <v/>
      </c>
      <c r="AL568" t="b">
        <f t="shared" si="119"/>
        <v>1</v>
      </c>
      <c r="AM568" s="49" t="str">
        <f t="shared" si="120"/>
        <v>Q</v>
      </c>
      <c r="AP568" s="10" t="s">
        <v>327</v>
      </c>
      <c r="AS568" t="s">
        <v>119</v>
      </c>
      <c r="AT568" s="6" t="s">
        <v>327</v>
      </c>
      <c r="AU568" s="6" t="str">
        <f t="shared" si="121"/>
        <v/>
      </c>
      <c r="AV568" s="6" t="s">
        <v>104</v>
      </c>
      <c r="AW568" s="6" t="str">
        <f t="shared" si="122"/>
        <v/>
      </c>
    </row>
    <row r="569" spans="1:49" ht="60">
      <c r="A569" s="1">
        <v>237733</v>
      </c>
      <c r="B569" t="str">
        <f t="shared" si="110"/>
        <v>7R10ER843758-68</v>
      </c>
      <c r="C569" s="6" t="str">
        <f t="shared" si="111"/>
        <v>CDC STRENGTHENING STD PREVENTION AND CONTROL FOR HEALTH DEPARTMENTS (STD PCHD)</v>
      </c>
      <c r="D569" s="6" t="str">
        <f t="shared" si="112"/>
        <v>NORTHERN ILLINOIS UNIVERSITY</v>
      </c>
      <c r="E569">
        <f t="shared" si="113"/>
        <v>27498408</v>
      </c>
      <c r="F569" t="str">
        <f t="shared" si="114"/>
        <v>CDC</v>
      </c>
      <c r="G569" t="str">
        <f t="shared" si="115"/>
        <v>31-4234800</v>
      </c>
      <c r="H569">
        <f t="shared" ca="1" si="116"/>
        <v>2985115</v>
      </c>
      <c r="I569" t="str">
        <f t="shared" si="117"/>
        <v>Annual</v>
      </c>
      <c r="T569" s="52" t="s">
        <v>2546</v>
      </c>
      <c r="U569">
        <v>6808784</v>
      </c>
      <c r="V569" s="10" t="s">
        <v>1384</v>
      </c>
      <c r="W569" s="10" t="s">
        <v>1384</v>
      </c>
      <c r="Y569" s="1" t="s">
        <v>2547</v>
      </c>
      <c r="AI569" s="1">
        <v>237733</v>
      </c>
      <c r="AJ569" s="1" t="s">
        <v>119</v>
      </c>
      <c r="AK569" s="1" t="str">
        <f t="shared" si="118"/>
        <v/>
      </c>
      <c r="AL569" t="b">
        <f t="shared" si="119"/>
        <v>1</v>
      </c>
      <c r="AM569" s="49" t="str">
        <f t="shared" si="120"/>
        <v>Q</v>
      </c>
      <c r="AP569" s="10"/>
      <c r="AS569" t="s">
        <v>119</v>
      </c>
      <c r="AT569" s="6" t="s">
        <v>812</v>
      </c>
      <c r="AU569" s="6" t="str">
        <f t="shared" si="121"/>
        <v/>
      </c>
      <c r="AV569" s="6" t="s">
        <v>811</v>
      </c>
      <c r="AW569" s="6" t="str">
        <f t="shared" si="122"/>
        <v/>
      </c>
    </row>
    <row r="570" spans="1:49" ht="165">
      <c r="A570" s="1">
        <v>239787</v>
      </c>
      <c r="B570" t="str">
        <f t="shared" si="110"/>
        <v>2R23HR841859-37</v>
      </c>
      <c r="C570" s="6" t="str">
        <f t="shared" si="111"/>
        <v>INTEGRATED HIV SURVEILLANCE AND PREVENTION PROGRAM FOR LOS ANGELES COUNTY</v>
      </c>
      <c r="D570" s="6" t="str">
        <f t="shared" si="112"/>
        <v>NORTHERN KENTUCKY UNIVERSITY</v>
      </c>
      <c r="E570">
        <f t="shared" si="113"/>
        <v>27498408</v>
      </c>
      <c r="F570" t="str">
        <f t="shared" si="114"/>
        <v>NIH</v>
      </c>
      <c r="G570" t="str">
        <f t="shared" si="115"/>
        <v>31-4234801</v>
      </c>
      <c r="H570">
        <f t="shared" ca="1" si="116"/>
        <v>2831326</v>
      </c>
      <c r="I570" t="str">
        <f t="shared" si="117"/>
        <v>Annual</v>
      </c>
      <c r="T570" s="54" t="s">
        <v>2548</v>
      </c>
      <c r="U570">
        <v>6808784</v>
      </c>
      <c r="V570" s="10" t="s">
        <v>1389</v>
      </c>
      <c r="W570" s="10" t="s">
        <v>1389</v>
      </c>
      <c r="Y570" s="1" t="s">
        <v>2549</v>
      </c>
      <c r="AI570" s="1">
        <v>239787</v>
      </c>
      <c r="AJ570" s="1" t="s">
        <v>584</v>
      </c>
      <c r="AK570" s="1" t="str">
        <f t="shared" si="118"/>
        <v/>
      </c>
      <c r="AL570" t="b">
        <f t="shared" si="119"/>
        <v>0</v>
      </c>
      <c r="AM570" s="49" t="str">
        <f t="shared" si="120"/>
        <v>Q</v>
      </c>
      <c r="AP570" s="10" t="s">
        <v>97</v>
      </c>
      <c r="AS570" t="s">
        <v>2350</v>
      </c>
      <c r="AT570" s="6" t="s">
        <v>97</v>
      </c>
      <c r="AU570" s="6" t="str">
        <f t="shared" si="121"/>
        <v>The errors in accounting will be corrected. The accounting policy suggested will be followed. The financials will be recalculated based on the revised accounting policies and submitted.</v>
      </c>
      <c r="AV570" s="6" t="s">
        <v>96</v>
      </c>
      <c r="AW570" s="6" t="str">
        <f t="shared" si="122"/>
        <v>Change in accounting practice</v>
      </c>
    </row>
    <row r="571" spans="1:49" ht="135">
      <c r="A571" s="1">
        <v>239787</v>
      </c>
      <c r="B571" t="str">
        <f t="shared" si="110"/>
        <v>2R23HR841859-37</v>
      </c>
      <c r="C571" s="6" t="str">
        <f t="shared" si="111"/>
        <v>INTEGRATED HIV SURVEILLANCE AND PREVENTION PROGRAM FOR LOS ANGELES COUNTY</v>
      </c>
      <c r="D571" s="6" t="str">
        <f t="shared" si="112"/>
        <v>NORTHERN KENTUCKY UNIVERSITY</v>
      </c>
      <c r="E571">
        <f t="shared" si="113"/>
        <v>27498408</v>
      </c>
      <c r="F571" t="str">
        <f t="shared" si="114"/>
        <v>NIH</v>
      </c>
      <c r="G571" t="str">
        <f t="shared" si="115"/>
        <v>31-4234801</v>
      </c>
      <c r="H571">
        <f t="shared" ca="1" si="116"/>
        <v>2831326</v>
      </c>
      <c r="I571" t="str">
        <f t="shared" si="117"/>
        <v>Annual</v>
      </c>
      <c r="T571" s="54" t="s">
        <v>2550</v>
      </c>
      <c r="U571">
        <v>6808784</v>
      </c>
      <c r="V571" s="10" t="s">
        <v>1394</v>
      </c>
      <c r="W571" s="10" t="s">
        <v>1394</v>
      </c>
      <c r="Y571" s="1" t="s">
        <v>2551</v>
      </c>
      <c r="AI571" s="1">
        <v>239787</v>
      </c>
      <c r="AJ571" s="1" t="s">
        <v>584</v>
      </c>
      <c r="AK571" s="1" t="str">
        <f t="shared" si="118"/>
        <v/>
      </c>
      <c r="AL571" t="b">
        <f t="shared" si="119"/>
        <v>0</v>
      </c>
      <c r="AM571" s="49" t="str">
        <f t="shared" si="120"/>
        <v>Q</v>
      </c>
      <c r="AP571" s="10" t="s">
        <v>327</v>
      </c>
      <c r="AS571" t="s">
        <v>2350</v>
      </c>
      <c r="AT571" s="6" t="s">
        <v>327</v>
      </c>
      <c r="AU571" s="6" t="str">
        <f t="shared" si="121"/>
        <v>Cost rate will be followed. The revised rate will be applied from the last audit period and the expenditure recalculated and submitted.</v>
      </c>
      <c r="AV571" s="6" t="s">
        <v>104</v>
      </c>
      <c r="AW571" s="6" t="str">
        <f t="shared" si="122"/>
        <v>Cost rate Corrections</v>
      </c>
    </row>
    <row r="572" spans="1:49" ht="90">
      <c r="A572" s="1">
        <v>240008</v>
      </c>
      <c r="B572" t="str">
        <f t="shared" si="110"/>
        <v>3R74BR844489-74</v>
      </c>
      <c r="C572" s="6" t="str">
        <f t="shared" si="111"/>
        <v>MEDICAL MONITORING PROJECT</v>
      </c>
      <c r="D572" s="6" t="str">
        <f t="shared" si="112"/>
        <v>NORTHROP GRUMMAN INFORMATION TECHNOLOGY,</v>
      </c>
      <c r="E572">
        <f t="shared" si="113"/>
        <v>27498408</v>
      </c>
      <c r="F572" t="str">
        <f t="shared" si="114"/>
        <v>FDA</v>
      </c>
      <c r="G572" t="str">
        <f t="shared" si="115"/>
        <v>31-4234802</v>
      </c>
      <c r="H572">
        <f t="shared" ca="1" si="116"/>
        <v>2092040</v>
      </c>
      <c r="I572" t="str">
        <f t="shared" si="117"/>
        <v>Annual</v>
      </c>
      <c r="T572" s="52" t="s">
        <v>2552</v>
      </c>
      <c r="U572">
        <v>25353382</v>
      </c>
      <c r="V572" s="10" t="s">
        <v>1400</v>
      </c>
      <c r="W572" s="10" t="s">
        <v>1400</v>
      </c>
      <c r="Y572" s="1" t="s">
        <v>2553</v>
      </c>
      <c r="AI572" s="1">
        <v>240008</v>
      </c>
      <c r="AJ572" s="1" t="s">
        <v>119</v>
      </c>
      <c r="AK572" s="1" t="str">
        <f t="shared" si="118"/>
        <v/>
      </c>
      <c r="AL572" t="b">
        <f t="shared" si="119"/>
        <v>1</v>
      </c>
      <c r="AM572" s="49" t="str">
        <f t="shared" si="120"/>
        <v>Q</v>
      </c>
      <c r="AP572" s="10" t="s">
        <v>97</v>
      </c>
      <c r="AS572" t="s">
        <v>119</v>
      </c>
      <c r="AT572" s="6" t="s">
        <v>97</v>
      </c>
      <c r="AU572" s="6" t="str">
        <f t="shared" si="121"/>
        <v/>
      </c>
      <c r="AV572" s="6" t="s">
        <v>96</v>
      </c>
      <c r="AW572" s="6" t="str">
        <f t="shared" si="122"/>
        <v/>
      </c>
    </row>
    <row r="573" spans="1:49" ht="75">
      <c r="A573" s="1">
        <v>240008</v>
      </c>
      <c r="B573" t="str">
        <f t="shared" si="110"/>
        <v>3R74BR844489-74</v>
      </c>
      <c r="C573" s="6" t="str">
        <f t="shared" si="111"/>
        <v>MEDICAL MONITORING PROJECT</v>
      </c>
      <c r="D573" s="6" t="str">
        <f t="shared" si="112"/>
        <v>NORTHROP GRUMMAN INFORMATION TECHNOLOGY,</v>
      </c>
      <c r="E573">
        <f t="shared" si="113"/>
        <v>27498408</v>
      </c>
      <c r="F573" t="str">
        <f t="shared" si="114"/>
        <v>FDA</v>
      </c>
      <c r="G573" t="str">
        <f t="shared" si="115"/>
        <v>31-4234802</v>
      </c>
      <c r="H573">
        <f t="shared" ca="1" si="116"/>
        <v>2092040</v>
      </c>
      <c r="I573" t="str">
        <f t="shared" si="117"/>
        <v>Annual</v>
      </c>
      <c r="T573" s="57" t="s">
        <v>2554</v>
      </c>
      <c r="U573">
        <v>25353382</v>
      </c>
      <c r="V573" s="10" t="s">
        <v>1406</v>
      </c>
      <c r="W573" s="10" t="s">
        <v>1406</v>
      </c>
      <c r="Y573" s="1" t="s">
        <v>2555</v>
      </c>
      <c r="AI573" s="1">
        <v>240008</v>
      </c>
      <c r="AJ573" s="1" t="s">
        <v>119</v>
      </c>
      <c r="AK573" s="1" t="str">
        <f t="shared" si="118"/>
        <v/>
      </c>
      <c r="AL573" t="b">
        <f t="shared" si="119"/>
        <v>1</v>
      </c>
      <c r="AM573" s="49" t="str">
        <f t="shared" si="120"/>
        <v>Q</v>
      </c>
      <c r="AP573" s="10" t="s">
        <v>327</v>
      </c>
      <c r="AS573" t="s">
        <v>119</v>
      </c>
      <c r="AT573" s="6" t="s">
        <v>327</v>
      </c>
      <c r="AU573" s="6" t="str">
        <f t="shared" si="121"/>
        <v/>
      </c>
      <c r="AV573" s="6" t="s">
        <v>104</v>
      </c>
      <c r="AW573" s="6" t="str">
        <f t="shared" si="122"/>
        <v/>
      </c>
    </row>
    <row r="574" spans="1:49" ht="60">
      <c r="A574" s="1">
        <v>240008</v>
      </c>
      <c r="B574" t="str">
        <f t="shared" si="110"/>
        <v>3R74BR844489-74</v>
      </c>
      <c r="C574" s="6" t="str">
        <f t="shared" si="111"/>
        <v>MEDICAL MONITORING PROJECT</v>
      </c>
      <c r="D574" s="6" t="str">
        <f t="shared" si="112"/>
        <v>NORTHROP GRUMMAN INFORMATION TECHNOLOGY,</v>
      </c>
      <c r="E574">
        <f t="shared" si="113"/>
        <v>27498408</v>
      </c>
      <c r="F574" t="str">
        <f t="shared" si="114"/>
        <v>FDA</v>
      </c>
      <c r="G574" t="str">
        <f t="shared" si="115"/>
        <v>31-4234802</v>
      </c>
      <c r="H574">
        <f t="shared" ca="1" si="116"/>
        <v>2092040</v>
      </c>
      <c r="I574" t="str">
        <f t="shared" si="117"/>
        <v>Annual</v>
      </c>
      <c r="T574" s="53" t="s">
        <v>2556</v>
      </c>
      <c r="U574">
        <v>25353382</v>
      </c>
      <c r="V574" s="10" t="s">
        <v>1410</v>
      </c>
      <c r="W574" s="10" t="s">
        <v>1410</v>
      </c>
      <c r="Y574" s="1" t="s">
        <v>2557</v>
      </c>
      <c r="AI574" s="1">
        <v>240008</v>
      </c>
      <c r="AJ574" s="1" t="s">
        <v>119</v>
      </c>
      <c r="AK574" s="1" t="str">
        <f t="shared" si="118"/>
        <v/>
      </c>
      <c r="AL574" t="b">
        <f t="shared" si="119"/>
        <v>1</v>
      </c>
      <c r="AM574" s="49" t="str">
        <f t="shared" si="120"/>
        <v>Q</v>
      </c>
      <c r="AP574" s="10" t="s">
        <v>113</v>
      </c>
      <c r="AS574" t="s">
        <v>119</v>
      </c>
      <c r="AT574" s="6" t="s">
        <v>113</v>
      </c>
      <c r="AU574" s="6" t="str">
        <f t="shared" si="121"/>
        <v/>
      </c>
      <c r="AV574" s="6" t="s">
        <v>112</v>
      </c>
      <c r="AW574" s="6" t="str">
        <f t="shared" si="122"/>
        <v/>
      </c>
    </row>
    <row r="575" spans="1:49" ht="60">
      <c r="A575" s="1">
        <v>240008</v>
      </c>
      <c r="B575" t="str">
        <f t="shared" si="110"/>
        <v>3R74BR844489-74</v>
      </c>
      <c r="C575" s="6" t="str">
        <f t="shared" si="111"/>
        <v>MEDICAL MONITORING PROJECT</v>
      </c>
      <c r="D575" s="6" t="str">
        <f t="shared" si="112"/>
        <v>NORTHROP GRUMMAN INFORMATION TECHNOLOGY,</v>
      </c>
      <c r="E575">
        <f t="shared" si="113"/>
        <v>27498408</v>
      </c>
      <c r="F575" t="str">
        <f t="shared" si="114"/>
        <v>FDA</v>
      </c>
      <c r="G575" t="str">
        <f t="shared" si="115"/>
        <v>31-4234802</v>
      </c>
      <c r="H575">
        <f t="shared" ca="1" si="116"/>
        <v>2092040</v>
      </c>
      <c r="I575" t="str">
        <f t="shared" si="117"/>
        <v>Annual</v>
      </c>
      <c r="T575" s="54" t="s">
        <v>2558</v>
      </c>
      <c r="U575">
        <v>37502807</v>
      </c>
      <c r="V575" s="10" t="s">
        <v>1414</v>
      </c>
      <c r="W575" s="10" t="s">
        <v>1414</v>
      </c>
      <c r="Y575" s="1" t="s">
        <v>2559</v>
      </c>
      <c r="AI575" s="1">
        <v>240008</v>
      </c>
      <c r="AJ575" s="1" t="s">
        <v>119</v>
      </c>
      <c r="AK575" s="1" t="str">
        <f t="shared" si="118"/>
        <v/>
      </c>
      <c r="AL575" t="b">
        <f t="shared" si="119"/>
        <v>1</v>
      </c>
      <c r="AM575" s="49" t="str">
        <f t="shared" si="120"/>
        <v>Q</v>
      </c>
      <c r="AP575" s="10"/>
      <c r="AS575" t="s">
        <v>119</v>
      </c>
      <c r="AT575" s="6" t="s">
        <v>812</v>
      </c>
      <c r="AU575" s="6" t="str">
        <f t="shared" si="121"/>
        <v/>
      </c>
      <c r="AV575" s="6" t="s">
        <v>811</v>
      </c>
      <c r="AW575" s="6" t="str">
        <f t="shared" si="122"/>
        <v/>
      </c>
    </row>
    <row r="576" spans="1:49" ht="90">
      <c r="A576" s="1">
        <v>240086</v>
      </c>
      <c r="B576" t="str">
        <f t="shared" si="110"/>
        <v>7R27CR844489-60</v>
      </c>
      <c r="C576" s="6" t="str">
        <f t="shared" si="111"/>
        <v>TB ELIMINATION AND LABORATORY SERVICES</v>
      </c>
      <c r="D576" s="6" t="str">
        <f t="shared" si="112"/>
        <v>NORTHSHORE UNIVERSITY HEALTHSYSTEM</v>
      </c>
      <c r="E576">
        <f t="shared" si="113"/>
        <v>4264302</v>
      </c>
      <c r="F576" t="str">
        <f t="shared" si="114"/>
        <v>ACF</v>
      </c>
      <c r="G576" t="str">
        <f t="shared" si="115"/>
        <v>31-4234803</v>
      </c>
      <c r="H576">
        <f t="shared" ca="1" si="116"/>
        <v>2442851</v>
      </c>
      <c r="I576" t="str">
        <f t="shared" si="117"/>
        <v>Annual</v>
      </c>
      <c r="T576" s="58" t="s">
        <v>2560</v>
      </c>
      <c r="U576">
        <v>37502807</v>
      </c>
      <c r="V576" s="10" t="s">
        <v>1420</v>
      </c>
      <c r="W576" s="10" t="s">
        <v>1420</v>
      </c>
      <c r="Y576" s="1" t="s">
        <v>2561</v>
      </c>
      <c r="AI576" s="1">
        <v>240086</v>
      </c>
      <c r="AJ576" s="1" t="s">
        <v>119</v>
      </c>
      <c r="AK576" s="1" t="str">
        <f t="shared" si="118"/>
        <v/>
      </c>
      <c r="AL576" t="b">
        <f t="shared" si="119"/>
        <v>1</v>
      </c>
      <c r="AM576" s="49" t="str">
        <f t="shared" si="120"/>
        <v>Q</v>
      </c>
      <c r="AP576" s="10" t="s">
        <v>97</v>
      </c>
      <c r="AS576" t="s">
        <v>119</v>
      </c>
      <c r="AT576" s="6" t="s">
        <v>97</v>
      </c>
      <c r="AU576" s="6" t="str">
        <f t="shared" si="121"/>
        <v/>
      </c>
      <c r="AV576" s="6" t="s">
        <v>96</v>
      </c>
      <c r="AW576" s="6" t="str">
        <f t="shared" si="122"/>
        <v/>
      </c>
    </row>
    <row r="577" spans="1:49" ht="120">
      <c r="A577" s="1">
        <v>240086</v>
      </c>
      <c r="B577" t="str">
        <f t="shared" si="110"/>
        <v>7R27CR844489-60</v>
      </c>
      <c r="C577" s="6" t="str">
        <f t="shared" si="111"/>
        <v>TB ELIMINATION AND LABORATORY SERVICES</v>
      </c>
      <c r="D577" s="6" t="str">
        <f t="shared" si="112"/>
        <v>NORTHSHORE UNIVERSITY HEALTHSYSTEM</v>
      </c>
      <c r="E577">
        <f t="shared" si="113"/>
        <v>4264302</v>
      </c>
      <c r="F577" t="str">
        <f t="shared" si="114"/>
        <v>ACF</v>
      </c>
      <c r="G577" t="str">
        <f t="shared" si="115"/>
        <v>31-4234803</v>
      </c>
      <c r="H577">
        <f t="shared" ca="1" si="116"/>
        <v>2442851</v>
      </c>
      <c r="I577" t="str">
        <f t="shared" si="117"/>
        <v>Annual</v>
      </c>
      <c r="T577" s="64" t="s">
        <v>2562</v>
      </c>
      <c r="U577">
        <v>37502807</v>
      </c>
      <c r="V577" s="10" t="s">
        <v>1425</v>
      </c>
      <c r="W577" s="10" t="s">
        <v>1425</v>
      </c>
      <c r="Y577" s="1" t="s">
        <v>2563</v>
      </c>
      <c r="AI577" s="1">
        <v>240086</v>
      </c>
      <c r="AJ577" s="1" t="s">
        <v>119</v>
      </c>
      <c r="AK577" s="1" t="str">
        <f t="shared" si="118"/>
        <v/>
      </c>
      <c r="AL577" t="b">
        <f t="shared" si="119"/>
        <v>1</v>
      </c>
      <c r="AM577" s="49" t="str">
        <f t="shared" si="120"/>
        <v>Q</v>
      </c>
      <c r="AP577" s="10" t="s">
        <v>327</v>
      </c>
      <c r="AS577" t="s">
        <v>119</v>
      </c>
      <c r="AT577" s="6" t="s">
        <v>327</v>
      </c>
      <c r="AU577" s="6" t="str">
        <f t="shared" si="121"/>
        <v/>
      </c>
      <c r="AV577" s="6" t="s">
        <v>104</v>
      </c>
      <c r="AW577" s="6" t="str">
        <f t="shared" si="122"/>
        <v/>
      </c>
    </row>
    <row r="578" spans="1:49" ht="90">
      <c r="A578" s="1">
        <v>240501</v>
      </c>
      <c r="B578" t="str">
        <f t="shared" si="110"/>
        <v>9T14AT843034-31</v>
      </c>
      <c r="C578" s="6" t="str">
        <f t="shared" si="111"/>
        <v>COMPREHENSIVE HIGH-IMPACT HIV PREVENTION PROJECTS FOR COMMUNITY-BASED
ORGANIZATIONS</v>
      </c>
      <c r="D578" s="6" t="str">
        <f t="shared" si="112"/>
        <v>NORTHSIDE HOSPITAL ATLANTA</v>
      </c>
      <c r="E578">
        <f t="shared" si="113"/>
        <v>4264302</v>
      </c>
      <c r="F578" t="str">
        <f t="shared" si="114"/>
        <v>CDC</v>
      </c>
      <c r="G578" t="str">
        <f t="shared" si="115"/>
        <v>31-4234804</v>
      </c>
      <c r="H578">
        <f t="shared" ca="1" si="116"/>
        <v>2625578</v>
      </c>
      <c r="I578" t="str">
        <f t="shared" si="117"/>
        <v>Annual</v>
      </c>
      <c r="T578" s="64" t="s">
        <v>2564</v>
      </c>
      <c r="U578">
        <v>37502807</v>
      </c>
      <c r="V578" s="10" t="s">
        <v>1436</v>
      </c>
      <c r="W578" s="10" t="s">
        <v>1436</v>
      </c>
      <c r="Y578" s="1" t="s">
        <v>2565</v>
      </c>
      <c r="AI578" s="1">
        <v>240501</v>
      </c>
      <c r="AJ578" s="1" t="s">
        <v>119</v>
      </c>
      <c r="AK578" s="1" t="str">
        <f t="shared" si="118"/>
        <v/>
      </c>
      <c r="AL578" t="b">
        <f t="shared" si="119"/>
        <v>1</v>
      </c>
      <c r="AM578" s="49" t="str">
        <f t="shared" si="120"/>
        <v>Q</v>
      </c>
      <c r="AP578" s="10" t="s">
        <v>97</v>
      </c>
      <c r="AS578" t="s">
        <v>119</v>
      </c>
      <c r="AT578" s="6" t="s">
        <v>97</v>
      </c>
      <c r="AU578" s="6" t="str">
        <f t="shared" si="121"/>
        <v/>
      </c>
      <c r="AV578" s="6" t="s">
        <v>96</v>
      </c>
      <c r="AW578" s="6" t="str">
        <f t="shared" si="122"/>
        <v/>
      </c>
    </row>
    <row r="579" spans="1:49" ht="75">
      <c r="A579" s="1">
        <v>240501</v>
      </c>
      <c r="B579" t="str">
        <f t="shared" ref="B579:B626" si="123">VLOOKUP(A579,$N$2:$Q$206,4,FALSE)</f>
        <v>9T14AT843034-31</v>
      </c>
      <c r="C579" s="6" t="str">
        <f t="shared" ref="C579:C626" si="124">VLOOKUP(A579,$N$2:$T$206,7,FALSE)</f>
        <v>COMPREHENSIVE HIGH-IMPACT HIV PREVENTION PROJECTS FOR COMMUNITY-BASED
ORGANIZATIONS</v>
      </c>
      <c r="D579" s="6" t="str">
        <f t="shared" ref="D579:D626" si="125">VLOOKUP(A579,$N$2:$W$206,10,FALSE)</f>
        <v>NORTHSIDE HOSPITAL ATLANTA</v>
      </c>
      <c r="E579">
        <f t="shared" ref="E579:E626" si="126">VLOOKUP(A579,$N$2:$U$206,8,FALSE)</f>
        <v>4264302</v>
      </c>
      <c r="F579" t="str">
        <f t="shared" ref="F579:F626" si="127">VLOOKUP(A579,$N$2:$X$206,11,FALSE)</f>
        <v>CDC</v>
      </c>
      <c r="G579" t="str">
        <f t="shared" ref="G579:G626" si="128">VLOOKUP(A579,$N$2:$Y$206,12,FALSE)</f>
        <v>31-4234804</v>
      </c>
      <c r="H579">
        <f t="shared" ref="H579:H626" ca="1" si="129">VLOOKUP(A579,$N$2:$AA$206,14,FALSE)</f>
        <v>2625578</v>
      </c>
      <c r="I579" t="str">
        <f t="shared" ref="I579:I626" si="130">VLOOKUP(A579,$N$2:$AB$206,15,FALSE)</f>
        <v>Annual</v>
      </c>
      <c r="T579" s="66" t="s">
        <v>2566</v>
      </c>
      <c r="U579">
        <v>37502807</v>
      </c>
      <c r="V579" s="10" t="s">
        <v>1441</v>
      </c>
      <c r="W579" s="10" t="s">
        <v>1441</v>
      </c>
      <c r="Y579" s="1" t="s">
        <v>2567</v>
      </c>
      <c r="AI579" s="1">
        <v>240501</v>
      </c>
      <c r="AJ579" s="1" t="s">
        <v>119</v>
      </c>
      <c r="AK579" s="1" t="str">
        <f t="shared" ref="AK579:AK626" si="131">IF(ISNUMBER(SEARCH("C",AJ579)),"Y","")</f>
        <v/>
      </c>
      <c r="AL579" t="b">
        <f t="shared" ref="AL579:AL626" si="132">OR(LEN(AJ579)=0, ISBLANK(AJ579))</f>
        <v>1</v>
      </c>
      <c r="AM579" s="49" t="str">
        <f t="shared" ref="AM579:AM626" si="133">IF(ISNUMBER(SEARCH("C",AJ579)),"A",IF(ISNUMBER(SEARCH("B",AJ579)),"Q",IF(ISNUMBER(SEARCH("FALSE",AL579)),"Q","Q")))</f>
        <v>Q</v>
      </c>
      <c r="AP579" s="10" t="s">
        <v>327</v>
      </c>
      <c r="AS579" t="s">
        <v>119</v>
      </c>
      <c r="AT579" s="6" t="s">
        <v>327</v>
      </c>
      <c r="AU579" s="6" t="str">
        <f t="shared" ref="AU579:AU626" si="134">IF(LEN(AS579)&gt;0, AT579,"")</f>
        <v/>
      </c>
      <c r="AV579" s="6" t="s">
        <v>104</v>
      </c>
      <c r="AW579" s="6" t="str">
        <f t="shared" ref="AW579:AW626" si="135">IF(LEN(AS579)&gt;0, AV579,"")</f>
        <v/>
      </c>
    </row>
    <row r="580" spans="1:49" ht="120">
      <c r="A580" s="1">
        <v>241890</v>
      </c>
      <c r="B580" t="str">
        <f t="shared" si="123"/>
        <v>7S40ES843846-74</v>
      </c>
      <c r="C580" s="6" t="str">
        <f t="shared" si="124"/>
        <v>THE GET YO' LIFE PROGRAM - A COMPREHENSIVE, HIGH-IMPACT HIV PREVENTION INITIATIVE TO REDUCE HIV TRANSMISSION AMONG YOUNG MSM
OF COLOR LIVING IN SOUTH LOS ANGELES.</v>
      </c>
      <c r="D580" s="6" t="str">
        <f t="shared" si="125"/>
        <v>NORTHWEST INDIAN COLLEGE</v>
      </c>
      <c r="E580">
        <f t="shared" si="126"/>
        <v>4264302</v>
      </c>
      <c r="F580" t="str">
        <f t="shared" si="127"/>
        <v>NIH</v>
      </c>
      <c r="G580" t="str">
        <f t="shared" si="128"/>
        <v>31-4234805</v>
      </c>
      <c r="H580">
        <f t="shared" ca="1" si="129"/>
        <v>355548066</v>
      </c>
      <c r="I580" t="str">
        <f t="shared" si="130"/>
        <v>Annual</v>
      </c>
      <c r="T580" s="54" t="s">
        <v>2568</v>
      </c>
      <c r="U580">
        <v>38133643</v>
      </c>
      <c r="V580" s="10" t="s">
        <v>1447</v>
      </c>
      <c r="W580" s="10" t="s">
        <v>1447</v>
      </c>
      <c r="Y580" s="1" t="s">
        <v>2569</v>
      </c>
      <c r="AI580" s="1">
        <v>241890</v>
      </c>
      <c r="AJ580" s="1" t="s">
        <v>119</v>
      </c>
      <c r="AK580" s="1" t="str">
        <f t="shared" si="131"/>
        <v/>
      </c>
      <c r="AL580" t="b">
        <f t="shared" si="132"/>
        <v>1</v>
      </c>
      <c r="AM580" s="49" t="str">
        <f t="shared" si="133"/>
        <v>Q</v>
      </c>
      <c r="AP580" s="10" t="s">
        <v>97</v>
      </c>
      <c r="AS580" t="s">
        <v>119</v>
      </c>
      <c r="AT580" s="6" t="s">
        <v>97</v>
      </c>
      <c r="AU580" s="6" t="str">
        <f t="shared" si="134"/>
        <v/>
      </c>
      <c r="AV580" s="6" t="s">
        <v>96</v>
      </c>
      <c r="AW580" s="6" t="str">
        <f t="shared" si="135"/>
        <v/>
      </c>
    </row>
    <row r="581" spans="1:49" ht="120">
      <c r="A581" s="1">
        <v>241890</v>
      </c>
      <c r="B581" t="str">
        <f t="shared" si="123"/>
        <v>7S40ES843846-74</v>
      </c>
      <c r="C581" s="6" t="str">
        <f t="shared" si="124"/>
        <v>THE GET YO' LIFE PROGRAM - A COMPREHENSIVE, HIGH-IMPACT HIV PREVENTION INITIATIVE TO REDUCE HIV TRANSMISSION AMONG YOUNG MSM
OF COLOR LIVING IN SOUTH LOS ANGELES.</v>
      </c>
      <c r="D581" s="6" t="str">
        <f t="shared" si="125"/>
        <v>NORTHWEST INDIAN COLLEGE</v>
      </c>
      <c r="E581">
        <f t="shared" si="126"/>
        <v>4264302</v>
      </c>
      <c r="F581" t="str">
        <f t="shared" si="127"/>
        <v>NIH</v>
      </c>
      <c r="G581" t="str">
        <f t="shared" si="128"/>
        <v>31-4234805</v>
      </c>
      <c r="H581">
        <f t="shared" ca="1" si="129"/>
        <v>355548066</v>
      </c>
      <c r="I581" t="str">
        <f t="shared" si="130"/>
        <v>Annual</v>
      </c>
      <c r="T581" s="54" t="s">
        <v>2570</v>
      </c>
      <c r="U581">
        <v>38133643</v>
      </c>
      <c r="V581" s="10" t="s">
        <v>1452</v>
      </c>
      <c r="W581" s="10" t="s">
        <v>1452</v>
      </c>
      <c r="Y581" s="1" t="s">
        <v>2571</v>
      </c>
      <c r="AI581" s="1">
        <v>241890</v>
      </c>
      <c r="AJ581" s="1" t="s">
        <v>119</v>
      </c>
      <c r="AK581" s="1" t="str">
        <f t="shared" si="131"/>
        <v/>
      </c>
      <c r="AL581" t="b">
        <f t="shared" si="132"/>
        <v>1</v>
      </c>
      <c r="AM581" s="49" t="str">
        <f t="shared" si="133"/>
        <v>Q</v>
      </c>
      <c r="AP581" s="10" t="s">
        <v>327</v>
      </c>
      <c r="AS581" t="s">
        <v>119</v>
      </c>
      <c r="AT581" s="6" t="s">
        <v>327</v>
      </c>
      <c r="AU581" s="6" t="str">
        <f t="shared" si="134"/>
        <v/>
      </c>
      <c r="AV581" s="6" t="s">
        <v>104</v>
      </c>
      <c r="AW581" s="6" t="str">
        <f t="shared" si="135"/>
        <v/>
      </c>
    </row>
    <row r="582" spans="1:49" ht="120">
      <c r="A582" s="1">
        <v>241890</v>
      </c>
      <c r="B582" t="str">
        <f t="shared" si="123"/>
        <v>7S40ES843846-74</v>
      </c>
      <c r="C582" s="6" t="str">
        <f t="shared" si="124"/>
        <v>THE GET YO' LIFE PROGRAM - A COMPREHENSIVE, HIGH-IMPACT HIV PREVENTION INITIATIVE TO REDUCE HIV TRANSMISSION AMONG YOUNG MSM
OF COLOR LIVING IN SOUTH LOS ANGELES.</v>
      </c>
      <c r="D582" s="6" t="str">
        <f t="shared" si="125"/>
        <v>NORTHWEST INDIAN COLLEGE</v>
      </c>
      <c r="E582">
        <f t="shared" si="126"/>
        <v>4264302</v>
      </c>
      <c r="F582" t="str">
        <f t="shared" si="127"/>
        <v>NIH</v>
      </c>
      <c r="G582" t="str">
        <f t="shared" si="128"/>
        <v>31-4234805</v>
      </c>
      <c r="H582">
        <f t="shared" ca="1" si="129"/>
        <v>355548066</v>
      </c>
      <c r="I582" t="str">
        <f t="shared" si="130"/>
        <v>Annual</v>
      </c>
      <c r="T582" s="54" t="s">
        <v>2572</v>
      </c>
      <c r="U582">
        <v>38133643</v>
      </c>
      <c r="V582" s="10" t="s">
        <v>1457</v>
      </c>
      <c r="W582" s="10" t="s">
        <v>1457</v>
      </c>
      <c r="Y582" s="1" t="s">
        <v>2573</v>
      </c>
      <c r="AI582" s="1">
        <v>241890</v>
      </c>
      <c r="AJ582" s="1" t="s">
        <v>119</v>
      </c>
      <c r="AK582" s="1" t="str">
        <f t="shared" si="131"/>
        <v/>
      </c>
      <c r="AL582" t="b">
        <f t="shared" si="132"/>
        <v>1</v>
      </c>
      <c r="AM582" s="49" t="str">
        <f t="shared" si="133"/>
        <v>Q</v>
      </c>
      <c r="AP582" s="10" t="s">
        <v>113</v>
      </c>
      <c r="AS582" t="s">
        <v>119</v>
      </c>
      <c r="AT582" s="6" t="s">
        <v>113</v>
      </c>
      <c r="AU582" s="6" t="str">
        <f t="shared" si="134"/>
        <v/>
      </c>
      <c r="AV582" s="6" t="s">
        <v>112</v>
      </c>
      <c r="AW582" s="6" t="str">
        <f t="shared" si="135"/>
        <v/>
      </c>
    </row>
    <row r="583" spans="1:49" ht="135">
      <c r="A583" s="1">
        <v>241915</v>
      </c>
      <c r="B583" t="str">
        <f t="shared" si="123"/>
        <v>4T77BT845602-34</v>
      </c>
      <c r="C583" s="6" t="str">
        <f t="shared" si="124"/>
        <v>LAUSD IS APPLYING FOR COMPONENT 1: SCHOOL- BASED SURVEILLANCE, AND COMPONENT 1: SCHOOL-BASED HIV/STD PREVENTION IN ORDER TO REDUCE HIV AND STD INFECTIONS AMONG ADOLESCENTS AS WELL AS TEEN PREGNANCY.</v>
      </c>
      <c r="D583" s="6" t="str">
        <f t="shared" si="125"/>
        <v>NORTHWEST PORTLAND AREA INDIAN HLTH BD</v>
      </c>
      <c r="E583">
        <f t="shared" si="126"/>
        <v>21862752</v>
      </c>
      <c r="F583" t="str">
        <f t="shared" si="127"/>
        <v>FDA</v>
      </c>
      <c r="G583" t="str">
        <f t="shared" si="128"/>
        <v>22-4782390</v>
      </c>
      <c r="H583">
        <f t="shared" ca="1" si="129"/>
        <v>161579082</v>
      </c>
      <c r="I583" t="str">
        <f t="shared" si="130"/>
        <v>Annual</v>
      </c>
      <c r="T583" s="53" t="s">
        <v>2574</v>
      </c>
      <c r="U583">
        <v>38133643</v>
      </c>
      <c r="V583" s="10" t="s">
        <v>1462</v>
      </c>
      <c r="W583" s="10" t="s">
        <v>1462</v>
      </c>
      <c r="Y583" s="1" t="s">
        <v>2575</v>
      </c>
      <c r="AI583" s="1">
        <v>241915</v>
      </c>
      <c r="AJ583" s="1" t="s">
        <v>119</v>
      </c>
      <c r="AK583" s="1" t="str">
        <f t="shared" si="131"/>
        <v/>
      </c>
      <c r="AL583" t="b">
        <f t="shared" si="132"/>
        <v>1</v>
      </c>
      <c r="AM583" s="49" t="str">
        <f t="shared" si="133"/>
        <v>Q</v>
      </c>
      <c r="AP583" s="10" t="s">
        <v>97</v>
      </c>
      <c r="AS583" t="s">
        <v>119</v>
      </c>
      <c r="AT583" s="6" t="s">
        <v>97</v>
      </c>
      <c r="AU583" s="6" t="str">
        <f t="shared" si="134"/>
        <v/>
      </c>
      <c r="AV583" s="6" t="s">
        <v>96</v>
      </c>
      <c r="AW583" s="6" t="str">
        <f t="shared" si="135"/>
        <v/>
      </c>
    </row>
    <row r="584" spans="1:49" ht="135">
      <c r="A584" s="1">
        <v>241915</v>
      </c>
      <c r="B584" t="str">
        <f t="shared" si="123"/>
        <v>4T77BT845602-34</v>
      </c>
      <c r="C584" s="6" t="str">
        <f t="shared" si="124"/>
        <v>LAUSD IS APPLYING FOR COMPONENT 1: SCHOOL- BASED SURVEILLANCE, AND COMPONENT 1: SCHOOL-BASED HIV/STD PREVENTION IN ORDER TO REDUCE HIV AND STD INFECTIONS AMONG ADOLESCENTS AS WELL AS TEEN PREGNANCY.</v>
      </c>
      <c r="D584" s="6" t="str">
        <f t="shared" si="125"/>
        <v>NORTHWEST PORTLAND AREA INDIAN HLTH BD</v>
      </c>
      <c r="E584">
        <f t="shared" si="126"/>
        <v>21862752</v>
      </c>
      <c r="F584" t="str">
        <f t="shared" si="127"/>
        <v>FDA</v>
      </c>
      <c r="G584" t="str">
        <f t="shared" si="128"/>
        <v>22-4782390</v>
      </c>
      <c r="H584">
        <f t="shared" ca="1" si="129"/>
        <v>161579082</v>
      </c>
      <c r="I584" t="str">
        <f t="shared" si="130"/>
        <v>Annual</v>
      </c>
      <c r="T584" s="64" t="s">
        <v>2576</v>
      </c>
      <c r="U584">
        <v>38133643</v>
      </c>
      <c r="V584" s="10" t="s">
        <v>1470</v>
      </c>
      <c r="W584" s="10" t="s">
        <v>1470</v>
      </c>
      <c r="Y584" s="1" t="s">
        <v>2577</v>
      </c>
      <c r="AI584" s="1">
        <v>241915</v>
      </c>
      <c r="AJ584" s="1" t="s">
        <v>119</v>
      </c>
      <c r="AK584" s="1" t="str">
        <f t="shared" si="131"/>
        <v/>
      </c>
      <c r="AL584" t="b">
        <f t="shared" si="132"/>
        <v>1</v>
      </c>
      <c r="AM584" s="49" t="str">
        <f t="shared" si="133"/>
        <v>Q</v>
      </c>
      <c r="AP584" s="10" t="s">
        <v>327</v>
      </c>
      <c r="AS584" t="s">
        <v>119</v>
      </c>
      <c r="AT584" s="6" t="s">
        <v>327</v>
      </c>
      <c r="AU584" s="6" t="str">
        <f t="shared" si="134"/>
        <v/>
      </c>
      <c r="AV584" s="6" t="s">
        <v>104</v>
      </c>
      <c r="AW584" s="6" t="str">
        <f t="shared" si="135"/>
        <v/>
      </c>
    </row>
    <row r="585" spans="1:49" ht="135">
      <c r="A585" s="1">
        <v>241915</v>
      </c>
      <c r="B585" t="str">
        <f t="shared" si="123"/>
        <v>4T77BT845602-34</v>
      </c>
      <c r="C585" s="6" t="str">
        <f t="shared" si="124"/>
        <v>LAUSD IS APPLYING FOR COMPONENT 1: SCHOOL- BASED SURVEILLANCE, AND COMPONENT 1: SCHOOL-BASED HIV/STD PREVENTION IN ORDER TO REDUCE HIV AND STD INFECTIONS AMONG ADOLESCENTS AS WELL AS TEEN PREGNANCY.</v>
      </c>
      <c r="D585" s="6" t="str">
        <f t="shared" si="125"/>
        <v>NORTHWEST PORTLAND AREA INDIAN HLTH BD</v>
      </c>
      <c r="E585">
        <f t="shared" si="126"/>
        <v>21862752</v>
      </c>
      <c r="F585" t="str">
        <f t="shared" si="127"/>
        <v>FDA</v>
      </c>
      <c r="G585" t="str">
        <f t="shared" si="128"/>
        <v>22-4782390</v>
      </c>
      <c r="H585">
        <f t="shared" ca="1" si="129"/>
        <v>161579082</v>
      </c>
      <c r="I585" t="str">
        <f t="shared" si="130"/>
        <v>Annual</v>
      </c>
      <c r="T585" s="53" t="s">
        <v>2578</v>
      </c>
      <c r="U585">
        <v>24368733</v>
      </c>
      <c r="V585" s="10" t="s">
        <v>1479</v>
      </c>
      <c r="W585" s="10" t="s">
        <v>1479</v>
      </c>
      <c r="Y585" s="1" t="s">
        <v>2579</v>
      </c>
      <c r="AI585" s="1">
        <v>241915</v>
      </c>
      <c r="AJ585" s="1" t="s">
        <v>119</v>
      </c>
      <c r="AK585" s="1" t="str">
        <f t="shared" si="131"/>
        <v/>
      </c>
      <c r="AL585" t="b">
        <f t="shared" si="132"/>
        <v>1</v>
      </c>
      <c r="AM585" s="49" t="str">
        <f t="shared" si="133"/>
        <v>Q</v>
      </c>
      <c r="AP585" s="10" t="s">
        <v>113</v>
      </c>
      <c r="AS585" t="s">
        <v>119</v>
      </c>
      <c r="AT585" s="6" t="s">
        <v>113</v>
      </c>
      <c r="AU585" s="6" t="str">
        <f t="shared" si="134"/>
        <v/>
      </c>
      <c r="AV585" s="6" t="s">
        <v>112</v>
      </c>
      <c r="AW585" s="6" t="str">
        <f t="shared" si="135"/>
        <v/>
      </c>
    </row>
    <row r="586" spans="1:49" ht="90">
      <c r="A586" s="1">
        <v>241916</v>
      </c>
      <c r="B586" t="str">
        <f t="shared" si="123"/>
        <v>9S74BS845945-43</v>
      </c>
      <c r="C586" s="6" t="str">
        <f t="shared" si="124"/>
        <v>HEALTHY OAKLAND TEENS: PROMOTING
ADOLESCENT SEXUAL HEALTH IN FULL SERVICE COMMUNITY SCHOOLS</v>
      </c>
      <c r="D586" s="6" t="str">
        <f t="shared" si="125"/>
        <v>RESHAPE LIFESCIENCES, INC.</v>
      </c>
      <c r="E586">
        <f t="shared" si="126"/>
        <v>21862752</v>
      </c>
      <c r="F586" t="str">
        <f t="shared" si="127"/>
        <v>ACF</v>
      </c>
      <c r="G586" t="str">
        <f t="shared" si="128"/>
        <v>22-4782391</v>
      </c>
      <c r="H586">
        <f t="shared" ca="1" si="129"/>
        <v>214711070</v>
      </c>
      <c r="I586" t="str">
        <f t="shared" si="130"/>
        <v>Annual</v>
      </c>
      <c r="T586" s="66" t="s">
        <v>2580</v>
      </c>
      <c r="U586">
        <v>24368733</v>
      </c>
      <c r="V586" s="10" t="s">
        <v>1485</v>
      </c>
      <c r="W586" s="10" t="s">
        <v>1485</v>
      </c>
      <c r="Y586" s="1" t="s">
        <v>2581</v>
      </c>
      <c r="AI586" s="1">
        <v>241916</v>
      </c>
      <c r="AJ586" s="1" t="s">
        <v>119</v>
      </c>
      <c r="AK586" s="1" t="str">
        <f t="shared" si="131"/>
        <v/>
      </c>
      <c r="AL586" t="b">
        <f t="shared" si="132"/>
        <v>1</v>
      </c>
      <c r="AM586" s="49" t="str">
        <f t="shared" si="133"/>
        <v>Q</v>
      </c>
      <c r="AP586" s="10" t="s">
        <v>97</v>
      </c>
      <c r="AS586" t="s">
        <v>119</v>
      </c>
      <c r="AT586" s="6" t="s">
        <v>97</v>
      </c>
      <c r="AU586" s="6" t="str">
        <f t="shared" si="134"/>
        <v/>
      </c>
      <c r="AV586" s="6" t="s">
        <v>96</v>
      </c>
      <c r="AW586" s="6" t="str">
        <f t="shared" si="135"/>
        <v/>
      </c>
    </row>
    <row r="587" spans="1:49" ht="90">
      <c r="A587" s="1">
        <v>241916</v>
      </c>
      <c r="B587" t="str">
        <f t="shared" si="123"/>
        <v>9S74BS845945-43</v>
      </c>
      <c r="C587" s="6" t="str">
        <f t="shared" si="124"/>
        <v>HEALTHY OAKLAND TEENS: PROMOTING
ADOLESCENT SEXUAL HEALTH IN FULL SERVICE COMMUNITY SCHOOLS</v>
      </c>
      <c r="D587" s="6" t="str">
        <f t="shared" si="125"/>
        <v>RESHAPE LIFESCIENCES, INC.</v>
      </c>
      <c r="E587">
        <f t="shared" si="126"/>
        <v>21862752</v>
      </c>
      <c r="F587" t="str">
        <f t="shared" si="127"/>
        <v>ACF</v>
      </c>
      <c r="G587" t="str">
        <f t="shared" si="128"/>
        <v>22-4782391</v>
      </c>
      <c r="H587">
        <f t="shared" ca="1" si="129"/>
        <v>214711070</v>
      </c>
      <c r="I587" t="str">
        <f t="shared" si="130"/>
        <v>Annual</v>
      </c>
      <c r="T587" s="54" t="s">
        <v>2582</v>
      </c>
      <c r="U587">
        <v>24368733</v>
      </c>
      <c r="V587" s="10" t="s">
        <v>1490</v>
      </c>
      <c r="W587" s="10" t="s">
        <v>1490</v>
      </c>
      <c r="Y587" s="1" t="s">
        <v>2583</v>
      </c>
      <c r="AI587" s="1">
        <v>241916</v>
      </c>
      <c r="AJ587" s="1" t="s">
        <v>119</v>
      </c>
      <c r="AK587" s="1" t="str">
        <f t="shared" si="131"/>
        <v/>
      </c>
      <c r="AL587" t="b">
        <f t="shared" si="132"/>
        <v>1</v>
      </c>
      <c r="AM587" s="49" t="str">
        <f t="shared" si="133"/>
        <v>Q</v>
      </c>
      <c r="AP587" s="10" t="s">
        <v>327</v>
      </c>
      <c r="AS587" t="s">
        <v>119</v>
      </c>
      <c r="AT587" s="6" t="s">
        <v>327</v>
      </c>
      <c r="AU587" s="6" t="str">
        <f t="shared" si="134"/>
        <v/>
      </c>
      <c r="AV587" s="6" t="s">
        <v>104</v>
      </c>
      <c r="AW587" s="6" t="str">
        <f t="shared" si="135"/>
        <v/>
      </c>
    </row>
    <row r="588" spans="1:49" ht="75">
      <c r="A588" s="1">
        <v>241916</v>
      </c>
      <c r="B588" t="str">
        <f t="shared" si="123"/>
        <v>9S74BS845945-43</v>
      </c>
      <c r="C588" s="6" t="str">
        <f t="shared" si="124"/>
        <v>HEALTHY OAKLAND TEENS: PROMOTING
ADOLESCENT SEXUAL HEALTH IN FULL SERVICE COMMUNITY SCHOOLS</v>
      </c>
      <c r="D588" s="6" t="str">
        <f t="shared" si="125"/>
        <v>RESHAPE LIFESCIENCES, INC.</v>
      </c>
      <c r="E588">
        <f t="shared" si="126"/>
        <v>21862752</v>
      </c>
      <c r="F588" t="str">
        <f t="shared" si="127"/>
        <v>ACF</v>
      </c>
      <c r="G588" t="str">
        <f t="shared" si="128"/>
        <v>22-4782391</v>
      </c>
      <c r="H588">
        <f t="shared" ca="1" si="129"/>
        <v>214711070</v>
      </c>
      <c r="I588" t="str">
        <f t="shared" si="130"/>
        <v>Annual</v>
      </c>
      <c r="T588" s="50" t="s">
        <v>2584</v>
      </c>
      <c r="U588">
        <v>24368733</v>
      </c>
      <c r="V588" s="10" t="s">
        <v>1499</v>
      </c>
      <c r="W588" s="10" t="s">
        <v>1499</v>
      </c>
      <c r="Y588" s="1" t="s">
        <v>2585</v>
      </c>
      <c r="AI588" s="1">
        <v>241916</v>
      </c>
      <c r="AJ588" s="1" t="s">
        <v>119</v>
      </c>
      <c r="AK588" s="1" t="str">
        <f t="shared" si="131"/>
        <v/>
      </c>
      <c r="AL588" t="b">
        <f t="shared" si="132"/>
        <v>1</v>
      </c>
      <c r="AM588" s="49" t="str">
        <f t="shared" si="133"/>
        <v>Q</v>
      </c>
      <c r="AP588" s="10" t="s">
        <v>113</v>
      </c>
      <c r="AS588" t="s">
        <v>119</v>
      </c>
      <c r="AT588" s="6" t="s">
        <v>113</v>
      </c>
      <c r="AU588" s="6" t="str">
        <f t="shared" si="134"/>
        <v/>
      </c>
      <c r="AV588" s="6" t="s">
        <v>112</v>
      </c>
      <c r="AW588" s="6" t="str">
        <f t="shared" si="135"/>
        <v/>
      </c>
    </row>
    <row r="589" spans="1:49" ht="90">
      <c r="A589" s="1">
        <v>241917</v>
      </c>
      <c r="B589" t="str">
        <f t="shared" si="123"/>
        <v>8T72FT841863-78</v>
      </c>
      <c r="C589" s="6" t="str">
        <f t="shared" si="124"/>
        <v>ENHANCING HIV PREVENTION COMMUNICATION AND MOBILIZATION EFFORTS THROUGH
STRATEGIC PARTNERSHIPS</v>
      </c>
      <c r="D589" s="6" t="str">
        <f t="shared" si="125"/>
        <v>RESODYN CORPORATION</v>
      </c>
      <c r="E589">
        <f t="shared" si="126"/>
        <v>21862752</v>
      </c>
      <c r="F589" t="str">
        <f t="shared" si="127"/>
        <v>CDC</v>
      </c>
      <c r="G589" t="str">
        <f t="shared" si="128"/>
        <v>22-4782392</v>
      </c>
      <c r="H589">
        <f t="shared" ca="1" si="129"/>
        <v>190973965</v>
      </c>
      <c r="I589" t="str">
        <f t="shared" si="130"/>
        <v>Annual</v>
      </c>
      <c r="T589" s="64" t="s">
        <v>2586</v>
      </c>
      <c r="U589">
        <v>20612610</v>
      </c>
      <c r="V589" s="10" t="s">
        <v>1507</v>
      </c>
      <c r="W589" s="10" t="s">
        <v>1507</v>
      </c>
      <c r="Y589" s="1" t="s">
        <v>2587</v>
      </c>
      <c r="AI589" s="1">
        <v>241917</v>
      </c>
      <c r="AJ589" s="1" t="s">
        <v>119</v>
      </c>
      <c r="AK589" s="1" t="str">
        <f t="shared" si="131"/>
        <v/>
      </c>
      <c r="AL589" t="b">
        <f t="shared" si="132"/>
        <v>1</v>
      </c>
      <c r="AM589" s="49" t="str">
        <f t="shared" si="133"/>
        <v>Q</v>
      </c>
      <c r="AP589" s="10" t="s">
        <v>97</v>
      </c>
      <c r="AS589" t="s">
        <v>119</v>
      </c>
      <c r="AT589" s="6" t="s">
        <v>97</v>
      </c>
      <c r="AU589" s="6" t="str">
        <f t="shared" si="134"/>
        <v/>
      </c>
      <c r="AV589" s="6" t="s">
        <v>96</v>
      </c>
      <c r="AW589" s="6" t="str">
        <f t="shared" si="135"/>
        <v/>
      </c>
    </row>
    <row r="590" spans="1:49" ht="90">
      <c r="A590" s="1">
        <v>241917</v>
      </c>
      <c r="B590" t="str">
        <f t="shared" si="123"/>
        <v>8T72FT841863-78</v>
      </c>
      <c r="C590" s="6" t="str">
        <f t="shared" si="124"/>
        <v>ENHANCING HIV PREVENTION COMMUNICATION AND MOBILIZATION EFFORTS THROUGH
STRATEGIC PARTNERSHIPS</v>
      </c>
      <c r="D590" s="6" t="str">
        <f t="shared" si="125"/>
        <v>RESODYN CORPORATION</v>
      </c>
      <c r="E590">
        <f t="shared" si="126"/>
        <v>21862752</v>
      </c>
      <c r="F590" t="str">
        <f t="shared" si="127"/>
        <v>CDC</v>
      </c>
      <c r="G590" t="str">
        <f t="shared" si="128"/>
        <v>22-4782392</v>
      </c>
      <c r="H590">
        <f t="shared" ca="1" si="129"/>
        <v>190973965</v>
      </c>
      <c r="I590" t="str">
        <f t="shared" si="130"/>
        <v>Annual</v>
      </c>
      <c r="T590" s="57" t="s">
        <v>2588</v>
      </c>
      <c r="U590">
        <v>20612610</v>
      </c>
      <c r="V590" s="10" t="s">
        <v>1512</v>
      </c>
      <c r="W590" s="10" t="s">
        <v>1512</v>
      </c>
      <c r="Y590" s="1" t="s">
        <v>2589</v>
      </c>
      <c r="AI590" s="1">
        <v>241917</v>
      </c>
      <c r="AJ590" s="1" t="s">
        <v>119</v>
      </c>
      <c r="AK590" s="1" t="str">
        <f t="shared" si="131"/>
        <v/>
      </c>
      <c r="AL590" t="b">
        <f t="shared" si="132"/>
        <v>1</v>
      </c>
      <c r="AM590" s="49" t="str">
        <f t="shared" si="133"/>
        <v>Q</v>
      </c>
      <c r="AP590" s="10" t="s">
        <v>327</v>
      </c>
      <c r="AS590" t="s">
        <v>119</v>
      </c>
      <c r="AT590" s="6" t="s">
        <v>327</v>
      </c>
      <c r="AU590" s="6" t="str">
        <f t="shared" si="134"/>
        <v/>
      </c>
      <c r="AV590" s="6" t="s">
        <v>104</v>
      </c>
      <c r="AW590" s="6" t="str">
        <f t="shared" si="135"/>
        <v/>
      </c>
    </row>
    <row r="591" spans="1:49" ht="105">
      <c r="A591" s="1">
        <v>241917</v>
      </c>
      <c r="B591" t="str">
        <f t="shared" si="123"/>
        <v>8T72FT841863-78</v>
      </c>
      <c r="C591" s="6" t="str">
        <f t="shared" si="124"/>
        <v>ENHANCING HIV PREVENTION COMMUNICATION AND MOBILIZATION EFFORTS THROUGH
STRATEGIC PARTNERSHIPS</v>
      </c>
      <c r="D591" s="6" t="str">
        <f t="shared" si="125"/>
        <v>RESODYN CORPORATION</v>
      </c>
      <c r="E591">
        <f t="shared" si="126"/>
        <v>21862752</v>
      </c>
      <c r="F591" t="str">
        <f t="shared" si="127"/>
        <v>CDC</v>
      </c>
      <c r="G591" t="str">
        <f t="shared" si="128"/>
        <v>22-4782392</v>
      </c>
      <c r="H591">
        <f t="shared" ca="1" si="129"/>
        <v>190973965</v>
      </c>
      <c r="I591" t="str">
        <f t="shared" si="130"/>
        <v>Annual</v>
      </c>
      <c r="T591" s="57" t="s">
        <v>2590</v>
      </c>
      <c r="U591">
        <v>20612610</v>
      </c>
      <c r="V591" s="10" t="s">
        <v>1516</v>
      </c>
      <c r="W591" s="10" t="s">
        <v>1516</v>
      </c>
      <c r="Y591" s="1" t="s">
        <v>2591</v>
      </c>
      <c r="AI591" s="1">
        <v>241917</v>
      </c>
      <c r="AJ591" s="1" t="s">
        <v>119</v>
      </c>
      <c r="AK591" s="1" t="str">
        <f t="shared" si="131"/>
        <v/>
      </c>
      <c r="AL591" t="b">
        <f t="shared" si="132"/>
        <v>1</v>
      </c>
      <c r="AM591" s="49" t="str">
        <f t="shared" si="133"/>
        <v>Q</v>
      </c>
      <c r="AP591" s="10" t="s">
        <v>113</v>
      </c>
      <c r="AS591" t="s">
        <v>119</v>
      </c>
      <c r="AT591" s="6" t="s">
        <v>113</v>
      </c>
      <c r="AU591" s="6" t="str">
        <f t="shared" si="134"/>
        <v/>
      </c>
      <c r="AV591" s="6" t="s">
        <v>112</v>
      </c>
      <c r="AW591" s="6" t="str">
        <f t="shared" si="135"/>
        <v/>
      </c>
    </row>
    <row r="592" spans="1:49" ht="135">
      <c r="A592" s="1">
        <v>241991</v>
      </c>
      <c r="B592" t="str">
        <f t="shared" si="123"/>
        <v>2T85HT843856-89</v>
      </c>
      <c r="C592" s="6" t="str">
        <f t="shared" si="124"/>
        <v>CAPACITY BUILDING ASSISTANCE (CBA) FOR HIGH IMPACT HIV PREVENTION; INTEGRATED HIV ACTIVITIES AND STRUCTURAL INTERVENTIONS;
COMPONENT 2, TRACK C: WESTERN GEOGRAPHIC REGION</v>
      </c>
      <c r="D592" s="6" t="str">
        <f t="shared" si="125"/>
        <v>RESOURCEPATH, LLC</v>
      </c>
      <c r="E592">
        <f t="shared" si="126"/>
        <v>10753812</v>
      </c>
      <c r="F592" t="str">
        <f t="shared" si="127"/>
        <v>NIH</v>
      </c>
      <c r="G592" t="str">
        <f t="shared" si="128"/>
        <v>22-4782393</v>
      </c>
      <c r="H592">
        <f t="shared" ca="1" si="129"/>
        <v>159212094</v>
      </c>
      <c r="I592" t="str">
        <f t="shared" si="130"/>
        <v>Annual</v>
      </c>
      <c r="T592" s="54" t="s">
        <v>2592</v>
      </c>
      <c r="U592">
        <v>20612610</v>
      </c>
      <c r="V592" s="10" t="s">
        <v>1522</v>
      </c>
      <c r="W592" s="10" t="s">
        <v>1522</v>
      </c>
      <c r="Y592" s="1" t="s">
        <v>2593</v>
      </c>
      <c r="AI592" s="1">
        <v>241991</v>
      </c>
      <c r="AJ592" s="1" t="s">
        <v>119</v>
      </c>
      <c r="AK592" s="1" t="str">
        <f t="shared" si="131"/>
        <v/>
      </c>
      <c r="AL592" t="b">
        <f t="shared" si="132"/>
        <v>1</v>
      </c>
      <c r="AM592" s="49" t="str">
        <f t="shared" si="133"/>
        <v>Q</v>
      </c>
      <c r="AP592" s="10" t="s">
        <v>97</v>
      </c>
      <c r="AS592" t="s">
        <v>119</v>
      </c>
      <c r="AT592" s="6" t="s">
        <v>97</v>
      </c>
      <c r="AU592" s="6" t="str">
        <f t="shared" si="134"/>
        <v/>
      </c>
      <c r="AV592" s="6" t="s">
        <v>96</v>
      </c>
      <c r="AW592" s="6" t="str">
        <f t="shared" si="135"/>
        <v/>
      </c>
    </row>
    <row r="593" spans="1:49" ht="135">
      <c r="A593" s="1">
        <v>241991</v>
      </c>
      <c r="B593" t="str">
        <f t="shared" si="123"/>
        <v>2T85HT843856-89</v>
      </c>
      <c r="C593" s="6" t="str">
        <f t="shared" si="124"/>
        <v>CAPACITY BUILDING ASSISTANCE (CBA) FOR HIGH IMPACT HIV PREVENTION; INTEGRATED HIV ACTIVITIES AND STRUCTURAL INTERVENTIONS;
COMPONENT 2, TRACK C: WESTERN GEOGRAPHIC REGION</v>
      </c>
      <c r="D593" s="6" t="str">
        <f t="shared" si="125"/>
        <v>RESOURCEPATH, LLC</v>
      </c>
      <c r="E593">
        <f t="shared" si="126"/>
        <v>10753812</v>
      </c>
      <c r="F593" t="str">
        <f t="shared" si="127"/>
        <v>NIH</v>
      </c>
      <c r="G593" t="str">
        <f t="shared" si="128"/>
        <v>22-4782393</v>
      </c>
      <c r="H593">
        <f t="shared" ca="1" si="129"/>
        <v>159212094</v>
      </c>
      <c r="I593" t="str">
        <f t="shared" si="130"/>
        <v>Annual</v>
      </c>
      <c r="T593" s="54" t="s">
        <v>2594</v>
      </c>
      <c r="U593">
        <v>20612610</v>
      </c>
      <c r="V593" s="10" t="s">
        <v>1530</v>
      </c>
      <c r="W593" s="10" t="s">
        <v>1530</v>
      </c>
      <c r="Y593" s="1" t="s">
        <v>2595</v>
      </c>
      <c r="AI593" s="1">
        <v>241991</v>
      </c>
      <c r="AJ593" s="1" t="s">
        <v>119</v>
      </c>
      <c r="AK593" s="1" t="str">
        <f t="shared" si="131"/>
        <v/>
      </c>
      <c r="AL593" t="b">
        <f t="shared" si="132"/>
        <v>1</v>
      </c>
      <c r="AM593" s="49" t="str">
        <f t="shared" si="133"/>
        <v>Q</v>
      </c>
      <c r="AP593" s="10" t="s">
        <v>327</v>
      </c>
      <c r="AS593" t="s">
        <v>119</v>
      </c>
      <c r="AT593" s="6" t="s">
        <v>327</v>
      </c>
      <c r="AU593" s="6" t="str">
        <f t="shared" si="134"/>
        <v/>
      </c>
      <c r="AV593" s="6" t="s">
        <v>104</v>
      </c>
      <c r="AW593" s="6" t="str">
        <f t="shared" si="135"/>
        <v/>
      </c>
    </row>
    <row r="594" spans="1:49" ht="120">
      <c r="A594" s="1">
        <v>242079</v>
      </c>
      <c r="B594" t="str">
        <f t="shared" si="123"/>
        <v>9T27CT844460-51</v>
      </c>
      <c r="C594" s="6" t="str">
        <f t="shared" si="124"/>
        <v>COMPREHENSIVE HIGH-IMPACT HIV PREVENTION
PROJECTS FOR COMMUNITY-BASED ORGANIZATIONS</v>
      </c>
      <c r="D594" s="6" t="str">
        <f t="shared" si="125"/>
        <v>RESPIRA THERAPEUTICS, INC.</v>
      </c>
      <c r="E594">
        <f t="shared" si="126"/>
        <v>10753812</v>
      </c>
      <c r="F594" t="str">
        <f t="shared" si="127"/>
        <v>FDA</v>
      </c>
      <c r="G594" t="str">
        <f t="shared" si="128"/>
        <v>22-4782394</v>
      </c>
      <c r="H594">
        <f t="shared" ca="1" si="129"/>
        <v>327386093</v>
      </c>
      <c r="I594" t="str">
        <f t="shared" si="130"/>
        <v>Annual</v>
      </c>
      <c r="T594" s="57" t="s">
        <v>2596</v>
      </c>
      <c r="U594">
        <v>10209848</v>
      </c>
      <c r="V594" s="10" t="s">
        <v>1537</v>
      </c>
      <c r="W594" s="10" t="s">
        <v>1537</v>
      </c>
      <c r="Y594" s="1" t="s">
        <v>2597</v>
      </c>
      <c r="AI594" s="1">
        <v>242079</v>
      </c>
      <c r="AJ594" s="1" t="s">
        <v>119</v>
      </c>
      <c r="AK594" s="1" t="str">
        <f t="shared" si="131"/>
        <v/>
      </c>
      <c r="AL594" t="b">
        <f t="shared" si="132"/>
        <v>1</v>
      </c>
      <c r="AM594" s="49" t="str">
        <f t="shared" si="133"/>
        <v>Q</v>
      </c>
      <c r="AP594" s="10" t="s">
        <v>97</v>
      </c>
      <c r="AS594" t="s">
        <v>119</v>
      </c>
      <c r="AT594" s="6" t="s">
        <v>97</v>
      </c>
      <c r="AU594" s="6" t="str">
        <f t="shared" si="134"/>
        <v/>
      </c>
      <c r="AV594" s="6" t="s">
        <v>96</v>
      </c>
      <c r="AW594" s="6" t="str">
        <f t="shared" si="135"/>
        <v/>
      </c>
    </row>
    <row r="595" spans="1:49" ht="90">
      <c r="A595" s="1">
        <v>242079</v>
      </c>
      <c r="B595" t="str">
        <f t="shared" si="123"/>
        <v>9T27CT844460-51</v>
      </c>
      <c r="C595" s="6" t="str">
        <f t="shared" si="124"/>
        <v>COMPREHENSIVE HIGH-IMPACT HIV PREVENTION
PROJECTS FOR COMMUNITY-BASED ORGANIZATIONS</v>
      </c>
      <c r="D595" s="6" t="str">
        <f t="shared" si="125"/>
        <v>RESPIRA THERAPEUTICS, INC.</v>
      </c>
      <c r="E595">
        <f t="shared" si="126"/>
        <v>10753812</v>
      </c>
      <c r="F595" t="str">
        <f t="shared" si="127"/>
        <v>FDA</v>
      </c>
      <c r="G595" t="str">
        <f t="shared" si="128"/>
        <v>22-4782394</v>
      </c>
      <c r="H595">
        <f t="shared" ca="1" si="129"/>
        <v>327386093</v>
      </c>
      <c r="I595" t="str">
        <f t="shared" si="130"/>
        <v>Annual</v>
      </c>
      <c r="T595" s="52" t="s">
        <v>2598</v>
      </c>
      <c r="U595">
        <v>10209848</v>
      </c>
      <c r="V595" s="10" t="s">
        <v>1543</v>
      </c>
      <c r="W595" s="10" t="s">
        <v>1543</v>
      </c>
      <c r="Y595" s="1" t="s">
        <v>2599</v>
      </c>
      <c r="AI595" s="1">
        <v>242079</v>
      </c>
      <c r="AJ595" s="1" t="s">
        <v>119</v>
      </c>
      <c r="AK595" s="1" t="str">
        <f t="shared" si="131"/>
        <v/>
      </c>
      <c r="AL595" t="b">
        <f t="shared" si="132"/>
        <v>1</v>
      </c>
      <c r="AM595" s="49" t="str">
        <f t="shared" si="133"/>
        <v>Q</v>
      </c>
      <c r="AP595" s="10" t="s">
        <v>327</v>
      </c>
      <c r="AS595" t="s">
        <v>119</v>
      </c>
      <c r="AT595" s="6" t="s">
        <v>327</v>
      </c>
      <c r="AU595" s="6" t="str">
        <f t="shared" si="134"/>
        <v/>
      </c>
      <c r="AV595" s="6" t="s">
        <v>104</v>
      </c>
      <c r="AW595" s="6" t="str">
        <f t="shared" si="135"/>
        <v/>
      </c>
    </row>
    <row r="596" spans="1:49" ht="75">
      <c r="A596" s="1">
        <v>242079</v>
      </c>
      <c r="B596" t="str">
        <f t="shared" si="123"/>
        <v>9T27CT844460-51</v>
      </c>
      <c r="C596" s="6" t="str">
        <f t="shared" si="124"/>
        <v>COMPREHENSIVE HIGH-IMPACT HIV PREVENTION
PROJECTS FOR COMMUNITY-BASED ORGANIZATIONS</v>
      </c>
      <c r="D596" s="6" t="str">
        <f t="shared" si="125"/>
        <v>RESPIRA THERAPEUTICS, INC.</v>
      </c>
      <c r="E596">
        <f t="shared" si="126"/>
        <v>10753812</v>
      </c>
      <c r="F596" t="str">
        <f t="shared" si="127"/>
        <v>FDA</v>
      </c>
      <c r="G596" t="str">
        <f t="shared" si="128"/>
        <v>22-4782394</v>
      </c>
      <c r="H596">
        <f t="shared" ca="1" si="129"/>
        <v>327386093</v>
      </c>
      <c r="I596" t="str">
        <f t="shared" si="130"/>
        <v>Annual</v>
      </c>
      <c r="T596" s="61" t="s">
        <v>2600</v>
      </c>
      <c r="U596">
        <v>10209848</v>
      </c>
      <c r="V596" s="10" t="s">
        <v>1548</v>
      </c>
      <c r="W596" s="10" t="s">
        <v>1548</v>
      </c>
      <c r="Y596" s="1" t="s">
        <v>2601</v>
      </c>
      <c r="AI596" s="1">
        <v>242079</v>
      </c>
      <c r="AJ596" s="1" t="s">
        <v>119</v>
      </c>
      <c r="AK596" s="1" t="str">
        <f t="shared" si="131"/>
        <v/>
      </c>
      <c r="AL596" t="b">
        <f t="shared" si="132"/>
        <v>1</v>
      </c>
      <c r="AM596" s="49" t="str">
        <f t="shared" si="133"/>
        <v>Q</v>
      </c>
      <c r="AP596" s="10" t="s">
        <v>113</v>
      </c>
      <c r="AS596" t="s">
        <v>119</v>
      </c>
      <c r="AT596" s="6" t="s">
        <v>113</v>
      </c>
      <c r="AU596" s="6" t="str">
        <f t="shared" si="134"/>
        <v/>
      </c>
      <c r="AV596" s="6" t="s">
        <v>112</v>
      </c>
      <c r="AW596" s="6" t="str">
        <f t="shared" si="135"/>
        <v/>
      </c>
    </row>
    <row r="597" spans="1:49" ht="90">
      <c r="A597" s="1">
        <v>243314</v>
      </c>
      <c r="B597" t="str">
        <f t="shared" si="123"/>
        <v>4T98GT844334-20</v>
      </c>
      <c r="C597" s="6" t="str">
        <f t="shared" si="124"/>
        <v>UCLA PUBLIC HEALTH SCHOLARS TRAINING PROGRAM</v>
      </c>
      <c r="D597" s="6" t="str">
        <f t="shared" si="125"/>
        <v>RESTFUL JAW COMPANY, LLC</v>
      </c>
      <c r="E597">
        <f t="shared" si="126"/>
        <v>10753812</v>
      </c>
      <c r="F597" t="str">
        <f t="shared" si="127"/>
        <v>ACF</v>
      </c>
      <c r="G597" t="str">
        <f t="shared" si="128"/>
        <v>22-4782395</v>
      </c>
      <c r="H597">
        <f t="shared" ca="1" si="129"/>
        <v>146079438</v>
      </c>
      <c r="I597" t="str">
        <f t="shared" si="130"/>
        <v>Annual</v>
      </c>
      <c r="T597" s="50" t="s">
        <v>2602</v>
      </c>
      <c r="U597">
        <v>10209848</v>
      </c>
      <c r="V597" s="10" t="s">
        <v>1552</v>
      </c>
      <c r="W597" s="10" t="s">
        <v>1552</v>
      </c>
      <c r="Y597" s="1" t="s">
        <v>2603</v>
      </c>
      <c r="AI597" s="1">
        <v>243314</v>
      </c>
      <c r="AJ597" s="1" t="s">
        <v>119</v>
      </c>
      <c r="AK597" s="1" t="str">
        <f t="shared" si="131"/>
        <v/>
      </c>
      <c r="AL597" t="b">
        <f t="shared" si="132"/>
        <v>1</v>
      </c>
      <c r="AM597" s="49" t="str">
        <f t="shared" si="133"/>
        <v>Q</v>
      </c>
      <c r="AP597" s="10" t="s">
        <v>97</v>
      </c>
      <c r="AS597" t="s">
        <v>119</v>
      </c>
      <c r="AT597" s="6" t="s">
        <v>97</v>
      </c>
      <c r="AU597" s="6" t="str">
        <f t="shared" si="134"/>
        <v/>
      </c>
      <c r="AV597" s="6" t="s">
        <v>96</v>
      </c>
      <c r="AW597" s="6" t="str">
        <f t="shared" si="135"/>
        <v/>
      </c>
    </row>
    <row r="598" spans="1:49" ht="90">
      <c r="A598" s="1">
        <v>243314</v>
      </c>
      <c r="B598" t="str">
        <f t="shared" si="123"/>
        <v>4T98GT844334-20</v>
      </c>
      <c r="C598" s="6" t="str">
        <f t="shared" si="124"/>
        <v>UCLA PUBLIC HEALTH SCHOLARS TRAINING PROGRAM</v>
      </c>
      <c r="D598" s="6" t="str">
        <f t="shared" si="125"/>
        <v>RESTFUL JAW COMPANY, LLC</v>
      </c>
      <c r="E598">
        <f t="shared" si="126"/>
        <v>10753812</v>
      </c>
      <c r="F598" t="str">
        <f t="shared" si="127"/>
        <v>ACF</v>
      </c>
      <c r="G598" t="str">
        <f t="shared" si="128"/>
        <v>22-4782395</v>
      </c>
      <c r="H598">
        <f t="shared" ca="1" si="129"/>
        <v>146079438</v>
      </c>
      <c r="I598" t="str">
        <f t="shared" si="130"/>
        <v>Annual</v>
      </c>
      <c r="T598" s="54" t="s">
        <v>2604</v>
      </c>
      <c r="U598">
        <v>13677543</v>
      </c>
      <c r="V598" s="10" t="s">
        <v>1559</v>
      </c>
      <c r="W598" s="10" t="s">
        <v>1559</v>
      </c>
      <c r="Y598" s="1" t="s">
        <v>2605</v>
      </c>
      <c r="AI598" s="1">
        <v>243314</v>
      </c>
      <c r="AJ598" s="1" t="s">
        <v>119</v>
      </c>
      <c r="AK598" s="1" t="str">
        <f t="shared" si="131"/>
        <v/>
      </c>
      <c r="AL598" t="b">
        <f t="shared" si="132"/>
        <v>1</v>
      </c>
      <c r="AM598" s="49" t="str">
        <f t="shared" si="133"/>
        <v>Q</v>
      </c>
      <c r="AP598" s="10" t="s">
        <v>327</v>
      </c>
      <c r="AS598" t="s">
        <v>119</v>
      </c>
      <c r="AT598" s="6" t="s">
        <v>327</v>
      </c>
      <c r="AU598" s="6" t="str">
        <f t="shared" si="134"/>
        <v/>
      </c>
      <c r="AV598" s="6" t="s">
        <v>104</v>
      </c>
      <c r="AW598" s="6" t="str">
        <f t="shared" si="135"/>
        <v/>
      </c>
    </row>
    <row r="599" spans="1:49" ht="60">
      <c r="A599" s="1">
        <v>243314</v>
      </c>
      <c r="B599" t="str">
        <f t="shared" si="123"/>
        <v>4T98GT844334-20</v>
      </c>
      <c r="C599" s="6" t="str">
        <f t="shared" si="124"/>
        <v>UCLA PUBLIC HEALTH SCHOLARS TRAINING PROGRAM</v>
      </c>
      <c r="D599" s="6" t="str">
        <f t="shared" si="125"/>
        <v>RESTFUL JAW COMPANY, LLC</v>
      </c>
      <c r="E599">
        <f t="shared" si="126"/>
        <v>10753812</v>
      </c>
      <c r="F599" t="str">
        <f t="shared" si="127"/>
        <v>ACF</v>
      </c>
      <c r="G599" t="str">
        <f t="shared" si="128"/>
        <v>22-4782395</v>
      </c>
      <c r="H599">
        <f t="shared" ca="1" si="129"/>
        <v>146079438</v>
      </c>
      <c r="I599" t="str">
        <f t="shared" si="130"/>
        <v>Annual</v>
      </c>
      <c r="T599" s="52" t="s">
        <v>2606</v>
      </c>
      <c r="U599">
        <v>13677543</v>
      </c>
      <c r="V599" s="10" t="s">
        <v>1565</v>
      </c>
      <c r="W599" s="10" t="s">
        <v>1565</v>
      </c>
      <c r="Y599" s="1" t="s">
        <v>2607</v>
      </c>
      <c r="AI599" s="1">
        <v>243314</v>
      </c>
      <c r="AJ599" s="1" t="s">
        <v>119</v>
      </c>
      <c r="AK599" s="1" t="str">
        <f t="shared" si="131"/>
        <v/>
      </c>
      <c r="AL599" t="b">
        <f t="shared" si="132"/>
        <v>1</v>
      </c>
      <c r="AM599" s="49" t="str">
        <f t="shared" si="133"/>
        <v>Q</v>
      </c>
      <c r="AP599" s="10"/>
      <c r="AS599" t="s">
        <v>119</v>
      </c>
      <c r="AT599" s="6" t="s">
        <v>812</v>
      </c>
      <c r="AU599" s="6" t="str">
        <f t="shared" si="134"/>
        <v/>
      </c>
      <c r="AV599" s="6" t="s">
        <v>811</v>
      </c>
      <c r="AW599" s="6" t="str">
        <f t="shared" si="135"/>
        <v/>
      </c>
    </row>
    <row r="600" spans="1:49" ht="90">
      <c r="A600" s="1">
        <v>243325</v>
      </c>
      <c r="B600" t="str">
        <f t="shared" si="123"/>
        <v>3T65AT844334-74</v>
      </c>
      <c r="C600" s="6" t="str">
        <f t="shared" si="124"/>
        <v>CALIFORNIA STD/HIV PREVENTION TRAINING CENTER</v>
      </c>
      <c r="D600" s="6" t="str">
        <f t="shared" si="125"/>
        <v>RESTORBIO, INC.</v>
      </c>
      <c r="E600">
        <f t="shared" si="126"/>
        <v>10753812</v>
      </c>
      <c r="F600" t="str">
        <f t="shared" si="127"/>
        <v>CDC</v>
      </c>
      <c r="G600" t="str">
        <f t="shared" si="128"/>
        <v>22-4782396</v>
      </c>
      <c r="H600">
        <f t="shared" ca="1" si="129"/>
        <v>174561288</v>
      </c>
      <c r="I600" t="str">
        <f t="shared" si="130"/>
        <v>Annual</v>
      </c>
      <c r="T600" s="56" t="s">
        <v>2035</v>
      </c>
      <c r="U600">
        <v>13677543</v>
      </c>
      <c r="V600" s="10" t="s">
        <v>1571</v>
      </c>
      <c r="W600" s="10" t="s">
        <v>1571</v>
      </c>
      <c r="Y600" s="1" t="s">
        <v>2608</v>
      </c>
      <c r="AI600" s="1">
        <v>243325</v>
      </c>
      <c r="AJ600" s="1" t="s">
        <v>119</v>
      </c>
      <c r="AK600" s="1" t="str">
        <f t="shared" si="131"/>
        <v/>
      </c>
      <c r="AL600" t="b">
        <f t="shared" si="132"/>
        <v>1</v>
      </c>
      <c r="AM600" s="49" t="str">
        <f t="shared" si="133"/>
        <v>Q</v>
      </c>
      <c r="AP600" s="10" t="s">
        <v>97</v>
      </c>
      <c r="AS600" t="s">
        <v>119</v>
      </c>
      <c r="AT600" s="6" t="s">
        <v>97</v>
      </c>
      <c r="AU600" s="6" t="str">
        <f t="shared" si="134"/>
        <v/>
      </c>
      <c r="AV600" s="6" t="s">
        <v>96</v>
      </c>
      <c r="AW600" s="6" t="str">
        <f t="shared" si="135"/>
        <v/>
      </c>
    </row>
    <row r="601" spans="1:49" ht="75">
      <c r="A601" s="1">
        <v>243325</v>
      </c>
      <c r="B601" t="str">
        <f t="shared" si="123"/>
        <v>3T65AT844334-74</v>
      </c>
      <c r="C601" s="6" t="str">
        <f t="shared" si="124"/>
        <v>CALIFORNIA STD/HIV PREVENTION TRAINING CENTER</v>
      </c>
      <c r="D601" s="6" t="str">
        <f t="shared" si="125"/>
        <v>RESTORBIO, INC.</v>
      </c>
      <c r="E601">
        <f t="shared" si="126"/>
        <v>10753812</v>
      </c>
      <c r="F601" t="str">
        <f t="shared" si="127"/>
        <v>CDC</v>
      </c>
      <c r="G601" t="str">
        <f t="shared" si="128"/>
        <v>22-4782396</v>
      </c>
      <c r="H601">
        <f t="shared" ca="1" si="129"/>
        <v>174561288</v>
      </c>
      <c r="I601" t="str">
        <f t="shared" si="130"/>
        <v>Annual</v>
      </c>
      <c r="T601" s="53" t="s">
        <v>2609</v>
      </c>
      <c r="U601">
        <v>1805563</v>
      </c>
      <c r="V601" s="10" t="s">
        <v>1577</v>
      </c>
      <c r="W601" s="10" t="s">
        <v>1577</v>
      </c>
      <c r="Y601" s="1" t="s">
        <v>2610</v>
      </c>
      <c r="AI601" s="1">
        <v>243325</v>
      </c>
      <c r="AJ601" s="1" t="s">
        <v>119</v>
      </c>
      <c r="AK601" s="1" t="str">
        <f t="shared" si="131"/>
        <v/>
      </c>
      <c r="AL601" t="b">
        <f t="shared" si="132"/>
        <v>1</v>
      </c>
      <c r="AM601" s="49" t="str">
        <f t="shared" si="133"/>
        <v>Q</v>
      </c>
      <c r="AP601" s="10" t="s">
        <v>327</v>
      </c>
      <c r="AS601" t="s">
        <v>119</v>
      </c>
      <c r="AT601" s="6" t="s">
        <v>327</v>
      </c>
      <c r="AU601" s="6" t="str">
        <f t="shared" si="134"/>
        <v/>
      </c>
      <c r="AV601" s="6" t="s">
        <v>104</v>
      </c>
      <c r="AW601" s="6" t="str">
        <f t="shared" si="135"/>
        <v/>
      </c>
    </row>
    <row r="602" spans="1:49" ht="90">
      <c r="A602" s="1">
        <v>243501</v>
      </c>
      <c r="B602" t="str">
        <f t="shared" si="123"/>
        <v>3S86BS845607-77</v>
      </c>
      <c r="C602" s="6" t="str">
        <f t="shared" si="124"/>
        <v>NATIONAL NETWORK OF SEXUALLY TRANSMITTED DISEASES CLINICAL PREVENTION TRAINING CENTER</v>
      </c>
      <c r="D602" s="6" t="str">
        <f t="shared" si="125"/>
        <v>RETHAM TECHNOLOGIES, LLC</v>
      </c>
      <c r="E602">
        <f t="shared" si="126"/>
        <v>9216394</v>
      </c>
      <c r="F602" t="str">
        <f t="shared" si="127"/>
        <v>NIH</v>
      </c>
      <c r="G602" t="str">
        <f t="shared" si="128"/>
        <v>22-4782397</v>
      </c>
      <c r="H602">
        <f t="shared" ca="1" si="129"/>
        <v>268464503</v>
      </c>
      <c r="I602" t="str">
        <f t="shared" si="130"/>
        <v>Annual</v>
      </c>
      <c r="T602" s="56" t="s">
        <v>2611</v>
      </c>
      <c r="U602">
        <v>1805563</v>
      </c>
      <c r="V602" s="10" t="s">
        <v>1583</v>
      </c>
      <c r="W602" s="10" t="s">
        <v>1583</v>
      </c>
      <c r="Y602" s="1" t="s">
        <v>2612</v>
      </c>
      <c r="AI602" s="1">
        <v>243501</v>
      </c>
      <c r="AJ602" s="1" t="s">
        <v>119</v>
      </c>
      <c r="AK602" s="1" t="str">
        <f t="shared" si="131"/>
        <v/>
      </c>
      <c r="AL602" t="b">
        <f t="shared" si="132"/>
        <v>1</v>
      </c>
      <c r="AM602" s="49" t="str">
        <f t="shared" si="133"/>
        <v>Q</v>
      </c>
      <c r="AP602" s="10" t="s">
        <v>97</v>
      </c>
      <c r="AS602" t="s">
        <v>119</v>
      </c>
      <c r="AT602" s="6" t="s">
        <v>97</v>
      </c>
      <c r="AU602" s="6" t="str">
        <f t="shared" si="134"/>
        <v/>
      </c>
      <c r="AV602" s="6" t="s">
        <v>96</v>
      </c>
      <c r="AW602" s="6" t="str">
        <f t="shared" si="135"/>
        <v/>
      </c>
    </row>
    <row r="603" spans="1:49" ht="75">
      <c r="A603" s="1">
        <v>243501</v>
      </c>
      <c r="B603" t="str">
        <f t="shared" si="123"/>
        <v>3S86BS845607-77</v>
      </c>
      <c r="C603" s="6" t="str">
        <f t="shared" si="124"/>
        <v>NATIONAL NETWORK OF SEXUALLY TRANSMITTED DISEASES CLINICAL PREVENTION TRAINING CENTER</v>
      </c>
      <c r="D603" s="6" t="str">
        <f t="shared" si="125"/>
        <v>RETHAM TECHNOLOGIES, LLC</v>
      </c>
      <c r="E603">
        <f t="shared" si="126"/>
        <v>9216394</v>
      </c>
      <c r="F603" t="str">
        <f t="shared" si="127"/>
        <v>NIH</v>
      </c>
      <c r="G603" t="str">
        <f t="shared" si="128"/>
        <v>22-4782397</v>
      </c>
      <c r="H603">
        <f t="shared" ca="1" si="129"/>
        <v>268464503</v>
      </c>
      <c r="I603" t="str">
        <f t="shared" si="130"/>
        <v>Annual</v>
      </c>
      <c r="T603" s="56" t="s">
        <v>2613</v>
      </c>
      <c r="U603">
        <v>1805563</v>
      </c>
      <c r="V603" s="10" t="s">
        <v>1589</v>
      </c>
      <c r="W603" s="10" t="s">
        <v>1589</v>
      </c>
      <c r="Y603" s="1" t="s">
        <v>2614</v>
      </c>
      <c r="AI603" s="1">
        <v>243501</v>
      </c>
      <c r="AJ603" s="1" t="s">
        <v>119</v>
      </c>
      <c r="AK603" s="1" t="str">
        <f t="shared" si="131"/>
        <v/>
      </c>
      <c r="AL603" t="b">
        <f t="shared" si="132"/>
        <v>1</v>
      </c>
      <c r="AM603" s="49" t="str">
        <f t="shared" si="133"/>
        <v>Q</v>
      </c>
      <c r="AP603" s="10" t="s">
        <v>327</v>
      </c>
      <c r="AS603" t="s">
        <v>119</v>
      </c>
      <c r="AT603" s="6" t="s">
        <v>327</v>
      </c>
      <c r="AU603" s="6" t="str">
        <f t="shared" si="134"/>
        <v/>
      </c>
      <c r="AV603" s="6" t="s">
        <v>104</v>
      </c>
      <c r="AW603" s="6" t="str">
        <f t="shared" si="135"/>
        <v/>
      </c>
    </row>
    <row r="604" spans="1:49" ht="75">
      <c r="A604" s="1">
        <v>243501</v>
      </c>
      <c r="B604" t="str">
        <f t="shared" si="123"/>
        <v>3S86BS845607-77</v>
      </c>
      <c r="C604" s="6" t="str">
        <f t="shared" si="124"/>
        <v>NATIONAL NETWORK OF SEXUALLY TRANSMITTED DISEASES CLINICAL PREVENTION TRAINING CENTER</v>
      </c>
      <c r="D604" s="6" t="str">
        <f t="shared" si="125"/>
        <v>RETHAM TECHNOLOGIES, LLC</v>
      </c>
      <c r="E604">
        <f t="shared" si="126"/>
        <v>9216394</v>
      </c>
      <c r="F604" t="str">
        <f t="shared" si="127"/>
        <v>NIH</v>
      </c>
      <c r="G604" t="str">
        <f t="shared" si="128"/>
        <v>22-4782397</v>
      </c>
      <c r="H604">
        <f t="shared" ca="1" si="129"/>
        <v>268464503</v>
      </c>
      <c r="I604" t="str">
        <f t="shared" si="130"/>
        <v>Annual</v>
      </c>
      <c r="T604" s="52" t="s">
        <v>1896</v>
      </c>
      <c r="U604">
        <v>11377555</v>
      </c>
      <c r="V604" s="10" t="s">
        <v>1594</v>
      </c>
      <c r="W604" s="10" t="s">
        <v>1594</v>
      </c>
      <c r="Y604" s="1" t="s">
        <v>2615</v>
      </c>
      <c r="AI604" s="1">
        <v>243501</v>
      </c>
      <c r="AJ604" s="1" t="s">
        <v>119</v>
      </c>
      <c r="AK604" s="1" t="str">
        <f t="shared" si="131"/>
        <v/>
      </c>
      <c r="AL604" t="b">
        <f t="shared" si="132"/>
        <v>1</v>
      </c>
      <c r="AM604" s="49" t="str">
        <f t="shared" si="133"/>
        <v>Q</v>
      </c>
      <c r="AP604" s="10" t="s">
        <v>113</v>
      </c>
      <c r="AS604" t="s">
        <v>119</v>
      </c>
      <c r="AT604" s="6" t="s">
        <v>113</v>
      </c>
      <c r="AU604" s="6" t="str">
        <f t="shared" si="134"/>
        <v/>
      </c>
      <c r="AV604" s="6" t="s">
        <v>112</v>
      </c>
      <c r="AW604" s="6" t="str">
        <f t="shared" si="135"/>
        <v/>
      </c>
    </row>
    <row r="605" spans="1:49" ht="75">
      <c r="A605" s="1">
        <v>243501</v>
      </c>
      <c r="B605" t="str">
        <f t="shared" si="123"/>
        <v>3S86BS845607-77</v>
      </c>
      <c r="C605" s="6" t="str">
        <f t="shared" si="124"/>
        <v>NATIONAL NETWORK OF SEXUALLY TRANSMITTED DISEASES CLINICAL PREVENTION TRAINING CENTER</v>
      </c>
      <c r="D605" s="6" t="str">
        <f t="shared" si="125"/>
        <v>RETHAM TECHNOLOGIES, LLC</v>
      </c>
      <c r="E605">
        <f t="shared" si="126"/>
        <v>9216394</v>
      </c>
      <c r="F605" t="str">
        <f t="shared" si="127"/>
        <v>NIH</v>
      </c>
      <c r="G605" t="str">
        <f t="shared" si="128"/>
        <v>22-4782397</v>
      </c>
      <c r="H605">
        <f t="shared" ca="1" si="129"/>
        <v>268464503</v>
      </c>
      <c r="I605" t="str">
        <f t="shared" si="130"/>
        <v>Annual</v>
      </c>
      <c r="T605" s="54" t="s">
        <v>2616</v>
      </c>
      <c r="U605">
        <v>11377555</v>
      </c>
      <c r="V605" s="10" t="s">
        <v>1599</v>
      </c>
      <c r="W605" s="10" t="s">
        <v>1599</v>
      </c>
      <c r="Y605" s="1" t="s">
        <v>2617</v>
      </c>
      <c r="AI605" s="1">
        <v>243501</v>
      </c>
      <c r="AJ605" s="1" t="s">
        <v>119</v>
      </c>
      <c r="AK605" s="1" t="str">
        <f t="shared" si="131"/>
        <v/>
      </c>
      <c r="AL605" t="b">
        <f t="shared" si="132"/>
        <v>1</v>
      </c>
      <c r="AM605" s="49" t="str">
        <f t="shared" si="133"/>
        <v>Q</v>
      </c>
      <c r="AP605" s="10"/>
      <c r="AS605" t="s">
        <v>119</v>
      </c>
      <c r="AT605" s="6" t="s">
        <v>812</v>
      </c>
      <c r="AU605" s="6" t="str">
        <f t="shared" si="134"/>
        <v/>
      </c>
      <c r="AV605" s="6" t="s">
        <v>811</v>
      </c>
      <c r="AW605" s="6" t="str">
        <f t="shared" si="135"/>
        <v/>
      </c>
    </row>
    <row r="606" spans="1:49" ht="90">
      <c r="A606" s="1">
        <v>243528</v>
      </c>
      <c r="B606" t="str">
        <f t="shared" si="123"/>
        <v>7T57CT844112-55</v>
      </c>
      <c r="C606" s="6" t="str">
        <f t="shared" si="124"/>
        <v>SAN DIEGO TUBERCULOSIS PREVENTION, CONTROL, TRAINING AND LABORATORY SERVICES</v>
      </c>
      <c r="D606" s="6" t="str">
        <f t="shared" si="125"/>
        <v>RETINA FOUNDATION OF THE SOUTHWEST</v>
      </c>
      <c r="E606">
        <f t="shared" si="126"/>
        <v>22199155</v>
      </c>
      <c r="F606" t="str">
        <f t="shared" si="127"/>
        <v>FDA</v>
      </c>
      <c r="G606" t="str">
        <f t="shared" si="128"/>
        <v>22-4782398</v>
      </c>
      <c r="H606">
        <f t="shared" ca="1" si="129"/>
        <v>58197653</v>
      </c>
      <c r="I606" t="str">
        <f t="shared" si="130"/>
        <v>Annual</v>
      </c>
      <c r="T606" s="54" t="s">
        <v>2618</v>
      </c>
      <c r="U606">
        <v>11377555</v>
      </c>
      <c r="V606" s="10" t="s">
        <v>1605</v>
      </c>
      <c r="W606" s="10" t="s">
        <v>1605</v>
      </c>
      <c r="Y606" s="1" t="s">
        <v>2619</v>
      </c>
      <c r="AI606" s="1">
        <v>243528</v>
      </c>
      <c r="AJ606" s="1" t="s">
        <v>119</v>
      </c>
      <c r="AK606" s="1" t="str">
        <f t="shared" si="131"/>
        <v/>
      </c>
      <c r="AL606" t="b">
        <f t="shared" si="132"/>
        <v>1</v>
      </c>
      <c r="AM606" s="49" t="str">
        <f t="shared" si="133"/>
        <v>Q</v>
      </c>
      <c r="AP606" s="10" t="s">
        <v>97</v>
      </c>
      <c r="AS606" t="s">
        <v>119</v>
      </c>
      <c r="AT606" s="6" t="s">
        <v>97</v>
      </c>
      <c r="AU606" s="6" t="str">
        <f t="shared" si="134"/>
        <v/>
      </c>
      <c r="AV606" s="6" t="s">
        <v>96</v>
      </c>
      <c r="AW606" s="6" t="str">
        <f t="shared" si="135"/>
        <v/>
      </c>
    </row>
    <row r="607" spans="1:49" ht="75">
      <c r="A607" s="1">
        <v>243528</v>
      </c>
      <c r="B607" t="str">
        <f t="shared" si="123"/>
        <v>7T57CT844112-55</v>
      </c>
      <c r="C607" s="6" t="str">
        <f t="shared" si="124"/>
        <v>SAN DIEGO TUBERCULOSIS PREVENTION, CONTROL, TRAINING AND LABORATORY SERVICES</v>
      </c>
      <c r="D607" s="6" t="str">
        <f t="shared" si="125"/>
        <v>RETINA FOUNDATION OF THE SOUTHWEST</v>
      </c>
      <c r="E607">
        <f t="shared" si="126"/>
        <v>22199155</v>
      </c>
      <c r="F607" t="str">
        <f t="shared" si="127"/>
        <v>FDA</v>
      </c>
      <c r="G607" t="str">
        <f t="shared" si="128"/>
        <v>22-4782398</v>
      </c>
      <c r="H607">
        <f t="shared" ca="1" si="129"/>
        <v>58197653</v>
      </c>
      <c r="I607" t="str">
        <f t="shared" si="130"/>
        <v>Annual</v>
      </c>
      <c r="T607" s="61" t="s">
        <v>2620</v>
      </c>
      <c r="U607">
        <v>27079932</v>
      </c>
      <c r="V607" s="10" t="s">
        <v>1612</v>
      </c>
      <c r="W607" s="10" t="s">
        <v>1612</v>
      </c>
      <c r="Y607" s="1" t="s">
        <v>2621</v>
      </c>
      <c r="AI607" s="1">
        <v>243528</v>
      </c>
      <c r="AJ607" s="1" t="s">
        <v>119</v>
      </c>
      <c r="AK607" s="1" t="str">
        <f t="shared" si="131"/>
        <v/>
      </c>
      <c r="AL607" t="b">
        <f t="shared" si="132"/>
        <v>1</v>
      </c>
      <c r="AM607" s="49" t="str">
        <f t="shared" si="133"/>
        <v>Q</v>
      </c>
      <c r="AP607" s="10" t="s">
        <v>327</v>
      </c>
      <c r="AS607" t="s">
        <v>119</v>
      </c>
      <c r="AT607" s="6" t="s">
        <v>327</v>
      </c>
      <c r="AU607" s="6" t="str">
        <f t="shared" si="134"/>
        <v/>
      </c>
      <c r="AV607" s="6" t="s">
        <v>104</v>
      </c>
      <c r="AW607" s="6" t="str">
        <f t="shared" si="135"/>
        <v/>
      </c>
    </row>
    <row r="608" spans="1:49" ht="60">
      <c r="A608" s="1">
        <v>243528</v>
      </c>
      <c r="B608" t="str">
        <f t="shared" si="123"/>
        <v>7T57CT844112-55</v>
      </c>
      <c r="C608" s="6" t="str">
        <f t="shared" si="124"/>
        <v>SAN DIEGO TUBERCULOSIS PREVENTION, CONTROL, TRAINING AND LABORATORY SERVICES</v>
      </c>
      <c r="D608" s="6" t="str">
        <f t="shared" si="125"/>
        <v>RETINA FOUNDATION OF THE SOUTHWEST</v>
      </c>
      <c r="E608">
        <f t="shared" si="126"/>
        <v>22199155</v>
      </c>
      <c r="F608" t="str">
        <f t="shared" si="127"/>
        <v>FDA</v>
      </c>
      <c r="G608" t="str">
        <f t="shared" si="128"/>
        <v>22-4782398</v>
      </c>
      <c r="H608">
        <f t="shared" ca="1" si="129"/>
        <v>58197653</v>
      </c>
      <c r="I608" t="str">
        <f t="shared" si="130"/>
        <v>Annual</v>
      </c>
      <c r="T608" s="56" t="s">
        <v>2611</v>
      </c>
      <c r="U608">
        <v>27079932</v>
      </c>
      <c r="V608" s="10" t="s">
        <v>1618</v>
      </c>
      <c r="W608" s="10" t="s">
        <v>1618</v>
      </c>
      <c r="Y608" s="1" t="s">
        <v>2622</v>
      </c>
      <c r="AI608" s="1">
        <v>243528</v>
      </c>
      <c r="AJ608" s="1" t="s">
        <v>119</v>
      </c>
      <c r="AK608" s="1" t="str">
        <f t="shared" si="131"/>
        <v/>
      </c>
      <c r="AL608" t="b">
        <f t="shared" si="132"/>
        <v>1</v>
      </c>
      <c r="AM608" s="49" t="str">
        <f t="shared" si="133"/>
        <v>Q</v>
      </c>
      <c r="AP608" s="10" t="s">
        <v>113</v>
      </c>
      <c r="AS608" t="s">
        <v>119</v>
      </c>
      <c r="AT608" s="6" t="s">
        <v>113</v>
      </c>
      <c r="AU608" s="6" t="str">
        <f t="shared" si="134"/>
        <v/>
      </c>
      <c r="AV608" s="6" t="s">
        <v>112</v>
      </c>
      <c r="AW608" s="6" t="str">
        <f t="shared" si="135"/>
        <v/>
      </c>
    </row>
    <row r="609" spans="1:49" ht="60">
      <c r="A609" s="1">
        <v>243528</v>
      </c>
      <c r="B609" t="str">
        <f t="shared" si="123"/>
        <v>7T57CT844112-55</v>
      </c>
      <c r="C609" s="6" t="str">
        <f t="shared" si="124"/>
        <v>SAN DIEGO TUBERCULOSIS PREVENTION, CONTROL, TRAINING AND LABORATORY SERVICES</v>
      </c>
      <c r="D609" s="6" t="str">
        <f t="shared" si="125"/>
        <v>RETINA FOUNDATION OF THE SOUTHWEST</v>
      </c>
      <c r="E609">
        <f t="shared" si="126"/>
        <v>22199155</v>
      </c>
      <c r="F609" t="str">
        <f t="shared" si="127"/>
        <v>FDA</v>
      </c>
      <c r="G609" t="str">
        <f t="shared" si="128"/>
        <v>22-4782398</v>
      </c>
      <c r="H609">
        <f t="shared" ca="1" si="129"/>
        <v>58197653</v>
      </c>
      <c r="I609" t="str">
        <f t="shared" si="130"/>
        <v>Annual</v>
      </c>
      <c r="T609" s="56" t="s">
        <v>2613</v>
      </c>
      <c r="U609">
        <v>27079932</v>
      </c>
      <c r="V609" s="10" t="s">
        <v>1622</v>
      </c>
      <c r="W609" s="10" t="s">
        <v>1622</v>
      </c>
      <c r="Y609" s="1" t="s">
        <v>2623</v>
      </c>
      <c r="AI609" s="1">
        <v>243528</v>
      </c>
      <c r="AJ609" s="1" t="s">
        <v>119</v>
      </c>
      <c r="AK609" s="1" t="str">
        <f t="shared" si="131"/>
        <v/>
      </c>
      <c r="AL609" t="b">
        <f t="shared" si="132"/>
        <v>1</v>
      </c>
      <c r="AM609" s="49" t="str">
        <f t="shared" si="133"/>
        <v>Q</v>
      </c>
      <c r="AP609" s="10"/>
      <c r="AS609" t="s">
        <v>119</v>
      </c>
      <c r="AT609" s="6" t="s">
        <v>812</v>
      </c>
      <c r="AU609" s="6" t="str">
        <f t="shared" si="134"/>
        <v/>
      </c>
      <c r="AV609" s="6" t="s">
        <v>811</v>
      </c>
      <c r="AW609" s="6" t="str">
        <f t="shared" si="135"/>
        <v/>
      </c>
    </row>
    <row r="610" spans="1:49" ht="60">
      <c r="A610" s="1">
        <v>243528</v>
      </c>
      <c r="B610" t="str">
        <f t="shared" si="123"/>
        <v>7T57CT844112-55</v>
      </c>
      <c r="C610" s="6" t="str">
        <f t="shared" si="124"/>
        <v>SAN DIEGO TUBERCULOSIS PREVENTION, CONTROL, TRAINING AND LABORATORY SERVICES</v>
      </c>
      <c r="D610" s="6" t="str">
        <f t="shared" si="125"/>
        <v>RETINA FOUNDATION OF THE SOUTHWEST</v>
      </c>
      <c r="E610">
        <f t="shared" si="126"/>
        <v>22199155</v>
      </c>
      <c r="F610" t="str">
        <f t="shared" si="127"/>
        <v>FDA</v>
      </c>
      <c r="G610" t="str">
        <f t="shared" si="128"/>
        <v>22-4782398</v>
      </c>
      <c r="H610">
        <f t="shared" ca="1" si="129"/>
        <v>58197653</v>
      </c>
      <c r="I610" t="str">
        <f t="shared" si="130"/>
        <v>Annual</v>
      </c>
      <c r="T610" s="56" t="s">
        <v>2624</v>
      </c>
      <c r="U610">
        <v>435172</v>
      </c>
      <c r="V610" s="10" t="s">
        <v>1627</v>
      </c>
      <c r="W610" s="10" t="s">
        <v>1627</v>
      </c>
      <c r="Y610" s="1" t="s">
        <v>2625</v>
      </c>
      <c r="AI610" s="1">
        <v>243528</v>
      </c>
      <c r="AJ610" s="1" t="s">
        <v>119</v>
      </c>
      <c r="AK610" s="1" t="str">
        <f t="shared" si="131"/>
        <v/>
      </c>
      <c r="AL610" t="b">
        <f t="shared" si="132"/>
        <v>1</v>
      </c>
      <c r="AM610" s="49" t="str">
        <f t="shared" si="133"/>
        <v>Q</v>
      </c>
      <c r="AP610" s="10"/>
      <c r="AS610" t="s">
        <v>119</v>
      </c>
      <c r="AT610" s="6" t="s">
        <v>812</v>
      </c>
      <c r="AU610" s="6" t="str">
        <f t="shared" si="134"/>
        <v/>
      </c>
      <c r="AV610" s="6" t="s">
        <v>811</v>
      </c>
      <c r="AW610" s="6" t="str">
        <f t="shared" si="135"/>
        <v/>
      </c>
    </row>
    <row r="611" spans="1:49" ht="135">
      <c r="A611" s="1">
        <v>243616</v>
      </c>
      <c r="B611" t="str">
        <f t="shared" si="123"/>
        <v>7S28IS845468-54</v>
      </c>
      <c r="C611" s="6" t="str">
        <f t="shared" si="124"/>
        <v>CONDUCT SCHOOL-BASED SURVEILLANCE VIA COMPONENT 1 AND PROVIDE SCHOOL-BASED HIV/STD PREVENTION VIA COMPONENT 2, WHICH INCLUDES SUPPORTS FOR STUDENTS, DISTRICT STAFF, AND PARENTS.</v>
      </c>
      <c r="D611" s="6" t="str">
        <f t="shared" si="125"/>
        <v>RETINAL CARE, INC.</v>
      </c>
      <c r="E611">
        <f t="shared" si="126"/>
        <v>22199155</v>
      </c>
      <c r="F611" t="str">
        <f t="shared" si="127"/>
        <v>ACF</v>
      </c>
      <c r="G611" t="str">
        <f t="shared" si="128"/>
        <v>22-4782399</v>
      </c>
      <c r="H611">
        <f t="shared" ca="1" si="129"/>
        <v>98794986</v>
      </c>
      <c r="I611" t="str">
        <f t="shared" si="130"/>
        <v>Annual</v>
      </c>
      <c r="T611" s="56" t="s">
        <v>2626</v>
      </c>
      <c r="U611">
        <v>435172</v>
      </c>
      <c r="V611" s="10" t="s">
        <v>84</v>
      </c>
      <c r="W611" s="10" t="s">
        <v>84</v>
      </c>
      <c r="Y611" s="1" t="s">
        <v>2627</v>
      </c>
      <c r="AI611" s="1">
        <v>243616</v>
      </c>
      <c r="AJ611" s="1" t="s">
        <v>119</v>
      </c>
      <c r="AK611" s="1" t="str">
        <f t="shared" si="131"/>
        <v/>
      </c>
      <c r="AL611" t="b">
        <f t="shared" si="132"/>
        <v>1</v>
      </c>
      <c r="AM611" s="49" t="str">
        <f t="shared" si="133"/>
        <v>Q</v>
      </c>
      <c r="AP611" s="10" t="s">
        <v>97</v>
      </c>
      <c r="AS611" t="s">
        <v>119</v>
      </c>
      <c r="AT611" s="6" t="s">
        <v>97</v>
      </c>
      <c r="AU611" s="6" t="str">
        <f t="shared" si="134"/>
        <v/>
      </c>
      <c r="AV611" s="6" t="s">
        <v>96</v>
      </c>
      <c r="AW611" s="6" t="str">
        <f t="shared" si="135"/>
        <v/>
      </c>
    </row>
    <row r="612" spans="1:49" ht="135">
      <c r="A612" s="1">
        <v>243616</v>
      </c>
      <c r="B612" t="str">
        <f t="shared" si="123"/>
        <v>7S28IS845468-54</v>
      </c>
      <c r="C612" s="6" t="str">
        <f t="shared" si="124"/>
        <v>CONDUCT SCHOOL-BASED SURVEILLANCE VIA COMPONENT 1 AND PROVIDE SCHOOL-BASED HIV/STD PREVENTION VIA COMPONENT 2, WHICH INCLUDES SUPPORTS FOR STUDENTS, DISTRICT STAFF, AND PARENTS.</v>
      </c>
      <c r="D612" s="6" t="str">
        <f t="shared" si="125"/>
        <v>RETINAL CARE, INC.</v>
      </c>
      <c r="E612">
        <f t="shared" si="126"/>
        <v>22199155</v>
      </c>
      <c r="F612" t="str">
        <f t="shared" si="127"/>
        <v>ACF</v>
      </c>
      <c r="G612" t="str">
        <f t="shared" si="128"/>
        <v>22-4782399</v>
      </c>
      <c r="H612">
        <f t="shared" ca="1" si="129"/>
        <v>98794986</v>
      </c>
      <c r="I612" t="str">
        <f t="shared" si="130"/>
        <v>Annual</v>
      </c>
      <c r="T612" s="56" t="s">
        <v>2611</v>
      </c>
      <c r="U612">
        <v>11253390</v>
      </c>
      <c r="V612" s="10" t="s">
        <v>116</v>
      </c>
      <c r="W612" s="10" t="s">
        <v>116</v>
      </c>
      <c r="Y612" s="1" t="s">
        <v>2628</v>
      </c>
      <c r="AI612" s="1">
        <v>243616</v>
      </c>
      <c r="AJ612" s="1" t="s">
        <v>119</v>
      </c>
      <c r="AK612" s="1" t="str">
        <f t="shared" si="131"/>
        <v/>
      </c>
      <c r="AL612" t="b">
        <f t="shared" si="132"/>
        <v>1</v>
      </c>
      <c r="AM612" s="49" t="str">
        <f t="shared" si="133"/>
        <v>Q</v>
      </c>
      <c r="AP612" s="10" t="s">
        <v>327</v>
      </c>
      <c r="AS612" t="s">
        <v>119</v>
      </c>
      <c r="AT612" s="6" t="s">
        <v>327</v>
      </c>
      <c r="AU612" s="6" t="str">
        <f t="shared" si="134"/>
        <v/>
      </c>
      <c r="AV612" s="6" t="s">
        <v>104</v>
      </c>
      <c r="AW612" s="6" t="str">
        <f t="shared" si="135"/>
        <v/>
      </c>
    </row>
    <row r="613" spans="1:49" ht="135">
      <c r="A613" s="1">
        <v>243616</v>
      </c>
      <c r="B613" t="str">
        <f t="shared" si="123"/>
        <v>7S28IS845468-54</v>
      </c>
      <c r="C613" s="6" t="str">
        <f t="shared" si="124"/>
        <v>CONDUCT SCHOOL-BASED SURVEILLANCE VIA COMPONENT 1 AND PROVIDE SCHOOL-BASED HIV/STD PREVENTION VIA COMPONENT 2, WHICH INCLUDES SUPPORTS FOR STUDENTS, DISTRICT STAFF, AND PARENTS.</v>
      </c>
      <c r="D613" s="6" t="str">
        <f t="shared" si="125"/>
        <v>RETINAL CARE, INC.</v>
      </c>
      <c r="E613">
        <f t="shared" si="126"/>
        <v>22199155</v>
      </c>
      <c r="F613" t="str">
        <f t="shared" si="127"/>
        <v>ACF</v>
      </c>
      <c r="G613" t="str">
        <f t="shared" si="128"/>
        <v>22-4782399</v>
      </c>
      <c r="H613">
        <f t="shared" ca="1" si="129"/>
        <v>98794986</v>
      </c>
      <c r="I613" t="str">
        <f t="shared" si="130"/>
        <v>Annual</v>
      </c>
      <c r="T613" s="52" t="s">
        <v>1896</v>
      </c>
      <c r="U613">
        <v>11253390</v>
      </c>
      <c r="V613" s="10" t="s">
        <v>131</v>
      </c>
      <c r="W613" s="10" t="s">
        <v>131</v>
      </c>
      <c r="Y613" s="1" t="s">
        <v>2629</v>
      </c>
      <c r="AI613" s="1">
        <v>243616</v>
      </c>
      <c r="AJ613" s="1" t="s">
        <v>119</v>
      </c>
      <c r="AK613" s="1" t="str">
        <f t="shared" si="131"/>
        <v/>
      </c>
      <c r="AL613" t="b">
        <f t="shared" si="132"/>
        <v>1</v>
      </c>
      <c r="AM613" s="49" t="str">
        <f t="shared" si="133"/>
        <v>Q</v>
      </c>
      <c r="AP613" s="10" t="s">
        <v>113</v>
      </c>
      <c r="AS613" t="s">
        <v>119</v>
      </c>
      <c r="AT613" s="6" t="s">
        <v>113</v>
      </c>
      <c r="AU613" s="6" t="str">
        <f t="shared" si="134"/>
        <v/>
      </c>
      <c r="AV613" s="6" t="s">
        <v>112</v>
      </c>
      <c r="AW613" s="6" t="str">
        <f t="shared" si="135"/>
        <v/>
      </c>
    </row>
    <row r="614" spans="1:49" ht="105">
      <c r="A614" s="1">
        <v>244339</v>
      </c>
      <c r="B614" t="str">
        <f t="shared" si="123"/>
        <v>5R86IR843753-85</v>
      </c>
      <c r="C614" s="6" t="str">
        <f t="shared" si="124"/>
        <v>COMPREHENSIVE HIGH-IMPACT HIV PREVENTION
PROJECTS FOR COMMUNITY-BASED ORGANIZATIONS</v>
      </c>
      <c r="D614" s="6" t="str">
        <f t="shared" si="125"/>
        <v>RETINAL SOLUTIONS LLC</v>
      </c>
      <c r="E614">
        <f t="shared" si="126"/>
        <v>22358348</v>
      </c>
      <c r="F614" t="str">
        <f t="shared" si="127"/>
        <v>CDC</v>
      </c>
      <c r="G614" t="str">
        <f t="shared" si="128"/>
        <v>22-4782400</v>
      </c>
      <c r="H614">
        <f t="shared" ca="1" si="129"/>
        <v>8681337</v>
      </c>
      <c r="I614" t="str">
        <f t="shared" si="130"/>
        <v>Annual</v>
      </c>
      <c r="T614" s="52" t="s">
        <v>2630</v>
      </c>
      <c r="U614">
        <v>11253390</v>
      </c>
      <c r="V614" s="10" t="s">
        <v>149</v>
      </c>
      <c r="W614" s="10" t="s">
        <v>149</v>
      </c>
      <c r="Y614" s="1" t="s">
        <v>2631</v>
      </c>
      <c r="AI614" s="1">
        <v>244339</v>
      </c>
      <c r="AJ614" s="1" t="s">
        <v>119</v>
      </c>
      <c r="AK614" s="1" t="str">
        <f t="shared" si="131"/>
        <v/>
      </c>
      <c r="AL614" t="b">
        <f t="shared" si="132"/>
        <v>1</v>
      </c>
      <c r="AM614" s="49" t="str">
        <f t="shared" si="133"/>
        <v>Q</v>
      </c>
      <c r="AP614" s="10" t="s">
        <v>97</v>
      </c>
      <c r="AS614" t="s">
        <v>119</v>
      </c>
      <c r="AT614" s="6" t="s">
        <v>97</v>
      </c>
      <c r="AU614" s="6" t="str">
        <f t="shared" si="134"/>
        <v/>
      </c>
      <c r="AV614" s="6" t="s">
        <v>96</v>
      </c>
      <c r="AW614" s="6" t="str">
        <f t="shared" si="135"/>
        <v/>
      </c>
    </row>
    <row r="615" spans="1:49" ht="75">
      <c r="A615" s="1">
        <v>244339</v>
      </c>
      <c r="B615" t="str">
        <f t="shared" si="123"/>
        <v>5R86IR843753-85</v>
      </c>
      <c r="C615" s="6" t="str">
        <f t="shared" si="124"/>
        <v>COMPREHENSIVE HIGH-IMPACT HIV PREVENTION
PROJECTS FOR COMMUNITY-BASED ORGANIZATIONS</v>
      </c>
      <c r="D615" s="6" t="str">
        <f t="shared" si="125"/>
        <v>RETINAL SOLUTIONS LLC</v>
      </c>
      <c r="E615">
        <f t="shared" si="126"/>
        <v>22358348</v>
      </c>
      <c r="F615" t="str">
        <f t="shared" si="127"/>
        <v>CDC</v>
      </c>
      <c r="G615" t="str">
        <f t="shared" si="128"/>
        <v>22-4782400</v>
      </c>
      <c r="H615">
        <f t="shared" ca="1" si="129"/>
        <v>8681337</v>
      </c>
      <c r="I615" t="str">
        <f t="shared" si="130"/>
        <v>Annual</v>
      </c>
      <c r="T615" s="52" t="s">
        <v>2632</v>
      </c>
      <c r="U615">
        <v>11253390</v>
      </c>
      <c r="V615" s="10" t="s">
        <v>165</v>
      </c>
      <c r="W615" s="10" t="s">
        <v>165</v>
      </c>
      <c r="Y615" s="1" t="s">
        <v>2633</v>
      </c>
      <c r="AI615" s="1">
        <v>244339</v>
      </c>
      <c r="AJ615" s="1" t="s">
        <v>119</v>
      </c>
      <c r="AK615" s="1" t="str">
        <f t="shared" si="131"/>
        <v/>
      </c>
      <c r="AL615" t="b">
        <f t="shared" si="132"/>
        <v>1</v>
      </c>
      <c r="AM615" s="49" t="str">
        <f t="shared" si="133"/>
        <v>Q</v>
      </c>
      <c r="AP615" s="10" t="s">
        <v>327</v>
      </c>
      <c r="AS615" t="s">
        <v>119</v>
      </c>
      <c r="AT615" s="6" t="s">
        <v>327</v>
      </c>
      <c r="AU615" s="6" t="str">
        <f t="shared" si="134"/>
        <v/>
      </c>
      <c r="AV615" s="6" t="s">
        <v>104</v>
      </c>
      <c r="AW615" s="6" t="str">
        <f t="shared" si="135"/>
        <v/>
      </c>
    </row>
    <row r="616" spans="1:49" ht="90">
      <c r="A616" s="1">
        <v>244339</v>
      </c>
      <c r="B616" t="str">
        <f t="shared" si="123"/>
        <v>5R86IR843753-85</v>
      </c>
      <c r="C616" s="6" t="str">
        <f t="shared" si="124"/>
        <v>COMPREHENSIVE HIGH-IMPACT HIV PREVENTION
PROJECTS FOR COMMUNITY-BASED ORGANIZATIONS</v>
      </c>
      <c r="D616" s="6" t="str">
        <f t="shared" si="125"/>
        <v>RETINAL SOLUTIONS LLC</v>
      </c>
      <c r="E616">
        <f t="shared" si="126"/>
        <v>22358348</v>
      </c>
      <c r="F616" t="str">
        <f t="shared" si="127"/>
        <v>CDC</v>
      </c>
      <c r="G616" t="str">
        <f t="shared" si="128"/>
        <v>22-4782400</v>
      </c>
      <c r="H616">
        <f t="shared" ca="1" si="129"/>
        <v>8681337</v>
      </c>
      <c r="I616" t="str">
        <f t="shared" si="130"/>
        <v>Annual</v>
      </c>
      <c r="T616" s="52" t="s">
        <v>2634</v>
      </c>
      <c r="U616">
        <v>3300932</v>
      </c>
      <c r="V616" s="10" t="s">
        <v>180</v>
      </c>
      <c r="W616" s="10" t="s">
        <v>180</v>
      </c>
      <c r="Y616" s="1" t="s">
        <v>2635</v>
      </c>
      <c r="AI616" s="1">
        <v>244339</v>
      </c>
      <c r="AJ616" s="1" t="s">
        <v>119</v>
      </c>
      <c r="AK616" s="1" t="str">
        <f t="shared" si="131"/>
        <v/>
      </c>
      <c r="AL616" t="b">
        <f t="shared" si="132"/>
        <v>1</v>
      </c>
      <c r="AM616" s="49" t="str">
        <f t="shared" si="133"/>
        <v>Q</v>
      </c>
      <c r="AP616" s="10" t="s">
        <v>113</v>
      </c>
      <c r="AS616" t="s">
        <v>119</v>
      </c>
      <c r="AT616" s="6" t="s">
        <v>113</v>
      </c>
      <c r="AU616" s="6" t="str">
        <f t="shared" si="134"/>
        <v/>
      </c>
      <c r="AV616" s="6" t="s">
        <v>112</v>
      </c>
      <c r="AW616" s="6" t="str">
        <f t="shared" si="135"/>
        <v/>
      </c>
    </row>
    <row r="617" spans="1:49" ht="120">
      <c r="A617" s="1">
        <v>245122</v>
      </c>
      <c r="B617" t="str">
        <f t="shared" si="123"/>
        <v>9R64AR840156-31</v>
      </c>
      <c r="C617" s="6" t="str">
        <f t="shared" si="124"/>
        <v>PROJECT WATCH: COMPREHENSIVE CAPACITY BUILDING ASSISTANCE (CBA) FOR CDC-FUNDED
HIV PREVENTION PROVIDERS IN THE WESTERN US, THROUGH COMPONENT 1, TRACK B</v>
      </c>
      <c r="D617" s="6" t="str">
        <f t="shared" si="125"/>
        <v>REVEAL BIOSCIENCES, INC.</v>
      </c>
      <c r="E617">
        <f t="shared" si="126"/>
        <v>22358348</v>
      </c>
      <c r="F617" t="str">
        <f t="shared" si="127"/>
        <v>NIH</v>
      </c>
      <c r="G617" t="str">
        <f t="shared" si="128"/>
        <v>22-4782401</v>
      </c>
      <c r="H617">
        <f t="shared" ca="1" si="129"/>
        <v>316211445</v>
      </c>
      <c r="I617" t="str">
        <f t="shared" si="130"/>
        <v>Annual</v>
      </c>
      <c r="T617" s="52" t="s">
        <v>2636</v>
      </c>
      <c r="U617">
        <v>3300932</v>
      </c>
      <c r="V617" s="10" t="s">
        <v>200</v>
      </c>
      <c r="W617" s="10" t="s">
        <v>200</v>
      </c>
      <c r="Y617" s="1" t="s">
        <v>2637</v>
      </c>
      <c r="AI617" s="1">
        <v>245122</v>
      </c>
      <c r="AJ617" s="1" t="s">
        <v>119</v>
      </c>
      <c r="AK617" s="1" t="str">
        <f t="shared" si="131"/>
        <v/>
      </c>
      <c r="AL617" t="b">
        <f t="shared" si="132"/>
        <v>1</v>
      </c>
      <c r="AM617" s="49" t="str">
        <f t="shared" si="133"/>
        <v>Q</v>
      </c>
      <c r="AP617" s="10" t="s">
        <v>97</v>
      </c>
      <c r="AS617" t="s">
        <v>119</v>
      </c>
      <c r="AT617" s="6" t="s">
        <v>97</v>
      </c>
      <c r="AU617" s="6" t="str">
        <f t="shared" si="134"/>
        <v/>
      </c>
      <c r="AV617" s="6" t="s">
        <v>96</v>
      </c>
      <c r="AW617" s="6" t="str">
        <f t="shared" si="135"/>
        <v/>
      </c>
    </row>
    <row r="618" spans="1:49" ht="120">
      <c r="A618" s="1">
        <v>245122</v>
      </c>
      <c r="B618" t="str">
        <f t="shared" si="123"/>
        <v>9R64AR840156-31</v>
      </c>
      <c r="C618" s="6" t="str">
        <f t="shared" si="124"/>
        <v>PROJECT WATCH: COMPREHENSIVE CAPACITY BUILDING ASSISTANCE (CBA) FOR CDC-FUNDED
HIV PREVENTION PROVIDERS IN THE WESTERN US, THROUGH COMPONENT 1, TRACK B</v>
      </c>
      <c r="D618" s="6" t="str">
        <f t="shared" si="125"/>
        <v>REVEAL BIOSCIENCES, INC.</v>
      </c>
      <c r="E618">
        <f t="shared" si="126"/>
        <v>22358348</v>
      </c>
      <c r="F618" t="str">
        <f t="shared" si="127"/>
        <v>NIH</v>
      </c>
      <c r="G618" t="str">
        <f t="shared" si="128"/>
        <v>22-4782401</v>
      </c>
      <c r="H618">
        <f t="shared" ca="1" si="129"/>
        <v>316211445</v>
      </c>
      <c r="I618" t="str">
        <f t="shared" si="130"/>
        <v>Annual</v>
      </c>
      <c r="T618" s="62" t="s">
        <v>2611</v>
      </c>
      <c r="U618">
        <v>13554632</v>
      </c>
      <c r="V618" s="10" t="s">
        <v>216</v>
      </c>
      <c r="W618" s="10" t="s">
        <v>216</v>
      </c>
      <c r="Y618" s="1" t="s">
        <v>2638</v>
      </c>
      <c r="AI618" s="1">
        <v>245122</v>
      </c>
      <c r="AJ618" s="1" t="s">
        <v>119</v>
      </c>
      <c r="AK618" s="1" t="str">
        <f t="shared" si="131"/>
        <v/>
      </c>
      <c r="AL618" t="b">
        <f t="shared" si="132"/>
        <v>1</v>
      </c>
      <c r="AM618" s="49" t="str">
        <f t="shared" si="133"/>
        <v>Q</v>
      </c>
      <c r="AP618" s="10" t="s">
        <v>327</v>
      </c>
      <c r="AS618" t="s">
        <v>119</v>
      </c>
      <c r="AT618" s="6" t="s">
        <v>327</v>
      </c>
      <c r="AU618" s="6" t="str">
        <f t="shared" si="134"/>
        <v/>
      </c>
      <c r="AV618" s="6" t="s">
        <v>104</v>
      </c>
      <c r="AW618" s="6" t="str">
        <f t="shared" si="135"/>
        <v/>
      </c>
    </row>
    <row r="619" spans="1:49" ht="105">
      <c r="A619" s="1">
        <v>247382</v>
      </c>
      <c r="B619" t="str">
        <f t="shared" si="123"/>
        <v>7R45ER844415-79</v>
      </c>
      <c r="C619" s="6" t="str">
        <f t="shared" si="124"/>
        <v>MEDICAL MONITORING PROJECT (MMP)</v>
      </c>
      <c r="D619" s="6" t="str">
        <f t="shared" si="125"/>
        <v>REVEAL PHARMA</v>
      </c>
      <c r="E619">
        <f t="shared" si="126"/>
        <v>39754947</v>
      </c>
      <c r="F619" t="str">
        <f t="shared" si="127"/>
        <v>FDA</v>
      </c>
      <c r="G619" t="str">
        <f t="shared" si="128"/>
        <v>22-4782402</v>
      </c>
      <c r="H619">
        <f t="shared" ca="1" si="129"/>
        <v>291092218</v>
      </c>
      <c r="I619" t="str">
        <f t="shared" si="130"/>
        <v>Annual</v>
      </c>
      <c r="T619" s="57" t="s">
        <v>2639</v>
      </c>
      <c r="U619">
        <v>13554632</v>
      </c>
      <c r="V619" s="10" t="s">
        <v>226</v>
      </c>
      <c r="W619" s="10" t="s">
        <v>226</v>
      </c>
      <c r="Y619" s="1" t="s">
        <v>2640</v>
      </c>
      <c r="AI619" s="1">
        <v>247382</v>
      </c>
      <c r="AJ619" s="1" t="s">
        <v>119</v>
      </c>
      <c r="AK619" s="1" t="str">
        <f t="shared" si="131"/>
        <v/>
      </c>
      <c r="AL619" t="b">
        <f t="shared" si="132"/>
        <v>1</v>
      </c>
      <c r="AM619" s="49" t="str">
        <f t="shared" si="133"/>
        <v>Q</v>
      </c>
      <c r="AP619" s="10" t="s">
        <v>97</v>
      </c>
      <c r="AS619" t="s">
        <v>119</v>
      </c>
      <c r="AT619" s="6" t="s">
        <v>97</v>
      </c>
      <c r="AU619" s="6" t="str">
        <f t="shared" si="134"/>
        <v/>
      </c>
      <c r="AV619" s="6" t="s">
        <v>96</v>
      </c>
      <c r="AW619" s="6" t="str">
        <f t="shared" si="135"/>
        <v/>
      </c>
    </row>
    <row r="620" spans="1:49" ht="90">
      <c r="A620" s="1">
        <v>247382</v>
      </c>
      <c r="B620" t="str">
        <f t="shared" si="123"/>
        <v>7R45ER844415-79</v>
      </c>
      <c r="C620" s="6" t="str">
        <f t="shared" si="124"/>
        <v>MEDICAL MONITORING PROJECT (MMP)</v>
      </c>
      <c r="D620" s="6" t="str">
        <f t="shared" si="125"/>
        <v>REVEAL PHARMA</v>
      </c>
      <c r="E620">
        <f t="shared" si="126"/>
        <v>39754947</v>
      </c>
      <c r="F620" t="str">
        <f t="shared" si="127"/>
        <v>FDA</v>
      </c>
      <c r="G620" t="str">
        <f t="shared" si="128"/>
        <v>22-4782402</v>
      </c>
      <c r="H620">
        <f t="shared" ca="1" si="129"/>
        <v>291092218</v>
      </c>
      <c r="I620" t="str">
        <f t="shared" si="130"/>
        <v>Annual</v>
      </c>
      <c r="T620" s="54" t="s">
        <v>2641</v>
      </c>
      <c r="U620">
        <v>32267865</v>
      </c>
      <c r="V620" s="10" t="s">
        <v>241</v>
      </c>
      <c r="W620" s="10" t="s">
        <v>241</v>
      </c>
      <c r="Y620" s="1" t="s">
        <v>2642</v>
      </c>
      <c r="AI620" s="1">
        <v>247382</v>
      </c>
      <c r="AJ620" s="1" t="s">
        <v>119</v>
      </c>
      <c r="AK620" s="1" t="str">
        <f t="shared" si="131"/>
        <v/>
      </c>
      <c r="AL620" t="b">
        <f t="shared" si="132"/>
        <v>1</v>
      </c>
      <c r="AM620" s="49" t="str">
        <f t="shared" si="133"/>
        <v>Q</v>
      </c>
      <c r="AP620" s="10" t="s">
        <v>327</v>
      </c>
      <c r="AS620" t="s">
        <v>119</v>
      </c>
      <c r="AT620" s="6" t="s">
        <v>327</v>
      </c>
      <c r="AU620" s="6" t="str">
        <f t="shared" si="134"/>
        <v/>
      </c>
      <c r="AV620" s="6" t="s">
        <v>104</v>
      </c>
      <c r="AW620" s="6" t="str">
        <f t="shared" si="135"/>
        <v/>
      </c>
    </row>
    <row r="621" spans="1:49" ht="45">
      <c r="A621" s="1">
        <v>247382</v>
      </c>
      <c r="B621" t="str">
        <f t="shared" si="123"/>
        <v>7R45ER844415-79</v>
      </c>
      <c r="C621" s="6" t="str">
        <f t="shared" si="124"/>
        <v>MEDICAL MONITORING PROJECT (MMP)</v>
      </c>
      <c r="D621" s="6" t="str">
        <f t="shared" si="125"/>
        <v>REVEAL PHARMA</v>
      </c>
      <c r="E621">
        <f t="shared" si="126"/>
        <v>39754947</v>
      </c>
      <c r="F621" t="str">
        <f t="shared" si="127"/>
        <v>FDA</v>
      </c>
      <c r="G621" t="str">
        <f t="shared" si="128"/>
        <v>22-4782402</v>
      </c>
      <c r="H621">
        <f t="shared" ca="1" si="129"/>
        <v>291092218</v>
      </c>
      <c r="I621" t="str">
        <f t="shared" si="130"/>
        <v>Annual</v>
      </c>
      <c r="T621" s="53" t="s">
        <v>1897</v>
      </c>
      <c r="U621">
        <v>32267865</v>
      </c>
      <c r="V621" s="10" t="s">
        <v>252</v>
      </c>
      <c r="W621" s="10" t="s">
        <v>252</v>
      </c>
      <c r="Y621" s="1" t="s">
        <v>2643</v>
      </c>
      <c r="AI621" s="1">
        <v>247382</v>
      </c>
      <c r="AJ621" s="1" t="s">
        <v>119</v>
      </c>
      <c r="AK621" s="1" t="str">
        <f t="shared" si="131"/>
        <v/>
      </c>
      <c r="AL621" t="b">
        <f t="shared" si="132"/>
        <v>1</v>
      </c>
      <c r="AM621" s="49" t="str">
        <f t="shared" si="133"/>
        <v>Q</v>
      </c>
      <c r="AP621" s="10" t="s">
        <v>113</v>
      </c>
      <c r="AS621" t="s">
        <v>119</v>
      </c>
      <c r="AT621" s="6" t="s">
        <v>113</v>
      </c>
      <c r="AU621" s="6" t="str">
        <f t="shared" si="134"/>
        <v/>
      </c>
      <c r="AV621" s="6" t="s">
        <v>112</v>
      </c>
      <c r="AW621" s="6" t="str">
        <f t="shared" si="135"/>
        <v/>
      </c>
    </row>
    <row r="622" spans="1:49" ht="90">
      <c r="A622" s="1">
        <v>249437</v>
      </c>
      <c r="B622" t="str">
        <f t="shared" si="123"/>
        <v>2R45ER844515-79</v>
      </c>
      <c r="C622" s="6" t="str">
        <f t="shared" si="124"/>
        <v>NATIONAL HIV BEHAVIORAL SURVEILLANCE (NHBS)- SAN FRANCISCO</v>
      </c>
      <c r="D622" s="6" t="str">
        <f t="shared" si="125"/>
        <v>NEW YORK DEPARTMENT  OF HEALTH</v>
      </c>
      <c r="E622">
        <f t="shared" si="126"/>
        <v>39754947</v>
      </c>
      <c r="F622" t="str">
        <f t="shared" si="127"/>
        <v>ACF</v>
      </c>
      <c r="G622" t="str">
        <f t="shared" si="128"/>
        <v>22-4782403</v>
      </c>
      <c r="H622">
        <f t="shared" ca="1" si="129"/>
        <v>336564311</v>
      </c>
      <c r="I622" t="str">
        <f t="shared" si="130"/>
        <v>Annual</v>
      </c>
      <c r="T622" s="52" t="s">
        <v>2644</v>
      </c>
      <c r="U622">
        <v>32267865</v>
      </c>
      <c r="V622" s="10" t="s">
        <v>262</v>
      </c>
      <c r="W622" s="10" t="s">
        <v>262</v>
      </c>
      <c r="Y622" s="1" t="s">
        <v>2645</v>
      </c>
      <c r="AI622" s="1">
        <v>249437</v>
      </c>
      <c r="AJ622" s="1" t="s">
        <v>119</v>
      </c>
      <c r="AK622" s="1" t="str">
        <f t="shared" si="131"/>
        <v/>
      </c>
      <c r="AL622" t="b">
        <f t="shared" si="132"/>
        <v>1</v>
      </c>
      <c r="AM622" s="49" t="str">
        <f t="shared" si="133"/>
        <v>Q</v>
      </c>
      <c r="AP622" s="10" t="s">
        <v>97</v>
      </c>
      <c r="AS622" t="s">
        <v>119</v>
      </c>
      <c r="AT622" s="6" t="s">
        <v>97</v>
      </c>
      <c r="AU622" s="6" t="str">
        <f t="shared" si="134"/>
        <v/>
      </c>
      <c r="AV622" s="6" t="s">
        <v>96</v>
      </c>
      <c r="AW622" s="6" t="str">
        <f t="shared" si="135"/>
        <v/>
      </c>
    </row>
    <row r="623" spans="1:49" ht="135">
      <c r="A623" s="1">
        <v>249437</v>
      </c>
      <c r="B623" t="str">
        <f t="shared" si="123"/>
        <v>2R45ER844515-79</v>
      </c>
      <c r="C623" s="6" t="str">
        <f t="shared" si="124"/>
        <v>NATIONAL HIV BEHAVIORAL SURVEILLANCE (NHBS)- SAN FRANCISCO</v>
      </c>
      <c r="D623" s="6" t="str">
        <f t="shared" si="125"/>
        <v>NEW YORK DEPARTMENT  OF HEALTH</v>
      </c>
      <c r="E623">
        <f t="shared" si="126"/>
        <v>39754947</v>
      </c>
      <c r="F623" t="str">
        <f t="shared" si="127"/>
        <v>ACF</v>
      </c>
      <c r="G623" t="str">
        <f t="shared" si="128"/>
        <v>22-4782403</v>
      </c>
      <c r="H623">
        <f t="shared" ca="1" si="129"/>
        <v>336564311</v>
      </c>
      <c r="I623" t="str">
        <f t="shared" si="130"/>
        <v>Annual</v>
      </c>
      <c r="T623" s="54" t="s">
        <v>2646</v>
      </c>
      <c r="U623">
        <v>22981974</v>
      </c>
      <c r="V623" s="10" t="s">
        <v>276</v>
      </c>
      <c r="W623" s="10" t="s">
        <v>276</v>
      </c>
      <c r="Y623" s="1" t="s">
        <v>2647</v>
      </c>
      <c r="AI623" s="1">
        <v>249437</v>
      </c>
      <c r="AJ623" s="1" t="s">
        <v>119</v>
      </c>
      <c r="AK623" s="1" t="str">
        <f t="shared" si="131"/>
        <v/>
      </c>
      <c r="AL623" t="b">
        <f t="shared" si="132"/>
        <v>1</v>
      </c>
      <c r="AM623" s="49" t="str">
        <f t="shared" si="133"/>
        <v>Q</v>
      </c>
      <c r="AP623" s="10" t="s">
        <v>327</v>
      </c>
      <c r="AS623" t="s">
        <v>119</v>
      </c>
      <c r="AT623" s="6" t="s">
        <v>327</v>
      </c>
      <c r="AU623" s="6" t="str">
        <f t="shared" si="134"/>
        <v/>
      </c>
      <c r="AV623" s="6" t="s">
        <v>104</v>
      </c>
      <c r="AW623" s="6" t="str">
        <f t="shared" si="135"/>
        <v/>
      </c>
    </row>
    <row r="624" spans="1:49" ht="105">
      <c r="A624" s="1">
        <v>249437</v>
      </c>
      <c r="B624" t="str">
        <f t="shared" si="123"/>
        <v>2R45ER844515-79</v>
      </c>
      <c r="C624" s="6" t="str">
        <f t="shared" si="124"/>
        <v>NATIONAL HIV BEHAVIORAL SURVEILLANCE (NHBS)- SAN FRANCISCO</v>
      </c>
      <c r="D624" s="6" t="str">
        <f t="shared" si="125"/>
        <v>NEW YORK DEPARTMENT  OF HEALTH</v>
      </c>
      <c r="E624">
        <f t="shared" si="126"/>
        <v>39754947</v>
      </c>
      <c r="F624" t="str">
        <f t="shared" si="127"/>
        <v>ACF</v>
      </c>
      <c r="G624" t="str">
        <f t="shared" si="128"/>
        <v>22-4782403</v>
      </c>
      <c r="H624">
        <f t="shared" ca="1" si="129"/>
        <v>336564311</v>
      </c>
      <c r="I624" t="str">
        <f t="shared" si="130"/>
        <v>Annual</v>
      </c>
      <c r="T624" s="56" t="s">
        <v>2648</v>
      </c>
      <c r="U624">
        <v>22981974</v>
      </c>
      <c r="V624" s="10" t="s">
        <v>286</v>
      </c>
      <c r="W624" s="10" t="s">
        <v>286</v>
      </c>
      <c r="Y624" s="1" t="s">
        <v>2649</v>
      </c>
      <c r="AI624" s="1">
        <v>249437</v>
      </c>
      <c r="AJ624" s="1" t="s">
        <v>119</v>
      </c>
      <c r="AK624" s="1" t="str">
        <f t="shared" si="131"/>
        <v/>
      </c>
      <c r="AL624" t="b">
        <f t="shared" si="132"/>
        <v>1</v>
      </c>
      <c r="AM624" s="49" t="str">
        <f t="shared" si="133"/>
        <v>Q</v>
      </c>
      <c r="AP624" s="10" t="s">
        <v>97</v>
      </c>
      <c r="AS624" t="s">
        <v>119</v>
      </c>
      <c r="AT624" s="6" t="s">
        <v>97</v>
      </c>
      <c r="AU624" s="6" t="str">
        <f t="shared" si="134"/>
        <v/>
      </c>
      <c r="AV624" s="6" t="s">
        <v>96</v>
      </c>
      <c r="AW624" s="6" t="str">
        <f t="shared" si="135"/>
        <v/>
      </c>
    </row>
    <row r="625" spans="1:49" ht="90">
      <c r="A625" s="1">
        <v>249556</v>
      </c>
      <c r="B625" t="str">
        <f t="shared" si="123"/>
        <v>2R45ER834515-83</v>
      </c>
      <c r="C625" s="6" t="str">
        <f t="shared" si="124"/>
        <v>SAN FRANCISCO DEPT OF PUBLIC HEALTH HIGH IMPACT PREVENTION</v>
      </c>
      <c r="D625" s="6" t="str">
        <f t="shared" si="125"/>
        <v>HEALTH RESEARCH, INC - ALBANY DIVISION</v>
      </c>
      <c r="E625">
        <f t="shared" si="126"/>
        <v>39754947</v>
      </c>
      <c r="F625" t="str">
        <f t="shared" si="127"/>
        <v>CDC</v>
      </c>
      <c r="G625" t="str">
        <f t="shared" si="128"/>
        <v>22-4782404</v>
      </c>
      <c r="H625">
        <f t="shared" ca="1" si="129"/>
        <v>56185037</v>
      </c>
      <c r="I625" t="str">
        <f t="shared" si="130"/>
        <v>Annual</v>
      </c>
      <c r="T625" s="56" t="s">
        <v>2611</v>
      </c>
      <c r="U625">
        <v>22981974</v>
      </c>
      <c r="V625" s="10" t="s">
        <v>301</v>
      </c>
      <c r="W625" s="10" t="s">
        <v>301</v>
      </c>
      <c r="Y625" s="1" t="s">
        <v>2650</v>
      </c>
      <c r="AI625" s="1">
        <v>249556</v>
      </c>
      <c r="AJ625" s="1" t="s">
        <v>584</v>
      </c>
      <c r="AK625" s="1" t="str">
        <f t="shared" si="131"/>
        <v/>
      </c>
      <c r="AL625" t="b">
        <f t="shared" si="132"/>
        <v>0</v>
      </c>
      <c r="AM625" s="49" t="str">
        <f t="shared" si="133"/>
        <v>Q</v>
      </c>
      <c r="AP625" s="10" t="s">
        <v>97</v>
      </c>
      <c r="AS625" t="s">
        <v>119</v>
      </c>
      <c r="AT625" s="6" t="s">
        <v>97</v>
      </c>
      <c r="AU625" s="6" t="str">
        <f t="shared" si="134"/>
        <v/>
      </c>
      <c r="AV625" s="6" t="s">
        <v>96</v>
      </c>
      <c r="AW625" s="6" t="str">
        <f t="shared" si="135"/>
        <v/>
      </c>
    </row>
    <row r="626" spans="1:49" ht="75">
      <c r="A626" s="1">
        <v>249556</v>
      </c>
      <c r="B626" t="str">
        <f t="shared" si="123"/>
        <v>2R45ER834515-83</v>
      </c>
      <c r="C626" s="6" t="str">
        <f t="shared" si="124"/>
        <v>SAN FRANCISCO DEPT OF PUBLIC HEALTH HIGH IMPACT PREVENTION</v>
      </c>
      <c r="D626" s="6" t="str">
        <f t="shared" si="125"/>
        <v>HEALTH RESEARCH, INC - ALBANY DIVISION</v>
      </c>
      <c r="E626">
        <f t="shared" si="126"/>
        <v>39754947</v>
      </c>
      <c r="F626" t="str">
        <f t="shared" si="127"/>
        <v>CDC</v>
      </c>
      <c r="G626" t="str">
        <f t="shared" si="128"/>
        <v>22-4782404</v>
      </c>
      <c r="H626">
        <f t="shared" ca="1" si="129"/>
        <v>56185037</v>
      </c>
      <c r="I626" t="str">
        <f t="shared" si="130"/>
        <v>Annual</v>
      </c>
      <c r="T626" s="54" t="s">
        <v>2651</v>
      </c>
      <c r="U626">
        <v>28749905</v>
      </c>
      <c r="V626" s="10" t="s">
        <v>311</v>
      </c>
      <c r="W626" s="10" t="s">
        <v>311</v>
      </c>
      <c r="Y626" s="1" t="s">
        <v>2652</v>
      </c>
      <c r="AI626" s="1">
        <v>249556</v>
      </c>
      <c r="AJ626" s="1" t="s">
        <v>584</v>
      </c>
      <c r="AK626" s="1" t="str">
        <f t="shared" si="131"/>
        <v/>
      </c>
      <c r="AL626" t="b">
        <f t="shared" si="132"/>
        <v>0</v>
      </c>
      <c r="AM626" s="49" t="str">
        <f t="shared" si="133"/>
        <v>Q</v>
      </c>
      <c r="AP626" s="10" t="s">
        <v>327</v>
      </c>
      <c r="AS626" t="s">
        <v>119</v>
      </c>
      <c r="AT626" s="6" t="s">
        <v>327</v>
      </c>
      <c r="AU626" s="6" t="str">
        <f t="shared" si="134"/>
        <v/>
      </c>
      <c r="AV626" s="6" t="s">
        <v>104</v>
      </c>
      <c r="AW626" s="6" t="str">
        <f t="shared" si="135"/>
        <v/>
      </c>
    </row>
  </sheetData>
  <autoFilter ref="A1:AU626" xr:uid="{00000000-0009-0000-0000-000004000000}"/>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30"/>
  <sheetViews>
    <sheetView topLeftCell="B602" workbookViewId="0">
      <selection activeCell="O6" sqref="O6:O630"/>
    </sheetView>
  </sheetViews>
  <sheetFormatPr defaultRowHeight="15"/>
  <cols>
    <col min="1" max="1" width="26" customWidth="1"/>
    <col min="2" max="2" width="35.140625" customWidth="1"/>
    <col min="3" max="3" width="26" customWidth="1"/>
    <col min="4" max="4" width="24.85546875" customWidth="1"/>
  </cols>
  <sheetData>
    <row r="1" spans="1:15" ht="18.75">
      <c r="A1" s="18"/>
      <c r="C1" s="18"/>
    </row>
    <row r="2" spans="1:15">
      <c r="A2" s="17" t="s">
        <v>11</v>
      </c>
      <c r="C2" s="17" t="s">
        <v>11</v>
      </c>
    </row>
    <row r="3" spans="1:15">
      <c r="A3" s="1"/>
      <c r="C3" s="1"/>
    </row>
    <row r="4" spans="1:15">
      <c r="A4" s="1"/>
      <c r="C4" s="1"/>
    </row>
    <row r="5" spans="1:15">
      <c r="A5" s="1"/>
      <c r="C5" s="1"/>
    </row>
    <row r="6" spans="1:15">
      <c r="A6" s="1" t="s">
        <v>88</v>
      </c>
      <c r="B6">
        <f ca="1">VLOOKUP(A6,$C$6:$D$208,2,FALSE)</f>
        <v>905328</v>
      </c>
      <c r="C6" s="1" t="s">
        <v>88</v>
      </c>
      <c r="D6" s="88">
        <f ca="1">RANDBETWEEN(100000,1000000)</f>
        <v>905328</v>
      </c>
      <c r="G6" t="b">
        <v>0</v>
      </c>
      <c r="H6" t="s">
        <v>85</v>
      </c>
      <c r="I6">
        <f>COUNTIF(G6:G630,"TRUE")</f>
        <v>14</v>
      </c>
      <c r="K6" s="1" t="b">
        <v>0</v>
      </c>
      <c r="L6">
        <f>COUNTIF(K6:K630,"TRUE")</f>
        <v>0</v>
      </c>
      <c r="M6" t="b">
        <v>0</v>
      </c>
      <c r="N6">
        <f>COUNTIF(M6:M630,"TRUE")</f>
        <v>12</v>
      </c>
      <c r="O6" t="s">
        <v>85</v>
      </c>
    </row>
    <row r="7" spans="1:15">
      <c r="A7" s="1" t="s">
        <v>88</v>
      </c>
      <c r="B7">
        <f t="shared" ref="B7:B70" ca="1" si="0">VLOOKUP(A7,$C$6:$D$208,2,FALSE)</f>
        <v>905328</v>
      </c>
      <c r="C7" s="1" t="s">
        <v>118</v>
      </c>
      <c r="D7" s="88">
        <f t="shared" ref="D7:D70" ca="1" si="1">RANDBETWEEN(100000,1000000)</f>
        <v>115926</v>
      </c>
      <c r="G7" t="b">
        <v>0</v>
      </c>
      <c r="H7" t="s">
        <v>85</v>
      </c>
      <c r="K7" s="1" t="b">
        <v>0</v>
      </c>
      <c r="M7" t="b">
        <v>0</v>
      </c>
      <c r="O7" t="s">
        <v>85</v>
      </c>
    </row>
    <row r="8" spans="1:15">
      <c r="A8" s="1" t="s">
        <v>118</v>
      </c>
      <c r="B8">
        <f t="shared" ca="1" si="0"/>
        <v>115926</v>
      </c>
      <c r="C8" s="1" t="s">
        <v>133</v>
      </c>
      <c r="D8" s="88">
        <f t="shared" ca="1" si="1"/>
        <v>417489</v>
      </c>
      <c r="G8" t="b">
        <v>1</v>
      </c>
      <c r="H8" t="s">
        <v>87</v>
      </c>
      <c r="K8" s="1" t="b">
        <v>0</v>
      </c>
      <c r="M8" t="b">
        <v>0</v>
      </c>
      <c r="O8" t="s">
        <v>85</v>
      </c>
    </row>
    <row r="9" spans="1:15">
      <c r="A9" s="1" t="s">
        <v>118</v>
      </c>
      <c r="B9">
        <f t="shared" ca="1" si="0"/>
        <v>115926</v>
      </c>
      <c r="C9" s="1" t="s">
        <v>151</v>
      </c>
      <c r="D9" s="88">
        <f t="shared" ca="1" si="1"/>
        <v>472192</v>
      </c>
      <c r="G9" t="b">
        <v>0</v>
      </c>
      <c r="H9" t="s">
        <v>85</v>
      </c>
      <c r="K9" s="1" t="b">
        <v>0</v>
      </c>
      <c r="M9" t="b">
        <v>0</v>
      </c>
      <c r="O9" t="s">
        <v>85</v>
      </c>
    </row>
    <row r="10" spans="1:15">
      <c r="A10" s="1" t="s">
        <v>118</v>
      </c>
      <c r="B10">
        <f t="shared" ca="1" si="0"/>
        <v>115926</v>
      </c>
      <c r="C10" s="1" t="s">
        <v>166</v>
      </c>
      <c r="D10" s="88">
        <f t="shared" ca="1" si="1"/>
        <v>923709</v>
      </c>
      <c r="G10" t="b">
        <v>0</v>
      </c>
      <c r="H10" t="s">
        <v>85</v>
      </c>
      <c r="K10" s="1" t="b">
        <v>0</v>
      </c>
      <c r="M10" t="b">
        <v>0</v>
      </c>
      <c r="O10" t="s">
        <v>85</v>
      </c>
    </row>
    <row r="11" spans="1:15">
      <c r="A11" s="1" t="s">
        <v>133</v>
      </c>
      <c r="B11">
        <f t="shared" ca="1" si="0"/>
        <v>417489</v>
      </c>
      <c r="C11" s="1" t="s">
        <v>181</v>
      </c>
      <c r="D11" s="88">
        <f t="shared" ca="1" si="1"/>
        <v>304372</v>
      </c>
      <c r="G11" t="b">
        <v>0</v>
      </c>
      <c r="H11" t="s">
        <v>85</v>
      </c>
      <c r="K11" s="1" t="b">
        <v>0</v>
      </c>
      <c r="M11" t="b">
        <v>0</v>
      </c>
      <c r="O11" t="s">
        <v>85</v>
      </c>
    </row>
    <row r="12" spans="1:15">
      <c r="A12" s="1" t="s">
        <v>133</v>
      </c>
      <c r="B12">
        <f t="shared" ca="1" si="0"/>
        <v>417489</v>
      </c>
      <c r="C12" s="1" t="s">
        <v>201</v>
      </c>
      <c r="D12" s="88">
        <f t="shared" ca="1" si="1"/>
        <v>625309</v>
      </c>
      <c r="G12" t="b">
        <v>0</v>
      </c>
      <c r="H12" t="s">
        <v>85</v>
      </c>
      <c r="K12" s="1" t="b">
        <v>0</v>
      </c>
      <c r="M12" t="b">
        <v>0</v>
      </c>
      <c r="O12" t="s">
        <v>85</v>
      </c>
    </row>
    <row r="13" spans="1:15">
      <c r="A13" s="1" t="s">
        <v>133</v>
      </c>
      <c r="B13">
        <f t="shared" ca="1" si="0"/>
        <v>417489</v>
      </c>
      <c r="C13" s="1" t="s">
        <v>217</v>
      </c>
      <c r="D13" s="88">
        <f t="shared" ca="1" si="1"/>
        <v>727687</v>
      </c>
      <c r="G13" t="b">
        <v>0</v>
      </c>
      <c r="H13" t="s">
        <v>85</v>
      </c>
      <c r="K13" s="1" t="b">
        <v>0</v>
      </c>
      <c r="M13" t="b">
        <v>0</v>
      </c>
      <c r="O13" t="s">
        <v>85</v>
      </c>
    </row>
    <row r="14" spans="1:15">
      <c r="A14" s="1" t="s">
        <v>151</v>
      </c>
      <c r="B14">
        <f t="shared" ca="1" si="0"/>
        <v>472192</v>
      </c>
      <c r="C14" s="1" t="s">
        <v>227</v>
      </c>
      <c r="D14" s="88">
        <f t="shared" ca="1" si="1"/>
        <v>329670</v>
      </c>
      <c r="G14" t="b">
        <v>0</v>
      </c>
      <c r="H14" t="s">
        <v>85</v>
      </c>
      <c r="K14" s="1" t="b">
        <v>0</v>
      </c>
      <c r="M14" t="b">
        <v>0</v>
      </c>
      <c r="O14" t="s">
        <v>85</v>
      </c>
    </row>
    <row r="15" spans="1:15">
      <c r="A15" s="1" t="s">
        <v>151</v>
      </c>
      <c r="B15">
        <f t="shared" ca="1" si="0"/>
        <v>472192</v>
      </c>
      <c r="C15" s="1" t="s">
        <v>242</v>
      </c>
      <c r="D15" s="88">
        <f t="shared" ca="1" si="1"/>
        <v>716666</v>
      </c>
      <c r="G15" t="b">
        <v>0</v>
      </c>
      <c r="H15" t="s">
        <v>85</v>
      </c>
      <c r="K15" s="1" t="b">
        <v>0</v>
      </c>
      <c r="M15" t="b">
        <v>0</v>
      </c>
      <c r="O15" t="s">
        <v>85</v>
      </c>
    </row>
    <row r="16" spans="1:15">
      <c r="A16" s="1" t="s">
        <v>151</v>
      </c>
      <c r="B16">
        <f t="shared" ca="1" si="0"/>
        <v>472192</v>
      </c>
      <c r="C16" s="1" t="s">
        <v>253</v>
      </c>
      <c r="D16" s="88">
        <f t="shared" ca="1" si="1"/>
        <v>543051</v>
      </c>
      <c r="G16" t="b">
        <v>0</v>
      </c>
      <c r="H16" t="s">
        <v>85</v>
      </c>
      <c r="K16" s="1" t="b">
        <v>0</v>
      </c>
      <c r="M16" t="b">
        <v>0</v>
      </c>
      <c r="O16" t="s">
        <v>85</v>
      </c>
    </row>
    <row r="17" spans="1:15">
      <c r="A17" s="1" t="s">
        <v>151</v>
      </c>
      <c r="B17">
        <f t="shared" ca="1" si="0"/>
        <v>472192</v>
      </c>
      <c r="C17" s="1" t="s">
        <v>263</v>
      </c>
      <c r="D17" s="88">
        <f t="shared" ca="1" si="1"/>
        <v>453233</v>
      </c>
      <c r="G17" t="b">
        <v>0</v>
      </c>
      <c r="H17" t="s">
        <v>85</v>
      </c>
      <c r="K17" s="1" t="b">
        <v>0</v>
      </c>
      <c r="M17" t="b">
        <v>0</v>
      </c>
      <c r="O17" t="s">
        <v>85</v>
      </c>
    </row>
    <row r="18" spans="1:15">
      <c r="A18" s="1" t="s">
        <v>151</v>
      </c>
      <c r="B18">
        <f t="shared" ca="1" si="0"/>
        <v>472192</v>
      </c>
      <c r="C18" s="1" t="s">
        <v>277</v>
      </c>
      <c r="D18" s="88">
        <f t="shared" ca="1" si="1"/>
        <v>482710</v>
      </c>
      <c r="G18" t="b">
        <v>0</v>
      </c>
      <c r="H18" t="s">
        <v>85</v>
      </c>
      <c r="K18" s="1" t="b">
        <v>0</v>
      </c>
      <c r="M18" t="b">
        <v>0</v>
      </c>
      <c r="O18" t="s">
        <v>85</v>
      </c>
    </row>
    <row r="19" spans="1:15">
      <c r="A19" s="1" t="s">
        <v>166</v>
      </c>
      <c r="B19">
        <f t="shared" ca="1" si="0"/>
        <v>923709</v>
      </c>
      <c r="C19" s="1" t="s">
        <v>287</v>
      </c>
      <c r="D19" s="88">
        <f t="shared" ca="1" si="1"/>
        <v>555253</v>
      </c>
      <c r="G19" t="b">
        <v>0</v>
      </c>
      <c r="H19" t="s">
        <v>85</v>
      </c>
      <c r="K19" s="1" t="b">
        <v>0</v>
      </c>
      <c r="M19" t="b">
        <v>0</v>
      </c>
      <c r="O19" t="s">
        <v>85</v>
      </c>
    </row>
    <row r="20" spans="1:15">
      <c r="A20" s="1" t="s">
        <v>166</v>
      </c>
      <c r="B20">
        <f t="shared" ca="1" si="0"/>
        <v>923709</v>
      </c>
      <c r="C20" s="1" t="s">
        <v>302</v>
      </c>
      <c r="D20" s="88">
        <f t="shared" ca="1" si="1"/>
        <v>472030</v>
      </c>
      <c r="G20" t="b">
        <v>0</v>
      </c>
      <c r="H20" t="s">
        <v>85</v>
      </c>
      <c r="K20" s="1" t="b">
        <v>0</v>
      </c>
      <c r="M20" t="b">
        <v>0</v>
      </c>
      <c r="O20" t="s">
        <v>85</v>
      </c>
    </row>
    <row r="21" spans="1:15">
      <c r="A21" s="1" t="s">
        <v>166</v>
      </c>
      <c r="B21">
        <f t="shared" ca="1" si="0"/>
        <v>923709</v>
      </c>
      <c r="C21" s="1" t="s">
        <v>312</v>
      </c>
      <c r="D21" s="88">
        <f t="shared" ca="1" si="1"/>
        <v>978416</v>
      </c>
      <c r="G21" t="b">
        <v>0</v>
      </c>
      <c r="H21" t="s">
        <v>85</v>
      </c>
      <c r="K21" s="1" t="b">
        <v>0</v>
      </c>
      <c r="M21" t="b">
        <v>0</v>
      </c>
      <c r="O21" t="s">
        <v>85</v>
      </c>
    </row>
    <row r="22" spans="1:15">
      <c r="A22" s="1" t="s">
        <v>166</v>
      </c>
      <c r="B22">
        <f t="shared" ca="1" si="0"/>
        <v>923709</v>
      </c>
      <c r="C22" s="1" t="s">
        <v>320</v>
      </c>
      <c r="D22" s="88">
        <f t="shared" ca="1" si="1"/>
        <v>343061</v>
      </c>
      <c r="G22" t="b">
        <v>0</v>
      </c>
      <c r="H22" t="s">
        <v>85</v>
      </c>
      <c r="K22" s="1" t="b">
        <v>0</v>
      </c>
      <c r="M22" t="b">
        <v>0</v>
      </c>
      <c r="O22" t="s">
        <v>85</v>
      </c>
    </row>
    <row r="23" spans="1:15">
      <c r="A23" s="1" t="s">
        <v>181</v>
      </c>
      <c r="B23">
        <f t="shared" ca="1" si="0"/>
        <v>304372</v>
      </c>
      <c r="C23" s="1" t="s">
        <v>332</v>
      </c>
      <c r="D23" s="88">
        <f t="shared" ca="1" si="1"/>
        <v>351129</v>
      </c>
      <c r="G23" t="b">
        <v>0</v>
      </c>
      <c r="H23" t="s">
        <v>85</v>
      </c>
      <c r="K23" s="1" t="b">
        <v>0</v>
      </c>
      <c r="M23" t="b">
        <v>0</v>
      </c>
      <c r="O23" t="s">
        <v>85</v>
      </c>
    </row>
    <row r="24" spans="1:15">
      <c r="A24" s="1" t="s">
        <v>181</v>
      </c>
      <c r="B24">
        <f t="shared" ca="1" si="0"/>
        <v>304372</v>
      </c>
      <c r="C24" s="1" t="s">
        <v>339</v>
      </c>
      <c r="D24" s="88">
        <f t="shared" ca="1" si="1"/>
        <v>442064</v>
      </c>
      <c r="G24" t="b">
        <v>0</v>
      </c>
      <c r="H24" t="s">
        <v>85</v>
      </c>
      <c r="K24" s="1" t="b">
        <v>0</v>
      </c>
      <c r="M24" t="b">
        <v>0</v>
      </c>
      <c r="O24" t="s">
        <v>85</v>
      </c>
    </row>
    <row r="25" spans="1:15">
      <c r="A25" s="1" t="s">
        <v>201</v>
      </c>
      <c r="B25">
        <f t="shared" ca="1" si="0"/>
        <v>625309</v>
      </c>
      <c r="C25" s="1" t="s">
        <v>351</v>
      </c>
      <c r="D25" s="88">
        <f t="shared" ca="1" si="1"/>
        <v>235531</v>
      </c>
      <c r="G25" t="b">
        <v>0</v>
      </c>
      <c r="H25" t="s">
        <v>85</v>
      </c>
      <c r="K25" s="1" t="b">
        <v>0</v>
      </c>
      <c r="M25" t="b">
        <v>0</v>
      </c>
      <c r="O25" t="s">
        <v>85</v>
      </c>
    </row>
    <row r="26" spans="1:15">
      <c r="A26" s="1" t="s">
        <v>201</v>
      </c>
      <c r="B26">
        <f t="shared" ca="1" si="0"/>
        <v>625309</v>
      </c>
      <c r="C26" s="1" t="s">
        <v>358</v>
      </c>
      <c r="D26" s="88">
        <f t="shared" ca="1" si="1"/>
        <v>830176</v>
      </c>
      <c r="G26" t="b">
        <v>0</v>
      </c>
      <c r="H26" t="s">
        <v>85</v>
      </c>
      <c r="K26" s="1" t="b">
        <v>0</v>
      </c>
      <c r="M26" t="b">
        <v>0</v>
      </c>
      <c r="O26" t="s">
        <v>85</v>
      </c>
    </row>
    <row r="27" spans="1:15">
      <c r="A27" s="1" t="s">
        <v>201</v>
      </c>
      <c r="B27">
        <f t="shared" ca="1" si="0"/>
        <v>625309</v>
      </c>
      <c r="C27" s="1" t="s">
        <v>371</v>
      </c>
      <c r="D27" s="88">
        <f t="shared" ca="1" si="1"/>
        <v>403637</v>
      </c>
      <c r="G27" t="b">
        <v>0</v>
      </c>
      <c r="H27" t="s">
        <v>85</v>
      </c>
      <c r="K27" s="1" t="b">
        <v>0</v>
      </c>
      <c r="M27" t="b">
        <v>0</v>
      </c>
      <c r="O27" t="s">
        <v>85</v>
      </c>
    </row>
    <row r="28" spans="1:15">
      <c r="A28" s="1" t="s">
        <v>217</v>
      </c>
      <c r="B28">
        <f t="shared" ca="1" si="0"/>
        <v>727687</v>
      </c>
      <c r="C28" s="1" t="s">
        <v>379</v>
      </c>
      <c r="D28" s="88">
        <f t="shared" ca="1" si="1"/>
        <v>307891</v>
      </c>
      <c r="G28" t="b">
        <v>0</v>
      </c>
      <c r="H28" t="s">
        <v>85</v>
      </c>
      <c r="K28" s="1" t="b">
        <v>0</v>
      </c>
      <c r="M28" t="b">
        <v>0</v>
      </c>
      <c r="O28" t="s">
        <v>85</v>
      </c>
    </row>
    <row r="29" spans="1:15">
      <c r="A29" s="1" t="s">
        <v>217</v>
      </c>
      <c r="B29">
        <f t="shared" ca="1" si="0"/>
        <v>727687</v>
      </c>
      <c r="C29" s="1" t="s">
        <v>386</v>
      </c>
      <c r="D29" s="88">
        <f t="shared" ca="1" si="1"/>
        <v>688301</v>
      </c>
      <c r="G29" t="b">
        <v>0</v>
      </c>
      <c r="H29" t="s">
        <v>85</v>
      </c>
      <c r="K29" s="1" t="b">
        <v>0</v>
      </c>
      <c r="M29" t="b">
        <v>0</v>
      </c>
      <c r="O29" t="s">
        <v>85</v>
      </c>
    </row>
    <row r="30" spans="1:15">
      <c r="A30" s="1" t="s">
        <v>217</v>
      </c>
      <c r="B30">
        <f t="shared" ca="1" si="0"/>
        <v>727687</v>
      </c>
      <c r="C30" s="1" t="s">
        <v>402</v>
      </c>
      <c r="D30" s="88">
        <f t="shared" ca="1" si="1"/>
        <v>602956</v>
      </c>
      <c r="G30" t="b">
        <v>0</v>
      </c>
      <c r="H30" t="s">
        <v>85</v>
      </c>
      <c r="K30" s="1" t="b">
        <v>0</v>
      </c>
      <c r="M30" t="b">
        <v>0</v>
      </c>
      <c r="O30" t="s">
        <v>85</v>
      </c>
    </row>
    <row r="31" spans="1:15">
      <c r="A31" s="1" t="s">
        <v>227</v>
      </c>
      <c r="B31">
        <f t="shared" ca="1" si="0"/>
        <v>329670</v>
      </c>
      <c r="C31" s="1" t="s">
        <v>409</v>
      </c>
      <c r="D31" s="88">
        <f t="shared" ca="1" si="1"/>
        <v>889634</v>
      </c>
      <c r="G31" t="b">
        <v>0</v>
      </c>
      <c r="H31" t="s">
        <v>85</v>
      </c>
      <c r="K31" s="1" t="b">
        <v>0</v>
      </c>
      <c r="M31" t="b">
        <v>0</v>
      </c>
      <c r="O31" t="s">
        <v>85</v>
      </c>
    </row>
    <row r="32" spans="1:15">
      <c r="A32" s="1" t="s">
        <v>227</v>
      </c>
      <c r="B32">
        <f t="shared" ca="1" si="0"/>
        <v>329670</v>
      </c>
      <c r="C32" s="1" t="s">
        <v>416</v>
      </c>
      <c r="D32" s="88">
        <f t="shared" ca="1" si="1"/>
        <v>150716</v>
      </c>
      <c r="G32" t="b">
        <v>0</v>
      </c>
      <c r="H32" t="s">
        <v>85</v>
      </c>
      <c r="K32" s="1" t="b">
        <v>0</v>
      </c>
      <c r="M32" t="b">
        <v>0</v>
      </c>
      <c r="O32" t="s">
        <v>85</v>
      </c>
    </row>
    <row r="33" spans="1:15">
      <c r="A33" s="1" t="s">
        <v>242</v>
      </c>
      <c r="B33">
        <f t="shared" ca="1" si="0"/>
        <v>716666</v>
      </c>
      <c r="C33" s="1" t="s">
        <v>423</v>
      </c>
      <c r="D33" s="88">
        <f t="shared" ca="1" si="1"/>
        <v>170528</v>
      </c>
      <c r="G33" t="b">
        <v>0</v>
      </c>
      <c r="H33" t="s">
        <v>85</v>
      </c>
      <c r="K33" s="1" t="b">
        <v>0</v>
      </c>
      <c r="M33" t="b">
        <v>0</v>
      </c>
      <c r="O33" t="s">
        <v>85</v>
      </c>
    </row>
    <row r="34" spans="1:15">
      <c r="A34" s="1" t="s">
        <v>242</v>
      </c>
      <c r="B34">
        <f t="shared" ca="1" si="0"/>
        <v>716666</v>
      </c>
      <c r="C34" s="1" t="s">
        <v>434</v>
      </c>
      <c r="D34" s="88">
        <f t="shared" ca="1" si="1"/>
        <v>254789</v>
      </c>
      <c r="G34" t="b">
        <v>0</v>
      </c>
      <c r="H34" t="s">
        <v>85</v>
      </c>
      <c r="K34" s="1" t="b">
        <v>0</v>
      </c>
      <c r="M34" t="b">
        <v>0</v>
      </c>
      <c r="O34" t="s">
        <v>85</v>
      </c>
    </row>
    <row r="35" spans="1:15">
      <c r="A35" s="1" t="s">
        <v>242</v>
      </c>
      <c r="B35">
        <f t="shared" ca="1" si="0"/>
        <v>716666</v>
      </c>
      <c r="C35" s="1" t="s">
        <v>443</v>
      </c>
      <c r="D35" s="88">
        <f t="shared" ca="1" si="1"/>
        <v>353442</v>
      </c>
      <c r="G35" t="b">
        <v>0</v>
      </c>
      <c r="H35" t="s">
        <v>85</v>
      </c>
      <c r="K35" s="1" t="b">
        <v>0</v>
      </c>
      <c r="M35" t="b">
        <v>0</v>
      </c>
      <c r="O35" t="s">
        <v>85</v>
      </c>
    </row>
    <row r="36" spans="1:15">
      <c r="A36" s="1" t="s">
        <v>253</v>
      </c>
      <c r="B36">
        <f t="shared" ca="1" si="0"/>
        <v>543051</v>
      </c>
      <c r="C36" s="1" t="s">
        <v>455</v>
      </c>
      <c r="D36" s="88">
        <f t="shared" ca="1" si="1"/>
        <v>249972</v>
      </c>
      <c r="G36" t="b">
        <v>0</v>
      </c>
      <c r="H36" t="s">
        <v>85</v>
      </c>
      <c r="K36" s="1" t="b">
        <v>0</v>
      </c>
      <c r="M36" t="b">
        <v>0</v>
      </c>
      <c r="O36" t="s">
        <v>85</v>
      </c>
    </row>
    <row r="37" spans="1:15">
      <c r="A37" s="1" t="s">
        <v>253</v>
      </c>
      <c r="B37">
        <f t="shared" ca="1" si="0"/>
        <v>543051</v>
      </c>
      <c r="C37" s="1" t="s">
        <v>466</v>
      </c>
      <c r="D37" s="88">
        <f t="shared" ca="1" si="1"/>
        <v>487565</v>
      </c>
      <c r="G37" t="b">
        <v>0</v>
      </c>
      <c r="H37" t="s">
        <v>85</v>
      </c>
      <c r="K37" s="1" t="b">
        <v>0</v>
      </c>
      <c r="M37" t="b">
        <v>0</v>
      </c>
      <c r="O37" t="s">
        <v>85</v>
      </c>
    </row>
    <row r="38" spans="1:15">
      <c r="A38" s="1" t="s">
        <v>263</v>
      </c>
      <c r="B38">
        <f t="shared" ca="1" si="0"/>
        <v>453233</v>
      </c>
      <c r="C38" s="1" t="s">
        <v>478</v>
      </c>
      <c r="D38" s="88">
        <f t="shared" ca="1" si="1"/>
        <v>938206</v>
      </c>
      <c r="G38" t="b">
        <v>0</v>
      </c>
      <c r="H38" t="s">
        <v>85</v>
      </c>
      <c r="K38" s="1" t="b">
        <v>0</v>
      </c>
      <c r="M38" t="b">
        <v>0</v>
      </c>
      <c r="O38" t="s">
        <v>85</v>
      </c>
    </row>
    <row r="39" spans="1:15">
      <c r="A39" s="1" t="s">
        <v>263</v>
      </c>
      <c r="B39">
        <f t="shared" ca="1" si="0"/>
        <v>453233</v>
      </c>
      <c r="C39" s="1" t="s">
        <v>490</v>
      </c>
      <c r="D39" s="88">
        <f t="shared" ca="1" si="1"/>
        <v>173504</v>
      </c>
      <c r="G39" t="b">
        <v>0</v>
      </c>
      <c r="H39" t="s">
        <v>85</v>
      </c>
      <c r="K39" s="1" t="b">
        <v>0</v>
      </c>
      <c r="M39" t="b">
        <v>0</v>
      </c>
      <c r="O39" t="s">
        <v>85</v>
      </c>
    </row>
    <row r="40" spans="1:15">
      <c r="A40" s="1" t="s">
        <v>277</v>
      </c>
      <c r="B40">
        <f t="shared" ca="1" si="0"/>
        <v>482710</v>
      </c>
      <c r="C40" s="1" t="s">
        <v>499</v>
      </c>
      <c r="D40" s="88">
        <f t="shared" ca="1" si="1"/>
        <v>653216</v>
      </c>
      <c r="G40" t="b">
        <v>0</v>
      </c>
      <c r="H40" t="s">
        <v>85</v>
      </c>
      <c r="K40" s="1" t="b">
        <v>0</v>
      </c>
      <c r="M40" t="b">
        <v>0</v>
      </c>
      <c r="O40" t="s">
        <v>85</v>
      </c>
    </row>
    <row r="41" spans="1:15">
      <c r="A41" s="1" t="s">
        <v>277</v>
      </c>
      <c r="B41">
        <f t="shared" ca="1" si="0"/>
        <v>482710</v>
      </c>
      <c r="C41" s="1" t="s">
        <v>507</v>
      </c>
      <c r="D41" s="88">
        <f t="shared" ca="1" si="1"/>
        <v>238499</v>
      </c>
      <c r="G41" t="b">
        <v>0</v>
      </c>
      <c r="H41" t="s">
        <v>85</v>
      </c>
      <c r="K41" s="1" t="b">
        <v>0</v>
      </c>
      <c r="M41" t="b">
        <v>0</v>
      </c>
      <c r="O41" t="s">
        <v>85</v>
      </c>
    </row>
    <row r="42" spans="1:15">
      <c r="A42" s="1" t="s">
        <v>277</v>
      </c>
      <c r="B42">
        <f t="shared" ca="1" si="0"/>
        <v>482710</v>
      </c>
      <c r="C42" s="1" t="s">
        <v>516</v>
      </c>
      <c r="D42" s="88">
        <f t="shared" ca="1" si="1"/>
        <v>813837</v>
      </c>
      <c r="G42" t="b">
        <v>0</v>
      </c>
      <c r="H42" t="s">
        <v>85</v>
      </c>
      <c r="K42" s="1" t="b">
        <v>0</v>
      </c>
      <c r="M42" t="b">
        <v>0</v>
      </c>
      <c r="O42" t="s">
        <v>85</v>
      </c>
    </row>
    <row r="43" spans="1:15">
      <c r="A43" s="1" t="s">
        <v>287</v>
      </c>
      <c r="B43">
        <f t="shared" ca="1" si="0"/>
        <v>555253</v>
      </c>
      <c r="C43" s="1" t="s">
        <v>525</v>
      </c>
      <c r="D43" s="88">
        <f t="shared" ca="1" si="1"/>
        <v>567519</v>
      </c>
      <c r="G43" t="b">
        <v>0</v>
      </c>
      <c r="H43" t="s">
        <v>85</v>
      </c>
      <c r="K43" s="1" t="b">
        <v>0</v>
      </c>
      <c r="M43" t="b">
        <v>0</v>
      </c>
      <c r="O43" t="s">
        <v>85</v>
      </c>
    </row>
    <row r="44" spans="1:15">
      <c r="A44" s="1" t="s">
        <v>287</v>
      </c>
      <c r="B44">
        <f t="shared" ca="1" si="0"/>
        <v>555253</v>
      </c>
      <c r="C44" s="1" t="s">
        <v>532</v>
      </c>
      <c r="D44" s="88">
        <f t="shared" ca="1" si="1"/>
        <v>458680</v>
      </c>
      <c r="G44" t="b">
        <v>0</v>
      </c>
      <c r="H44" t="s">
        <v>85</v>
      </c>
      <c r="K44" s="1" t="b">
        <v>0</v>
      </c>
      <c r="M44" t="b">
        <v>0</v>
      </c>
      <c r="O44" t="s">
        <v>85</v>
      </c>
    </row>
    <row r="45" spans="1:15">
      <c r="A45" s="1" t="s">
        <v>287</v>
      </c>
      <c r="B45">
        <f t="shared" ca="1" si="0"/>
        <v>555253</v>
      </c>
      <c r="C45" s="1" t="s">
        <v>547</v>
      </c>
      <c r="D45" s="88">
        <f t="shared" ca="1" si="1"/>
        <v>403610</v>
      </c>
      <c r="G45" t="b">
        <v>0</v>
      </c>
      <c r="H45" t="s">
        <v>85</v>
      </c>
      <c r="K45" s="1" t="b">
        <v>0</v>
      </c>
      <c r="M45" t="b">
        <v>0</v>
      </c>
      <c r="O45" t="s">
        <v>85</v>
      </c>
    </row>
    <row r="46" spans="1:15">
      <c r="A46" s="1" t="s">
        <v>302</v>
      </c>
      <c r="B46">
        <f t="shared" ca="1" si="0"/>
        <v>472030</v>
      </c>
      <c r="C46" s="1" t="s">
        <v>562</v>
      </c>
      <c r="D46" s="88">
        <f t="shared" ca="1" si="1"/>
        <v>991193</v>
      </c>
      <c r="G46" t="b">
        <v>0</v>
      </c>
      <c r="H46" t="s">
        <v>85</v>
      </c>
      <c r="K46" s="1" t="b">
        <v>0</v>
      </c>
      <c r="M46" t="b">
        <v>0</v>
      </c>
      <c r="O46" t="s">
        <v>85</v>
      </c>
    </row>
    <row r="47" spans="1:15">
      <c r="A47" s="1" t="s">
        <v>302</v>
      </c>
      <c r="B47">
        <f t="shared" ca="1" si="0"/>
        <v>472030</v>
      </c>
      <c r="C47" s="1" t="s">
        <v>572</v>
      </c>
      <c r="D47" s="88">
        <f t="shared" ca="1" si="1"/>
        <v>556240</v>
      </c>
      <c r="G47" t="b">
        <v>0</v>
      </c>
      <c r="H47" t="s">
        <v>85</v>
      </c>
      <c r="K47" s="1" t="b">
        <v>0</v>
      </c>
      <c r="M47" t="b">
        <v>0</v>
      </c>
      <c r="O47" t="s">
        <v>85</v>
      </c>
    </row>
    <row r="48" spans="1:15">
      <c r="A48" s="1" t="s">
        <v>302</v>
      </c>
      <c r="B48">
        <f t="shared" ca="1" si="0"/>
        <v>472030</v>
      </c>
      <c r="C48" s="1" t="s">
        <v>582</v>
      </c>
      <c r="D48" s="88">
        <f t="shared" ca="1" si="1"/>
        <v>195121</v>
      </c>
      <c r="G48" t="b">
        <v>0</v>
      </c>
      <c r="H48" t="s">
        <v>85</v>
      </c>
      <c r="K48" s="1" t="b">
        <v>0</v>
      </c>
      <c r="M48" t="b">
        <v>0</v>
      </c>
      <c r="O48" t="s">
        <v>85</v>
      </c>
    </row>
    <row r="49" spans="1:15">
      <c r="A49" s="1" t="s">
        <v>312</v>
      </c>
      <c r="B49">
        <f t="shared" ca="1" si="0"/>
        <v>978416</v>
      </c>
      <c r="C49" s="1" t="s">
        <v>594</v>
      </c>
      <c r="D49" s="88">
        <f t="shared" ca="1" si="1"/>
        <v>761077</v>
      </c>
      <c r="G49" t="b">
        <v>0</v>
      </c>
      <c r="H49" t="s">
        <v>85</v>
      </c>
      <c r="K49" s="1" t="b">
        <v>0</v>
      </c>
      <c r="M49" t="b">
        <v>0</v>
      </c>
      <c r="O49" t="s">
        <v>85</v>
      </c>
    </row>
    <row r="50" spans="1:15">
      <c r="A50" s="1" t="s">
        <v>312</v>
      </c>
      <c r="B50">
        <f t="shared" ca="1" si="0"/>
        <v>978416</v>
      </c>
      <c r="C50" s="1" t="s">
        <v>602</v>
      </c>
      <c r="D50" s="88">
        <f t="shared" ca="1" si="1"/>
        <v>436064</v>
      </c>
      <c r="G50" t="b">
        <v>0</v>
      </c>
      <c r="H50" t="s">
        <v>85</v>
      </c>
      <c r="K50" s="1" t="b">
        <v>0</v>
      </c>
      <c r="M50" t="b">
        <v>0</v>
      </c>
      <c r="O50" t="s">
        <v>85</v>
      </c>
    </row>
    <row r="51" spans="1:15">
      <c r="A51" s="1" t="s">
        <v>312</v>
      </c>
      <c r="B51">
        <f t="shared" ca="1" si="0"/>
        <v>978416</v>
      </c>
      <c r="C51" s="1" t="s">
        <v>610</v>
      </c>
      <c r="D51" s="88">
        <f t="shared" ca="1" si="1"/>
        <v>727323</v>
      </c>
      <c r="G51" t="b">
        <v>0</v>
      </c>
      <c r="H51" t="s">
        <v>85</v>
      </c>
      <c r="K51" s="1" t="b">
        <v>0</v>
      </c>
      <c r="M51" t="b">
        <v>0</v>
      </c>
      <c r="O51" t="s">
        <v>85</v>
      </c>
    </row>
    <row r="52" spans="1:15">
      <c r="A52" s="1" t="s">
        <v>312</v>
      </c>
      <c r="B52">
        <f t="shared" ca="1" si="0"/>
        <v>978416</v>
      </c>
      <c r="C52" s="1" t="s">
        <v>617</v>
      </c>
      <c r="D52" s="88">
        <f t="shared" ca="1" si="1"/>
        <v>330941</v>
      </c>
      <c r="G52" t="b">
        <v>0</v>
      </c>
      <c r="H52" t="s">
        <v>85</v>
      </c>
      <c r="K52" s="1" t="b">
        <v>0</v>
      </c>
      <c r="M52" t="b">
        <v>0</v>
      </c>
      <c r="O52" t="s">
        <v>85</v>
      </c>
    </row>
    <row r="53" spans="1:15">
      <c r="A53" s="1" t="s">
        <v>320</v>
      </c>
      <c r="B53">
        <f t="shared" ca="1" si="0"/>
        <v>343061</v>
      </c>
      <c r="C53" s="1" t="s">
        <v>625</v>
      </c>
      <c r="D53" s="88">
        <f t="shared" ca="1" si="1"/>
        <v>213697</v>
      </c>
      <c r="G53" t="b">
        <v>0</v>
      </c>
      <c r="H53" t="s">
        <v>85</v>
      </c>
      <c r="K53" s="1" t="b">
        <v>0</v>
      </c>
      <c r="M53" t="b">
        <v>0</v>
      </c>
      <c r="O53" t="s">
        <v>85</v>
      </c>
    </row>
    <row r="54" spans="1:15">
      <c r="A54" s="1" t="s">
        <v>320</v>
      </c>
      <c r="B54">
        <f t="shared" ca="1" si="0"/>
        <v>343061</v>
      </c>
      <c r="C54" s="1" t="s">
        <v>633</v>
      </c>
      <c r="D54" s="88">
        <f t="shared" ca="1" si="1"/>
        <v>289437</v>
      </c>
      <c r="G54" t="b">
        <v>0</v>
      </c>
      <c r="H54" t="s">
        <v>85</v>
      </c>
      <c r="K54" s="1" t="b">
        <v>0</v>
      </c>
      <c r="M54" t="b">
        <v>0</v>
      </c>
      <c r="O54" t="s">
        <v>85</v>
      </c>
    </row>
    <row r="55" spans="1:15">
      <c r="A55" s="1" t="s">
        <v>320</v>
      </c>
      <c r="B55">
        <f t="shared" ca="1" si="0"/>
        <v>343061</v>
      </c>
      <c r="C55" s="1" t="s">
        <v>643</v>
      </c>
      <c r="D55" s="88">
        <f t="shared" ca="1" si="1"/>
        <v>921783</v>
      </c>
      <c r="G55" t="b">
        <v>0</v>
      </c>
      <c r="H55" t="s">
        <v>85</v>
      </c>
      <c r="K55" s="1" t="b">
        <v>0</v>
      </c>
      <c r="M55" t="b">
        <v>1</v>
      </c>
      <c r="O55" t="s">
        <v>87</v>
      </c>
    </row>
    <row r="56" spans="1:15">
      <c r="A56" s="1" t="s">
        <v>320</v>
      </c>
      <c r="B56">
        <f t="shared" ca="1" si="0"/>
        <v>343061</v>
      </c>
      <c r="C56" s="1" t="s">
        <v>650</v>
      </c>
      <c r="D56" s="88">
        <f t="shared" ca="1" si="1"/>
        <v>168665</v>
      </c>
      <c r="G56" t="b">
        <v>0</v>
      </c>
      <c r="H56" t="s">
        <v>85</v>
      </c>
      <c r="K56" s="1" t="b">
        <v>0</v>
      </c>
      <c r="M56" t="b">
        <v>0</v>
      </c>
      <c r="O56" t="s">
        <v>85</v>
      </c>
    </row>
    <row r="57" spans="1:15">
      <c r="A57" s="1" t="s">
        <v>320</v>
      </c>
      <c r="B57">
        <f t="shared" ca="1" si="0"/>
        <v>343061</v>
      </c>
      <c r="C57" s="1" t="s">
        <v>657</v>
      </c>
      <c r="D57" s="88">
        <f t="shared" ca="1" si="1"/>
        <v>954693</v>
      </c>
      <c r="G57" t="b">
        <v>0</v>
      </c>
      <c r="H57" t="s">
        <v>85</v>
      </c>
      <c r="K57" s="1" t="b">
        <v>0</v>
      </c>
      <c r="M57" t="b">
        <v>0</v>
      </c>
      <c r="O57" t="s">
        <v>85</v>
      </c>
    </row>
    <row r="58" spans="1:15">
      <c r="A58" s="1" t="s">
        <v>332</v>
      </c>
      <c r="B58">
        <f t="shared" ca="1" si="0"/>
        <v>351129</v>
      </c>
      <c r="C58" s="1" t="s">
        <v>664</v>
      </c>
      <c r="D58" s="88">
        <f t="shared" ca="1" si="1"/>
        <v>574509</v>
      </c>
      <c r="G58" t="b">
        <v>0</v>
      </c>
      <c r="H58" t="s">
        <v>85</v>
      </c>
      <c r="K58" s="1" t="b">
        <v>0</v>
      </c>
      <c r="M58" t="b">
        <v>0</v>
      </c>
      <c r="O58" t="s">
        <v>85</v>
      </c>
    </row>
    <row r="59" spans="1:15">
      <c r="A59" s="1" t="s">
        <v>332</v>
      </c>
      <c r="B59">
        <f t="shared" ca="1" si="0"/>
        <v>351129</v>
      </c>
      <c r="C59" s="1" t="s">
        <v>679</v>
      </c>
      <c r="D59" s="88">
        <f t="shared" ca="1" si="1"/>
        <v>599162</v>
      </c>
      <c r="G59" t="b">
        <v>0</v>
      </c>
      <c r="H59" t="s">
        <v>85</v>
      </c>
      <c r="K59" s="1" t="b">
        <v>0</v>
      </c>
      <c r="M59" t="b">
        <v>0</v>
      </c>
      <c r="O59" t="s">
        <v>85</v>
      </c>
    </row>
    <row r="60" spans="1:15">
      <c r="A60" s="1" t="s">
        <v>339</v>
      </c>
      <c r="B60">
        <f t="shared" ca="1" si="0"/>
        <v>442064</v>
      </c>
      <c r="C60" s="1" t="s">
        <v>687</v>
      </c>
      <c r="D60" s="88">
        <f t="shared" ca="1" si="1"/>
        <v>606278</v>
      </c>
      <c r="G60" t="b">
        <v>0</v>
      </c>
      <c r="H60" t="s">
        <v>85</v>
      </c>
      <c r="K60" s="1" t="b">
        <v>0</v>
      </c>
      <c r="M60" t="b">
        <v>0</v>
      </c>
      <c r="O60" t="s">
        <v>85</v>
      </c>
    </row>
    <row r="61" spans="1:15">
      <c r="A61" s="1" t="s">
        <v>339</v>
      </c>
      <c r="B61">
        <f t="shared" ca="1" si="0"/>
        <v>442064</v>
      </c>
      <c r="C61" s="1" t="s">
        <v>698</v>
      </c>
      <c r="D61" s="88">
        <f t="shared" ca="1" si="1"/>
        <v>158928</v>
      </c>
      <c r="G61" t="b">
        <v>0</v>
      </c>
      <c r="H61" t="s">
        <v>85</v>
      </c>
      <c r="K61" s="1" t="b">
        <v>0</v>
      </c>
      <c r="M61" t="b">
        <v>0</v>
      </c>
      <c r="O61" t="s">
        <v>85</v>
      </c>
    </row>
    <row r="62" spans="1:15">
      <c r="A62" s="1" t="s">
        <v>339</v>
      </c>
      <c r="B62">
        <f t="shared" ca="1" si="0"/>
        <v>442064</v>
      </c>
      <c r="C62" s="1" t="s">
        <v>707</v>
      </c>
      <c r="D62" s="88">
        <f t="shared" ca="1" si="1"/>
        <v>658882</v>
      </c>
      <c r="G62" t="b">
        <v>0</v>
      </c>
      <c r="H62" t="s">
        <v>85</v>
      </c>
      <c r="K62" s="1" t="b">
        <v>0</v>
      </c>
      <c r="M62" t="b">
        <v>0</v>
      </c>
      <c r="O62" t="s">
        <v>85</v>
      </c>
    </row>
    <row r="63" spans="1:15">
      <c r="A63" s="1" t="s">
        <v>339</v>
      </c>
      <c r="B63">
        <f t="shared" ca="1" si="0"/>
        <v>442064</v>
      </c>
      <c r="C63" s="1" t="s">
        <v>714</v>
      </c>
      <c r="D63" s="88">
        <f t="shared" ca="1" si="1"/>
        <v>144550</v>
      </c>
      <c r="G63" t="b">
        <v>1</v>
      </c>
      <c r="H63" t="s">
        <v>87</v>
      </c>
      <c r="K63" s="1" t="b">
        <v>0</v>
      </c>
      <c r="M63" t="b">
        <v>1</v>
      </c>
      <c r="O63" t="s">
        <v>87</v>
      </c>
    </row>
    <row r="64" spans="1:15">
      <c r="A64" s="1" t="s">
        <v>339</v>
      </c>
      <c r="B64">
        <f t="shared" ca="1" si="0"/>
        <v>442064</v>
      </c>
      <c r="C64" s="1" t="s">
        <v>724</v>
      </c>
      <c r="D64" s="88">
        <f t="shared" ca="1" si="1"/>
        <v>161438</v>
      </c>
      <c r="G64" t="b">
        <v>0</v>
      </c>
      <c r="H64" t="s">
        <v>85</v>
      </c>
      <c r="K64" s="1" t="b">
        <v>0</v>
      </c>
      <c r="M64" t="b">
        <v>0</v>
      </c>
      <c r="O64" t="s">
        <v>85</v>
      </c>
    </row>
    <row r="65" spans="1:15">
      <c r="A65" s="1" t="s">
        <v>351</v>
      </c>
      <c r="B65">
        <f t="shared" ca="1" si="0"/>
        <v>235531</v>
      </c>
      <c r="C65" s="1" t="s">
        <v>737</v>
      </c>
      <c r="D65" s="88">
        <f t="shared" ca="1" si="1"/>
        <v>940284</v>
      </c>
      <c r="G65" t="b">
        <v>0</v>
      </c>
      <c r="H65" t="s">
        <v>85</v>
      </c>
      <c r="K65" s="1" t="b">
        <v>0</v>
      </c>
      <c r="M65" t="b">
        <v>0</v>
      </c>
      <c r="O65" t="s">
        <v>85</v>
      </c>
    </row>
    <row r="66" spans="1:15">
      <c r="A66" s="1" t="s">
        <v>351</v>
      </c>
      <c r="B66">
        <f t="shared" ca="1" si="0"/>
        <v>235531</v>
      </c>
      <c r="C66" s="1" t="s">
        <v>746</v>
      </c>
      <c r="D66" s="88">
        <f t="shared" ca="1" si="1"/>
        <v>832871</v>
      </c>
      <c r="G66" t="b">
        <v>0</v>
      </c>
      <c r="H66" t="s">
        <v>85</v>
      </c>
      <c r="K66" s="1" t="b">
        <v>0</v>
      </c>
      <c r="M66" t="b">
        <v>0</v>
      </c>
      <c r="O66" t="s">
        <v>85</v>
      </c>
    </row>
    <row r="67" spans="1:15">
      <c r="A67" s="1" t="s">
        <v>351</v>
      </c>
      <c r="B67">
        <f t="shared" ca="1" si="0"/>
        <v>235531</v>
      </c>
      <c r="C67" s="1" t="s">
        <v>754</v>
      </c>
      <c r="D67" s="88">
        <f t="shared" ca="1" si="1"/>
        <v>403536</v>
      </c>
      <c r="G67" t="b">
        <v>0</v>
      </c>
      <c r="H67" t="s">
        <v>85</v>
      </c>
      <c r="K67" s="1" t="b">
        <v>0</v>
      </c>
      <c r="M67" t="b">
        <v>0</v>
      </c>
      <c r="O67" t="s">
        <v>85</v>
      </c>
    </row>
    <row r="68" spans="1:15">
      <c r="A68" s="1" t="s">
        <v>351</v>
      </c>
      <c r="B68">
        <f t="shared" ca="1" si="0"/>
        <v>235531</v>
      </c>
      <c r="C68" s="1" t="s">
        <v>763</v>
      </c>
      <c r="D68" s="88">
        <f t="shared" ca="1" si="1"/>
        <v>267118</v>
      </c>
      <c r="G68" t="b">
        <v>0</v>
      </c>
      <c r="H68" t="s">
        <v>85</v>
      </c>
      <c r="K68" s="1" t="b">
        <v>0</v>
      </c>
      <c r="M68" t="b">
        <v>0</v>
      </c>
      <c r="O68" t="s">
        <v>85</v>
      </c>
    </row>
    <row r="69" spans="1:15">
      <c r="A69" s="1" t="s">
        <v>351</v>
      </c>
      <c r="B69">
        <f t="shared" ca="1" si="0"/>
        <v>235531</v>
      </c>
      <c r="C69" s="1" t="s">
        <v>778</v>
      </c>
      <c r="D69" s="88">
        <f t="shared" ca="1" si="1"/>
        <v>107602</v>
      </c>
      <c r="G69" t="b">
        <v>0</v>
      </c>
      <c r="H69" t="s">
        <v>85</v>
      </c>
      <c r="K69" s="1" t="b">
        <v>0</v>
      </c>
      <c r="M69" t="b">
        <v>0</v>
      </c>
      <c r="O69" t="s">
        <v>85</v>
      </c>
    </row>
    <row r="70" spans="1:15">
      <c r="A70" s="1" t="s">
        <v>358</v>
      </c>
      <c r="B70">
        <f t="shared" ca="1" si="0"/>
        <v>830176</v>
      </c>
      <c r="C70" s="1" t="s">
        <v>786</v>
      </c>
      <c r="D70" s="88">
        <f t="shared" ca="1" si="1"/>
        <v>961916</v>
      </c>
      <c r="G70" t="b">
        <v>0</v>
      </c>
      <c r="H70" t="s">
        <v>85</v>
      </c>
      <c r="K70" s="1" t="b">
        <v>0</v>
      </c>
      <c r="M70" t="b">
        <v>0</v>
      </c>
      <c r="O70" t="s">
        <v>85</v>
      </c>
    </row>
    <row r="71" spans="1:15">
      <c r="A71" s="1" t="s">
        <v>358</v>
      </c>
      <c r="B71">
        <f t="shared" ref="B71:B134" ca="1" si="2">VLOOKUP(A71,$C$6:$D$208,2,FALSE)</f>
        <v>830176</v>
      </c>
      <c r="C71" s="1" t="s">
        <v>798</v>
      </c>
      <c r="D71" s="88">
        <f t="shared" ref="D71:D134" ca="1" si="3">RANDBETWEEN(100000,1000000)</f>
        <v>334974</v>
      </c>
      <c r="G71" t="b">
        <v>0</v>
      </c>
      <c r="H71" t="s">
        <v>85</v>
      </c>
      <c r="K71" s="1" t="b">
        <v>0</v>
      </c>
      <c r="M71" t="b">
        <v>0</v>
      </c>
      <c r="O71" t="s">
        <v>85</v>
      </c>
    </row>
    <row r="72" spans="1:15">
      <c r="A72" s="1" t="s">
        <v>358</v>
      </c>
      <c r="B72">
        <f t="shared" ca="1" si="2"/>
        <v>830176</v>
      </c>
      <c r="C72" s="1" t="s">
        <v>802</v>
      </c>
      <c r="D72" s="88">
        <f t="shared" ca="1" si="3"/>
        <v>481702</v>
      </c>
      <c r="G72" t="b">
        <v>0</v>
      </c>
      <c r="H72" t="s">
        <v>85</v>
      </c>
      <c r="K72" s="1" t="b">
        <v>0</v>
      </c>
      <c r="M72" t="b">
        <v>0</v>
      </c>
      <c r="O72" t="s">
        <v>85</v>
      </c>
    </row>
    <row r="73" spans="1:15">
      <c r="A73" s="1" t="s">
        <v>358</v>
      </c>
      <c r="B73">
        <f t="shared" ca="1" si="2"/>
        <v>830176</v>
      </c>
      <c r="C73" s="1" t="s">
        <v>815</v>
      </c>
      <c r="D73" s="88">
        <f t="shared" ca="1" si="3"/>
        <v>375402</v>
      </c>
      <c r="G73" t="b">
        <v>0</v>
      </c>
      <c r="H73" t="s">
        <v>85</v>
      </c>
      <c r="K73" s="1" t="b">
        <v>0</v>
      </c>
      <c r="M73" t="b">
        <v>0</v>
      </c>
      <c r="O73" t="s">
        <v>85</v>
      </c>
    </row>
    <row r="74" spans="1:15">
      <c r="A74" s="1" t="s">
        <v>371</v>
      </c>
      <c r="B74">
        <f t="shared" ca="1" si="2"/>
        <v>403637</v>
      </c>
      <c r="C74" s="1" t="s">
        <v>213</v>
      </c>
      <c r="D74" s="88">
        <f t="shared" ca="1" si="3"/>
        <v>323060</v>
      </c>
      <c r="G74" t="b">
        <v>0</v>
      </c>
      <c r="H74" t="s">
        <v>85</v>
      </c>
      <c r="K74" s="1" t="b">
        <v>0</v>
      </c>
      <c r="M74" t="b">
        <v>0</v>
      </c>
      <c r="O74" t="s">
        <v>85</v>
      </c>
    </row>
    <row r="75" spans="1:15">
      <c r="A75" s="1" t="s">
        <v>371</v>
      </c>
      <c r="B75">
        <f t="shared" ca="1" si="2"/>
        <v>403637</v>
      </c>
      <c r="C75" s="1" t="s">
        <v>829</v>
      </c>
      <c r="D75" s="88">
        <f t="shared" ca="1" si="3"/>
        <v>304514</v>
      </c>
      <c r="G75" t="b">
        <v>0</v>
      </c>
      <c r="H75" t="s">
        <v>85</v>
      </c>
      <c r="K75" s="1" t="b">
        <v>0</v>
      </c>
      <c r="M75" t="b">
        <v>0</v>
      </c>
      <c r="O75" t="s">
        <v>85</v>
      </c>
    </row>
    <row r="76" spans="1:15">
      <c r="A76" s="1" t="s">
        <v>371</v>
      </c>
      <c r="B76">
        <f t="shared" ca="1" si="2"/>
        <v>403637</v>
      </c>
      <c r="C76" s="1" t="s">
        <v>836</v>
      </c>
      <c r="D76" s="88">
        <f t="shared" ca="1" si="3"/>
        <v>209255</v>
      </c>
      <c r="G76" t="b">
        <v>0</v>
      </c>
      <c r="H76" t="s">
        <v>85</v>
      </c>
      <c r="K76" s="1" t="b">
        <v>0</v>
      </c>
      <c r="M76" t="b">
        <v>0</v>
      </c>
      <c r="O76" t="s">
        <v>85</v>
      </c>
    </row>
    <row r="77" spans="1:15">
      <c r="A77" s="1" t="s">
        <v>379</v>
      </c>
      <c r="B77">
        <f t="shared" ca="1" si="2"/>
        <v>307891</v>
      </c>
      <c r="C77" s="1" t="s">
        <v>845</v>
      </c>
      <c r="D77" s="88">
        <f t="shared" ca="1" si="3"/>
        <v>194198</v>
      </c>
      <c r="G77" t="b">
        <v>0</v>
      </c>
      <c r="H77" t="s">
        <v>85</v>
      </c>
      <c r="K77" s="1" t="b">
        <v>0</v>
      </c>
      <c r="M77" t="b">
        <v>0</v>
      </c>
      <c r="O77" t="s">
        <v>85</v>
      </c>
    </row>
    <row r="78" spans="1:15">
      <c r="A78" s="1" t="s">
        <v>379</v>
      </c>
      <c r="B78">
        <f t="shared" ca="1" si="2"/>
        <v>307891</v>
      </c>
      <c r="C78" s="1" t="s">
        <v>852</v>
      </c>
      <c r="D78" s="88">
        <f t="shared" ca="1" si="3"/>
        <v>151736</v>
      </c>
      <c r="G78" t="b">
        <v>0</v>
      </c>
      <c r="H78" t="s">
        <v>85</v>
      </c>
      <c r="K78" s="1" t="b">
        <v>0</v>
      </c>
      <c r="M78" t="b">
        <v>0</v>
      </c>
      <c r="O78" t="s">
        <v>85</v>
      </c>
    </row>
    <row r="79" spans="1:15">
      <c r="A79" s="1" t="s">
        <v>379</v>
      </c>
      <c r="B79">
        <f t="shared" ca="1" si="2"/>
        <v>307891</v>
      </c>
      <c r="C79" s="1" t="s">
        <v>858</v>
      </c>
      <c r="D79" s="88">
        <f t="shared" ca="1" si="3"/>
        <v>514438</v>
      </c>
      <c r="G79" t="b">
        <v>0</v>
      </c>
      <c r="H79" t="s">
        <v>85</v>
      </c>
      <c r="K79" s="1" t="b">
        <v>0</v>
      </c>
      <c r="M79" t="b">
        <v>0</v>
      </c>
      <c r="O79" t="s">
        <v>85</v>
      </c>
    </row>
    <row r="80" spans="1:15">
      <c r="A80" s="1" t="s">
        <v>379</v>
      </c>
      <c r="B80">
        <f t="shared" ca="1" si="2"/>
        <v>307891</v>
      </c>
      <c r="C80" s="1" t="s">
        <v>866</v>
      </c>
      <c r="D80" s="88">
        <f t="shared" ca="1" si="3"/>
        <v>886818</v>
      </c>
      <c r="G80" t="b">
        <v>0</v>
      </c>
      <c r="H80" t="s">
        <v>85</v>
      </c>
      <c r="K80" s="1" t="b">
        <v>0</v>
      </c>
      <c r="M80" t="b">
        <v>0</v>
      </c>
      <c r="O80" t="s">
        <v>85</v>
      </c>
    </row>
    <row r="81" spans="1:15">
      <c r="A81" s="1" t="s">
        <v>386</v>
      </c>
      <c r="B81">
        <f t="shared" ca="1" si="2"/>
        <v>688301</v>
      </c>
      <c r="C81" s="1" t="s">
        <v>870</v>
      </c>
      <c r="D81" s="88">
        <f t="shared" ca="1" si="3"/>
        <v>312742</v>
      </c>
      <c r="G81" t="b">
        <v>0</v>
      </c>
      <c r="H81" t="s">
        <v>85</v>
      </c>
      <c r="K81" s="1" t="b">
        <v>0</v>
      </c>
      <c r="M81" t="b">
        <v>0</v>
      </c>
      <c r="O81" t="s">
        <v>85</v>
      </c>
    </row>
    <row r="82" spans="1:15">
      <c r="A82" s="1" t="s">
        <v>386</v>
      </c>
      <c r="B82">
        <f t="shared" ca="1" si="2"/>
        <v>688301</v>
      </c>
      <c r="C82" s="1" t="s">
        <v>876</v>
      </c>
      <c r="D82" s="88">
        <f t="shared" ca="1" si="3"/>
        <v>745466</v>
      </c>
      <c r="G82" t="b">
        <v>0</v>
      </c>
      <c r="H82" t="s">
        <v>85</v>
      </c>
      <c r="K82" s="1" t="b">
        <v>0</v>
      </c>
      <c r="M82" t="b">
        <v>0</v>
      </c>
      <c r="O82" t="s">
        <v>85</v>
      </c>
    </row>
    <row r="83" spans="1:15">
      <c r="A83" s="1" t="s">
        <v>386</v>
      </c>
      <c r="B83">
        <f t="shared" ca="1" si="2"/>
        <v>688301</v>
      </c>
      <c r="C83" s="1" t="s">
        <v>881</v>
      </c>
      <c r="D83" s="88">
        <f t="shared" ca="1" si="3"/>
        <v>496856</v>
      </c>
      <c r="G83" t="b">
        <v>0</v>
      </c>
      <c r="H83" t="s">
        <v>85</v>
      </c>
      <c r="K83" s="1" t="b">
        <v>0</v>
      </c>
      <c r="M83" t="b">
        <v>0</v>
      </c>
      <c r="O83" t="s">
        <v>85</v>
      </c>
    </row>
    <row r="84" spans="1:15">
      <c r="A84" s="1" t="s">
        <v>386</v>
      </c>
      <c r="B84">
        <f t="shared" ca="1" si="2"/>
        <v>688301</v>
      </c>
      <c r="C84" s="1" t="s">
        <v>889</v>
      </c>
      <c r="D84" s="88">
        <f t="shared" ca="1" si="3"/>
        <v>388522</v>
      </c>
      <c r="G84" t="b">
        <v>0</v>
      </c>
      <c r="H84" t="s">
        <v>85</v>
      </c>
      <c r="K84" s="1" t="b">
        <v>0</v>
      </c>
      <c r="M84" t="b">
        <v>0</v>
      </c>
      <c r="O84" t="s">
        <v>85</v>
      </c>
    </row>
    <row r="85" spans="1:15">
      <c r="A85" s="1" t="s">
        <v>402</v>
      </c>
      <c r="B85">
        <f t="shared" ca="1" si="2"/>
        <v>602956</v>
      </c>
      <c r="C85" s="1" t="s">
        <v>895</v>
      </c>
      <c r="D85" s="88">
        <f t="shared" ca="1" si="3"/>
        <v>654447</v>
      </c>
      <c r="G85" t="b">
        <v>0</v>
      </c>
      <c r="H85" t="s">
        <v>85</v>
      </c>
      <c r="K85" s="1" t="b">
        <v>0</v>
      </c>
      <c r="M85" t="b">
        <v>0</v>
      </c>
      <c r="O85" t="s">
        <v>85</v>
      </c>
    </row>
    <row r="86" spans="1:15">
      <c r="A86" s="1" t="s">
        <v>402</v>
      </c>
      <c r="B86">
        <f t="shared" ca="1" si="2"/>
        <v>602956</v>
      </c>
      <c r="C86" s="1" t="s">
        <v>900</v>
      </c>
      <c r="D86" s="88">
        <f t="shared" ca="1" si="3"/>
        <v>684079</v>
      </c>
      <c r="G86" t="b">
        <v>0</v>
      </c>
      <c r="H86" t="s">
        <v>85</v>
      </c>
      <c r="K86" s="1" t="b">
        <v>0</v>
      </c>
      <c r="M86" t="b">
        <v>0</v>
      </c>
      <c r="O86" t="s">
        <v>85</v>
      </c>
    </row>
    <row r="87" spans="1:15">
      <c r="A87" s="1" t="s">
        <v>402</v>
      </c>
      <c r="B87">
        <f t="shared" ca="1" si="2"/>
        <v>602956</v>
      </c>
      <c r="C87" s="1" t="s">
        <v>904</v>
      </c>
      <c r="D87" s="88">
        <f t="shared" ca="1" si="3"/>
        <v>502123</v>
      </c>
      <c r="G87" t="b">
        <v>0</v>
      </c>
      <c r="H87" t="s">
        <v>85</v>
      </c>
      <c r="K87" s="1" t="b">
        <v>0</v>
      </c>
      <c r="M87" t="b">
        <v>0</v>
      </c>
      <c r="O87" t="s">
        <v>85</v>
      </c>
    </row>
    <row r="88" spans="1:15">
      <c r="A88" s="1" t="s">
        <v>409</v>
      </c>
      <c r="B88">
        <f t="shared" ca="1" si="2"/>
        <v>889634</v>
      </c>
      <c r="C88" s="1" t="s">
        <v>909</v>
      </c>
      <c r="D88" s="88">
        <f t="shared" ca="1" si="3"/>
        <v>898614</v>
      </c>
      <c r="G88" t="b">
        <v>0</v>
      </c>
      <c r="H88" t="s">
        <v>85</v>
      </c>
      <c r="K88" s="1" t="b">
        <v>0</v>
      </c>
      <c r="M88" t="b">
        <v>0</v>
      </c>
      <c r="O88" t="s">
        <v>85</v>
      </c>
    </row>
    <row r="89" spans="1:15">
      <c r="A89" s="1" t="s">
        <v>409</v>
      </c>
      <c r="B89">
        <f t="shared" ca="1" si="2"/>
        <v>889634</v>
      </c>
      <c r="C89" s="1" t="s">
        <v>913</v>
      </c>
      <c r="D89" s="88">
        <f t="shared" ca="1" si="3"/>
        <v>317033</v>
      </c>
      <c r="G89" t="b">
        <v>0</v>
      </c>
      <c r="H89" t="s">
        <v>85</v>
      </c>
      <c r="K89" s="1" t="b">
        <v>0</v>
      </c>
      <c r="M89" t="b">
        <v>0</v>
      </c>
      <c r="O89" t="s">
        <v>85</v>
      </c>
    </row>
    <row r="90" spans="1:15">
      <c r="A90" s="1" t="s">
        <v>409</v>
      </c>
      <c r="B90">
        <f t="shared" ca="1" si="2"/>
        <v>889634</v>
      </c>
      <c r="C90" s="1" t="s">
        <v>923</v>
      </c>
      <c r="D90" s="88">
        <f t="shared" ca="1" si="3"/>
        <v>120562</v>
      </c>
      <c r="G90" t="b">
        <v>0</v>
      </c>
      <c r="H90" t="s">
        <v>85</v>
      </c>
      <c r="K90" s="1" t="b">
        <v>0</v>
      </c>
      <c r="M90" t="b">
        <v>0</v>
      </c>
      <c r="O90" t="s">
        <v>85</v>
      </c>
    </row>
    <row r="91" spans="1:15">
      <c r="A91" s="1" t="s">
        <v>409</v>
      </c>
      <c r="B91">
        <f t="shared" ca="1" si="2"/>
        <v>889634</v>
      </c>
      <c r="C91" s="1" t="s">
        <v>930</v>
      </c>
      <c r="D91" s="88">
        <f t="shared" ca="1" si="3"/>
        <v>723540</v>
      </c>
      <c r="G91" t="b">
        <v>0</v>
      </c>
      <c r="H91" t="s">
        <v>85</v>
      </c>
      <c r="K91" s="1" t="b">
        <v>0</v>
      </c>
      <c r="M91" t="b">
        <v>0</v>
      </c>
      <c r="O91" t="s">
        <v>85</v>
      </c>
    </row>
    <row r="92" spans="1:15">
      <c r="A92" s="1" t="s">
        <v>416</v>
      </c>
      <c r="B92">
        <f t="shared" ca="1" si="2"/>
        <v>150716</v>
      </c>
      <c r="C92" s="1" t="s">
        <v>936</v>
      </c>
      <c r="D92" s="88">
        <f t="shared" ca="1" si="3"/>
        <v>695131</v>
      </c>
      <c r="G92" t="b">
        <v>1</v>
      </c>
      <c r="H92" t="s">
        <v>87</v>
      </c>
      <c r="K92" s="1" t="b">
        <v>0</v>
      </c>
      <c r="M92" t="b">
        <v>0</v>
      </c>
      <c r="O92" t="s">
        <v>85</v>
      </c>
    </row>
    <row r="93" spans="1:15">
      <c r="A93" s="1" t="s">
        <v>416</v>
      </c>
      <c r="B93">
        <f t="shared" ca="1" si="2"/>
        <v>150716</v>
      </c>
      <c r="C93" s="1" t="s">
        <v>942</v>
      </c>
      <c r="D93" s="88">
        <f t="shared" ca="1" si="3"/>
        <v>844425</v>
      </c>
      <c r="G93" t="b">
        <v>0</v>
      </c>
      <c r="H93" t="s">
        <v>85</v>
      </c>
      <c r="K93" s="1" t="b">
        <v>0</v>
      </c>
      <c r="M93" t="b">
        <v>0</v>
      </c>
      <c r="O93" t="s">
        <v>85</v>
      </c>
    </row>
    <row r="94" spans="1:15">
      <c r="A94" s="1" t="s">
        <v>416</v>
      </c>
      <c r="B94">
        <f t="shared" ca="1" si="2"/>
        <v>150716</v>
      </c>
      <c r="C94" s="1" t="s">
        <v>947</v>
      </c>
      <c r="D94" s="88">
        <f t="shared" ca="1" si="3"/>
        <v>209598</v>
      </c>
      <c r="G94" t="b">
        <v>0</v>
      </c>
      <c r="H94" t="s">
        <v>85</v>
      </c>
      <c r="K94" s="1" t="b">
        <v>0</v>
      </c>
      <c r="M94" t="b">
        <v>0</v>
      </c>
      <c r="O94" t="s">
        <v>85</v>
      </c>
    </row>
    <row r="95" spans="1:15">
      <c r="A95" s="1" t="s">
        <v>423</v>
      </c>
      <c r="B95">
        <f t="shared" ca="1" si="2"/>
        <v>170528</v>
      </c>
      <c r="C95" s="1" t="s">
        <v>953</v>
      </c>
      <c r="D95" s="88">
        <f t="shared" ca="1" si="3"/>
        <v>417814</v>
      </c>
      <c r="G95" t="b">
        <v>0</v>
      </c>
      <c r="H95" t="s">
        <v>85</v>
      </c>
      <c r="K95" s="1" t="b">
        <v>0</v>
      </c>
      <c r="M95" t="b">
        <v>0</v>
      </c>
      <c r="O95" t="s">
        <v>85</v>
      </c>
    </row>
    <row r="96" spans="1:15">
      <c r="A96" s="1" t="s">
        <v>423</v>
      </c>
      <c r="B96">
        <f t="shared" ca="1" si="2"/>
        <v>170528</v>
      </c>
      <c r="C96" s="1" t="s">
        <v>967</v>
      </c>
      <c r="D96" s="88">
        <f t="shared" ca="1" si="3"/>
        <v>504006</v>
      </c>
      <c r="G96" t="b">
        <v>0</v>
      </c>
      <c r="H96" t="s">
        <v>85</v>
      </c>
      <c r="K96" s="1" t="b">
        <v>0</v>
      </c>
      <c r="M96" t="b">
        <v>0</v>
      </c>
      <c r="O96" t="s">
        <v>85</v>
      </c>
    </row>
    <row r="97" spans="1:15">
      <c r="A97" s="1" t="s">
        <v>423</v>
      </c>
      <c r="B97">
        <f t="shared" ca="1" si="2"/>
        <v>170528</v>
      </c>
      <c r="C97" s="1" t="s">
        <v>974</v>
      </c>
      <c r="D97" s="88">
        <f t="shared" ca="1" si="3"/>
        <v>104814</v>
      </c>
      <c r="G97" t="b">
        <v>0</v>
      </c>
      <c r="H97" t="s">
        <v>85</v>
      </c>
      <c r="K97" s="1" t="b">
        <v>0</v>
      </c>
      <c r="M97" t="b">
        <v>0</v>
      </c>
      <c r="O97" t="s">
        <v>85</v>
      </c>
    </row>
    <row r="98" spans="1:15">
      <c r="A98" s="1" t="s">
        <v>423</v>
      </c>
      <c r="B98">
        <f t="shared" ca="1" si="2"/>
        <v>170528</v>
      </c>
      <c r="C98" s="1" t="s">
        <v>983</v>
      </c>
      <c r="D98" s="88">
        <f t="shared" ca="1" si="3"/>
        <v>354078</v>
      </c>
      <c r="G98" t="b">
        <v>0</v>
      </c>
      <c r="H98" t="s">
        <v>85</v>
      </c>
      <c r="K98" s="1" t="b">
        <v>0</v>
      </c>
      <c r="M98" t="b">
        <v>0</v>
      </c>
      <c r="O98" t="s">
        <v>85</v>
      </c>
    </row>
    <row r="99" spans="1:15">
      <c r="A99" s="1" t="s">
        <v>434</v>
      </c>
      <c r="B99">
        <f t="shared" ca="1" si="2"/>
        <v>254789</v>
      </c>
      <c r="C99" s="1" t="s">
        <v>987</v>
      </c>
      <c r="D99" s="88">
        <f t="shared" ca="1" si="3"/>
        <v>994390</v>
      </c>
      <c r="G99" t="b">
        <v>0</v>
      </c>
      <c r="H99" t="s">
        <v>85</v>
      </c>
      <c r="K99" s="1" t="b">
        <v>0</v>
      </c>
      <c r="M99" t="b">
        <v>0</v>
      </c>
      <c r="O99" t="s">
        <v>85</v>
      </c>
    </row>
    <row r="100" spans="1:15">
      <c r="A100" s="1" t="s">
        <v>434</v>
      </c>
      <c r="B100">
        <f t="shared" ca="1" si="2"/>
        <v>254789</v>
      </c>
      <c r="C100" s="1" t="s">
        <v>996</v>
      </c>
      <c r="D100" s="88">
        <f t="shared" ca="1" si="3"/>
        <v>800029</v>
      </c>
      <c r="G100" t="b">
        <v>0</v>
      </c>
      <c r="H100" t="s">
        <v>85</v>
      </c>
      <c r="K100" s="1" t="b">
        <v>0</v>
      </c>
      <c r="M100" t="b">
        <v>0</v>
      </c>
      <c r="O100" t="s">
        <v>85</v>
      </c>
    </row>
    <row r="101" spans="1:15">
      <c r="A101" s="1" t="s">
        <v>443</v>
      </c>
      <c r="B101">
        <f t="shared" ca="1" si="2"/>
        <v>353442</v>
      </c>
      <c r="C101" s="1" t="s">
        <v>1001</v>
      </c>
      <c r="D101" s="88">
        <f t="shared" ca="1" si="3"/>
        <v>345211</v>
      </c>
      <c r="G101" t="b">
        <v>0</v>
      </c>
      <c r="H101" t="s">
        <v>85</v>
      </c>
      <c r="K101" s="1" t="b">
        <v>0</v>
      </c>
      <c r="M101" t="b">
        <v>0</v>
      </c>
      <c r="O101" t="s">
        <v>85</v>
      </c>
    </row>
    <row r="102" spans="1:15">
      <c r="A102" s="1" t="s">
        <v>443</v>
      </c>
      <c r="B102">
        <f t="shared" ca="1" si="2"/>
        <v>353442</v>
      </c>
      <c r="C102" s="1" t="s">
        <v>1007</v>
      </c>
      <c r="D102" s="88">
        <f t="shared" ca="1" si="3"/>
        <v>144432</v>
      </c>
      <c r="G102" t="b">
        <v>0</v>
      </c>
      <c r="H102" t="s">
        <v>85</v>
      </c>
      <c r="K102" s="1" t="b">
        <v>0</v>
      </c>
      <c r="M102" t="b">
        <v>0</v>
      </c>
      <c r="O102" t="s">
        <v>85</v>
      </c>
    </row>
    <row r="103" spans="1:15">
      <c r="A103" s="1" t="s">
        <v>455</v>
      </c>
      <c r="B103">
        <f t="shared" ca="1" si="2"/>
        <v>249972</v>
      </c>
      <c r="C103" s="1" t="s">
        <v>1013</v>
      </c>
      <c r="D103" s="88">
        <f t="shared" ca="1" si="3"/>
        <v>566335</v>
      </c>
      <c r="G103" t="b">
        <v>0</v>
      </c>
      <c r="H103" t="s">
        <v>85</v>
      </c>
      <c r="K103" s="1" t="b">
        <v>0</v>
      </c>
      <c r="M103" t="b">
        <v>0</v>
      </c>
      <c r="O103" t="s">
        <v>85</v>
      </c>
    </row>
    <row r="104" spans="1:15">
      <c r="A104" s="1" t="s">
        <v>455</v>
      </c>
      <c r="B104">
        <f t="shared" ca="1" si="2"/>
        <v>249972</v>
      </c>
      <c r="C104" s="1" t="s">
        <v>1018</v>
      </c>
      <c r="D104" s="88">
        <f t="shared" ca="1" si="3"/>
        <v>632384</v>
      </c>
      <c r="G104" t="b">
        <v>0</v>
      </c>
      <c r="H104" t="s">
        <v>85</v>
      </c>
      <c r="K104" s="1" t="b">
        <v>0</v>
      </c>
      <c r="M104" t="b">
        <v>0</v>
      </c>
      <c r="O104" t="s">
        <v>85</v>
      </c>
    </row>
    <row r="105" spans="1:15">
      <c r="A105" s="1" t="s">
        <v>466</v>
      </c>
      <c r="B105">
        <f t="shared" ca="1" si="2"/>
        <v>487565</v>
      </c>
      <c r="C105" s="1" t="s">
        <v>1024</v>
      </c>
      <c r="D105" s="88">
        <f t="shared" ca="1" si="3"/>
        <v>450114</v>
      </c>
      <c r="G105" t="b">
        <v>0</v>
      </c>
      <c r="H105" t="s">
        <v>85</v>
      </c>
      <c r="K105" s="1" t="b">
        <v>0</v>
      </c>
      <c r="M105" t="b">
        <v>0</v>
      </c>
      <c r="O105" t="s">
        <v>85</v>
      </c>
    </row>
    <row r="106" spans="1:15">
      <c r="A106" s="1" t="s">
        <v>478</v>
      </c>
      <c r="B106">
        <f t="shared" ca="1" si="2"/>
        <v>938206</v>
      </c>
      <c r="C106" s="1" t="s">
        <v>1035</v>
      </c>
      <c r="D106" s="88">
        <f t="shared" ca="1" si="3"/>
        <v>728434</v>
      </c>
      <c r="G106" t="b">
        <v>0</v>
      </c>
      <c r="H106" t="s">
        <v>85</v>
      </c>
      <c r="K106" s="1" t="b">
        <v>0</v>
      </c>
      <c r="M106" t="b">
        <v>0</v>
      </c>
      <c r="O106" t="s">
        <v>85</v>
      </c>
    </row>
    <row r="107" spans="1:15">
      <c r="A107" s="1" t="s">
        <v>490</v>
      </c>
      <c r="B107">
        <f t="shared" ca="1" si="2"/>
        <v>173504</v>
      </c>
      <c r="C107" s="1" t="s">
        <v>1043</v>
      </c>
      <c r="D107" s="88">
        <f t="shared" ca="1" si="3"/>
        <v>564168</v>
      </c>
      <c r="G107" t="b">
        <v>0</v>
      </c>
      <c r="H107" t="s">
        <v>85</v>
      </c>
      <c r="K107" s="1" t="b">
        <v>0</v>
      </c>
      <c r="M107" t="b">
        <v>0</v>
      </c>
      <c r="O107" t="s">
        <v>85</v>
      </c>
    </row>
    <row r="108" spans="1:15">
      <c r="A108" s="1" t="s">
        <v>490</v>
      </c>
      <c r="B108">
        <f t="shared" ca="1" si="2"/>
        <v>173504</v>
      </c>
      <c r="C108" s="1" t="s">
        <v>1047</v>
      </c>
      <c r="D108" s="88">
        <f t="shared" ca="1" si="3"/>
        <v>510550</v>
      </c>
      <c r="G108" t="b">
        <v>0</v>
      </c>
      <c r="H108" t="s">
        <v>85</v>
      </c>
      <c r="K108" s="1" t="b">
        <v>0</v>
      </c>
      <c r="M108" t="b">
        <v>0</v>
      </c>
      <c r="O108" t="s">
        <v>85</v>
      </c>
    </row>
    <row r="109" spans="1:15">
      <c r="A109" s="1" t="s">
        <v>490</v>
      </c>
      <c r="B109">
        <f t="shared" ca="1" si="2"/>
        <v>173504</v>
      </c>
      <c r="C109" s="1" t="s">
        <v>1053</v>
      </c>
      <c r="D109" s="88">
        <f t="shared" ca="1" si="3"/>
        <v>111216</v>
      </c>
      <c r="G109" t="b">
        <v>0</v>
      </c>
      <c r="H109" t="s">
        <v>85</v>
      </c>
      <c r="K109" s="1" t="b">
        <v>0</v>
      </c>
      <c r="M109" t="b">
        <v>0</v>
      </c>
      <c r="O109" t="s">
        <v>85</v>
      </c>
    </row>
    <row r="110" spans="1:15">
      <c r="A110" s="1" t="s">
        <v>490</v>
      </c>
      <c r="B110">
        <f t="shared" ca="1" si="2"/>
        <v>173504</v>
      </c>
      <c r="C110" s="1" t="s">
        <v>1059</v>
      </c>
      <c r="D110" s="88">
        <f t="shared" ca="1" si="3"/>
        <v>866553</v>
      </c>
      <c r="G110" t="b">
        <v>0</v>
      </c>
      <c r="H110" t="s">
        <v>85</v>
      </c>
      <c r="K110" s="1" t="b">
        <v>0</v>
      </c>
      <c r="M110" t="b">
        <v>0</v>
      </c>
      <c r="O110" t="s">
        <v>85</v>
      </c>
    </row>
    <row r="111" spans="1:15">
      <c r="A111" s="1" t="s">
        <v>499</v>
      </c>
      <c r="B111">
        <f t="shared" ca="1" si="2"/>
        <v>653216</v>
      </c>
      <c r="C111" s="1" t="s">
        <v>1068</v>
      </c>
      <c r="D111" s="88">
        <f t="shared" ca="1" si="3"/>
        <v>280239</v>
      </c>
      <c r="G111" t="b">
        <v>0</v>
      </c>
      <c r="H111" t="s">
        <v>85</v>
      </c>
      <c r="K111" s="1" t="b">
        <v>0</v>
      </c>
      <c r="M111" t="b">
        <v>0</v>
      </c>
      <c r="O111" t="s">
        <v>85</v>
      </c>
    </row>
    <row r="112" spans="1:15">
      <c r="A112" s="1" t="s">
        <v>499</v>
      </c>
      <c r="B112">
        <f t="shared" ca="1" si="2"/>
        <v>653216</v>
      </c>
      <c r="C112" s="1" t="s">
        <v>1073</v>
      </c>
      <c r="D112" s="88">
        <f t="shared" ca="1" si="3"/>
        <v>691315</v>
      </c>
      <c r="G112" t="b">
        <v>0</v>
      </c>
      <c r="H112" t="s">
        <v>85</v>
      </c>
      <c r="K112" s="1" t="b">
        <v>0</v>
      </c>
      <c r="M112" t="b">
        <v>0</v>
      </c>
      <c r="O112" t="s">
        <v>85</v>
      </c>
    </row>
    <row r="113" spans="1:15">
      <c r="A113" s="1" t="s">
        <v>507</v>
      </c>
      <c r="B113">
        <f t="shared" ca="1" si="2"/>
        <v>238499</v>
      </c>
      <c r="C113" s="1" t="s">
        <v>1082</v>
      </c>
      <c r="D113" s="88">
        <f t="shared" ca="1" si="3"/>
        <v>758898</v>
      </c>
      <c r="G113" t="b">
        <v>0</v>
      </c>
      <c r="H113" t="s">
        <v>85</v>
      </c>
      <c r="K113" s="1" t="b">
        <v>0</v>
      </c>
      <c r="M113" t="b">
        <v>0</v>
      </c>
      <c r="O113" t="s">
        <v>85</v>
      </c>
    </row>
    <row r="114" spans="1:15">
      <c r="A114" s="1" t="s">
        <v>507</v>
      </c>
      <c r="B114">
        <f t="shared" ca="1" si="2"/>
        <v>238499</v>
      </c>
      <c r="C114" s="1" t="s">
        <v>1086</v>
      </c>
      <c r="D114" s="88">
        <f t="shared" ca="1" si="3"/>
        <v>512123</v>
      </c>
      <c r="G114" t="b">
        <v>0</v>
      </c>
      <c r="H114" t="s">
        <v>85</v>
      </c>
      <c r="K114" s="1" t="b">
        <v>0</v>
      </c>
      <c r="M114" t="b">
        <v>0</v>
      </c>
      <c r="O114" t="s">
        <v>85</v>
      </c>
    </row>
    <row r="115" spans="1:15">
      <c r="A115" s="1" t="s">
        <v>507</v>
      </c>
      <c r="B115">
        <f t="shared" ca="1" si="2"/>
        <v>238499</v>
      </c>
      <c r="C115" s="1" t="s">
        <v>1100</v>
      </c>
      <c r="D115" s="88">
        <f t="shared" ca="1" si="3"/>
        <v>460244</v>
      </c>
      <c r="G115" t="b">
        <v>0</v>
      </c>
      <c r="H115" t="s">
        <v>85</v>
      </c>
      <c r="K115" s="1" t="b">
        <v>0</v>
      </c>
      <c r="M115" t="b">
        <v>0</v>
      </c>
      <c r="O115" t="s">
        <v>85</v>
      </c>
    </row>
    <row r="116" spans="1:15">
      <c r="A116" s="1" t="s">
        <v>507</v>
      </c>
      <c r="B116">
        <f t="shared" ca="1" si="2"/>
        <v>238499</v>
      </c>
      <c r="C116" s="1" t="s">
        <v>1104</v>
      </c>
      <c r="D116" s="88">
        <f t="shared" ca="1" si="3"/>
        <v>645100</v>
      </c>
      <c r="G116" t="b">
        <v>0</v>
      </c>
      <c r="H116" t="s">
        <v>85</v>
      </c>
      <c r="K116" s="1" t="b">
        <v>0</v>
      </c>
      <c r="M116" t="b">
        <v>0</v>
      </c>
      <c r="O116" t="s">
        <v>85</v>
      </c>
    </row>
    <row r="117" spans="1:15">
      <c r="A117" s="1" t="s">
        <v>516</v>
      </c>
      <c r="B117">
        <f t="shared" ca="1" si="2"/>
        <v>813837</v>
      </c>
      <c r="C117" s="1" t="s">
        <v>1109</v>
      </c>
      <c r="D117" s="88">
        <f t="shared" ca="1" si="3"/>
        <v>999853</v>
      </c>
      <c r="G117" t="b">
        <v>0</v>
      </c>
      <c r="H117" t="s">
        <v>85</v>
      </c>
      <c r="K117" s="1" t="b">
        <v>0</v>
      </c>
      <c r="M117" t="b">
        <v>0</v>
      </c>
      <c r="O117" t="s">
        <v>85</v>
      </c>
    </row>
    <row r="118" spans="1:15">
      <c r="A118" s="1" t="s">
        <v>516</v>
      </c>
      <c r="B118">
        <f t="shared" ca="1" si="2"/>
        <v>813837</v>
      </c>
      <c r="C118" s="1" t="s">
        <v>1119</v>
      </c>
      <c r="D118" s="88">
        <f t="shared" ca="1" si="3"/>
        <v>821569</v>
      </c>
      <c r="G118" t="b">
        <v>0</v>
      </c>
      <c r="H118" t="s">
        <v>85</v>
      </c>
      <c r="K118" s="1" t="b">
        <v>0</v>
      </c>
      <c r="M118" t="b">
        <v>0</v>
      </c>
      <c r="O118" t="s">
        <v>85</v>
      </c>
    </row>
    <row r="119" spans="1:15">
      <c r="A119" s="1" t="s">
        <v>525</v>
      </c>
      <c r="B119">
        <f t="shared" ca="1" si="2"/>
        <v>567519</v>
      </c>
      <c r="C119" s="1" t="s">
        <v>1123</v>
      </c>
      <c r="D119" s="88">
        <f t="shared" ca="1" si="3"/>
        <v>423870</v>
      </c>
      <c r="G119" t="b">
        <v>0</v>
      </c>
      <c r="H119" t="s">
        <v>85</v>
      </c>
      <c r="K119" s="1" t="b">
        <v>0</v>
      </c>
      <c r="M119" t="b">
        <v>0</v>
      </c>
      <c r="O119" t="s">
        <v>85</v>
      </c>
    </row>
    <row r="120" spans="1:15">
      <c r="A120" s="1" t="s">
        <v>525</v>
      </c>
      <c r="B120">
        <f t="shared" ca="1" si="2"/>
        <v>567519</v>
      </c>
      <c r="C120" s="1" t="s">
        <v>1134</v>
      </c>
      <c r="D120" s="88">
        <f t="shared" ca="1" si="3"/>
        <v>699295</v>
      </c>
      <c r="G120" t="b">
        <v>0</v>
      </c>
      <c r="H120" t="s">
        <v>85</v>
      </c>
      <c r="K120" s="1" t="b">
        <v>0</v>
      </c>
      <c r="M120" t="b">
        <v>0</v>
      </c>
      <c r="O120" t="s">
        <v>85</v>
      </c>
    </row>
    <row r="121" spans="1:15">
      <c r="A121" s="1" t="s">
        <v>532</v>
      </c>
      <c r="B121">
        <f t="shared" ca="1" si="2"/>
        <v>458680</v>
      </c>
      <c r="C121" s="1" t="s">
        <v>1140</v>
      </c>
      <c r="D121" s="88">
        <f t="shared" ca="1" si="3"/>
        <v>222991</v>
      </c>
      <c r="G121" t="b">
        <v>0</v>
      </c>
      <c r="H121" t="s">
        <v>85</v>
      </c>
      <c r="K121" s="1" t="b">
        <v>0</v>
      </c>
      <c r="M121" t="b">
        <v>0</v>
      </c>
      <c r="O121" t="s">
        <v>85</v>
      </c>
    </row>
    <row r="122" spans="1:15">
      <c r="A122" s="1" t="s">
        <v>532</v>
      </c>
      <c r="B122">
        <f t="shared" ca="1" si="2"/>
        <v>458680</v>
      </c>
      <c r="C122" s="1" t="s">
        <v>1146</v>
      </c>
      <c r="D122" s="88">
        <f t="shared" ca="1" si="3"/>
        <v>158258</v>
      </c>
      <c r="G122" t="b">
        <v>0</v>
      </c>
      <c r="H122" t="s">
        <v>85</v>
      </c>
      <c r="K122" s="1" t="b">
        <v>0</v>
      </c>
      <c r="M122" t="b">
        <v>0</v>
      </c>
      <c r="O122" t="s">
        <v>85</v>
      </c>
    </row>
    <row r="123" spans="1:15">
      <c r="A123" s="1" t="s">
        <v>532</v>
      </c>
      <c r="B123">
        <f t="shared" ca="1" si="2"/>
        <v>458680</v>
      </c>
      <c r="C123" s="1" t="s">
        <v>1151</v>
      </c>
      <c r="D123" s="88">
        <f t="shared" ca="1" si="3"/>
        <v>554471</v>
      </c>
      <c r="G123" t="b">
        <v>0</v>
      </c>
      <c r="H123" t="s">
        <v>85</v>
      </c>
      <c r="K123" s="1" t="b">
        <v>0</v>
      </c>
      <c r="M123" t="b">
        <v>0</v>
      </c>
      <c r="O123" t="s">
        <v>85</v>
      </c>
    </row>
    <row r="124" spans="1:15">
      <c r="A124" s="1" t="s">
        <v>532</v>
      </c>
      <c r="B124">
        <f t="shared" ca="1" si="2"/>
        <v>458680</v>
      </c>
      <c r="C124" s="1" t="s">
        <v>1155</v>
      </c>
      <c r="D124" s="88">
        <f t="shared" ca="1" si="3"/>
        <v>641790</v>
      </c>
      <c r="G124" t="b">
        <v>0</v>
      </c>
      <c r="H124" t="s">
        <v>85</v>
      </c>
      <c r="K124" s="1" t="b">
        <v>0</v>
      </c>
      <c r="M124" t="b">
        <v>0</v>
      </c>
      <c r="O124" t="s">
        <v>85</v>
      </c>
    </row>
    <row r="125" spans="1:15">
      <c r="A125" s="1" t="s">
        <v>532</v>
      </c>
      <c r="B125">
        <f t="shared" ca="1" si="2"/>
        <v>458680</v>
      </c>
      <c r="C125" s="1" t="s">
        <v>1164</v>
      </c>
      <c r="D125" s="88">
        <f t="shared" ca="1" si="3"/>
        <v>829642</v>
      </c>
      <c r="G125" t="b">
        <v>0</v>
      </c>
      <c r="H125" t="s">
        <v>85</v>
      </c>
      <c r="K125" s="1" t="b">
        <v>0</v>
      </c>
      <c r="M125" t="b">
        <v>0</v>
      </c>
      <c r="O125" t="s">
        <v>85</v>
      </c>
    </row>
    <row r="126" spans="1:15">
      <c r="A126" s="1" t="s">
        <v>547</v>
      </c>
      <c r="B126">
        <f t="shared" ca="1" si="2"/>
        <v>403610</v>
      </c>
      <c r="C126" s="1" t="s">
        <v>1168</v>
      </c>
      <c r="D126" s="88">
        <f t="shared" ca="1" si="3"/>
        <v>812375</v>
      </c>
      <c r="G126" t="b">
        <v>0</v>
      </c>
      <c r="H126" t="s">
        <v>85</v>
      </c>
      <c r="K126" s="1" t="b">
        <v>0</v>
      </c>
      <c r="M126" t="b">
        <v>0</v>
      </c>
      <c r="O126" t="s">
        <v>85</v>
      </c>
    </row>
    <row r="127" spans="1:15">
      <c r="A127" s="1" t="s">
        <v>547</v>
      </c>
      <c r="B127">
        <f t="shared" ca="1" si="2"/>
        <v>403610</v>
      </c>
      <c r="C127" s="1" t="s">
        <v>1173</v>
      </c>
      <c r="D127" s="88">
        <f t="shared" ca="1" si="3"/>
        <v>786242</v>
      </c>
      <c r="G127" t="b">
        <v>0</v>
      </c>
      <c r="H127" t="s">
        <v>85</v>
      </c>
      <c r="K127" s="1" t="b">
        <v>0</v>
      </c>
      <c r="M127" t="b">
        <v>0</v>
      </c>
      <c r="O127" t="s">
        <v>85</v>
      </c>
    </row>
    <row r="128" spans="1:15">
      <c r="A128" s="1" t="s">
        <v>562</v>
      </c>
      <c r="B128">
        <f t="shared" ca="1" si="2"/>
        <v>991193</v>
      </c>
      <c r="C128" s="1" t="s">
        <v>1179</v>
      </c>
      <c r="D128" s="88">
        <f t="shared" ca="1" si="3"/>
        <v>324315</v>
      </c>
      <c r="G128" t="b">
        <v>0</v>
      </c>
      <c r="H128" t="s">
        <v>85</v>
      </c>
      <c r="K128" s="1" t="b">
        <v>0</v>
      </c>
      <c r="M128" t="b">
        <v>0</v>
      </c>
      <c r="O128" t="s">
        <v>85</v>
      </c>
    </row>
    <row r="129" spans="1:15">
      <c r="A129" s="1" t="s">
        <v>562</v>
      </c>
      <c r="B129">
        <f t="shared" ca="1" si="2"/>
        <v>991193</v>
      </c>
      <c r="C129" s="1" t="s">
        <v>1185</v>
      </c>
      <c r="D129" s="88">
        <f t="shared" ca="1" si="3"/>
        <v>828530</v>
      </c>
      <c r="G129" t="b">
        <v>0</v>
      </c>
      <c r="H129" t="s">
        <v>85</v>
      </c>
      <c r="K129" s="1" t="b">
        <v>0</v>
      </c>
      <c r="M129" t="b">
        <v>0</v>
      </c>
      <c r="O129" t="s">
        <v>85</v>
      </c>
    </row>
    <row r="130" spans="1:15">
      <c r="A130" s="1" t="s">
        <v>572</v>
      </c>
      <c r="B130">
        <f t="shared" ca="1" si="2"/>
        <v>556240</v>
      </c>
      <c r="C130" s="1" t="s">
        <v>1191</v>
      </c>
      <c r="D130" s="88">
        <f t="shared" ca="1" si="3"/>
        <v>398126</v>
      </c>
      <c r="G130" t="b">
        <v>0</v>
      </c>
      <c r="H130" t="s">
        <v>85</v>
      </c>
      <c r="K130" s="1" t="b">
        <v>0</v>
      </c>
      <c r="M130" t="b">
        <v>0</v>
      </c>
      <c r="O130" t="s">
        <v>85</v>
      </c>
    </row>
    <row r="131" spans="1:15">
      <c r="A131" s="1" t="s">
        <v>572</v>
      </c>
      <c r="B131">
        <f t="shared" ca="1" si="2"/>
        <v>556240</v>
      </c>
      <c r="C131" s="1" t="s">
        <v>1198</v>
      </c>
      <c r="D131" s="88">
        <f t="shared" ca="1" si="3"/>
        <v>488411</v>
      </c>
      <c r="G131" t="b">
        <v>0</v>
      </c>
      <c r="H131" t="s">
        <v>85</v>
      </c>
      <c r="K131" s="1" t="b">
        <v>0</v>
      </c>
      <c r="M131" t="b">
        <v>0</v>
      </c>
      <c r="O131" t="s">
        <v>85</v>
      </c>
    </row>
    <row r="132" spans="1:15">
      <c r="A132" s="1" t="s">
        <v>582</v>
      </c>
      <c r="B132">
        <f t="shared" ca="1" si="2"/>
        <v>195121</v>
      </c>
      <c r="C132" s="1" t="s">
        <v>1205</v>
      </c>
      <c r="D132" s="88">
        <f t="shared" ca="1" si="3"/>
        <v>931971</v>
      </c>
      <c r="G132" t="b">
        <v>0</v>
      </c>
      <c r="H132" t="s">
        <v>85</v>
      </c>
      <c r="K132" s="1" t="b">
        <v>0</v>
      </c>
      <c r="M132" t="b">
        <v>0</v>
      </c>
      <c r="O132" t="s">
        <v>85</v>
      </c>
    </row>
    <row r="133" spans="1:15">
      <c r="A133" s="1" t="s">
        <v>582</v>
      </c>
      <c r="B133">
        <f t="shared" ca="1" si="2"/>
        <v>195121</v>
      </c>
      <c r="C133" s="1" t="s">
        <v>1210</v>
      </c>
      <c r="D133" s="88">
        <f t="shared" ca="1" si="3"/>
        <v>387672</v>
      </c>
      <c r="G133" t="b">
        <v>0</v>
      </c>
      <c r="H133" t="s">
        <v>85</v>
      </c>
      <c r="K133" s="1" t="b">
        <v>0</v>
      </c>
      <c r="M133" t="b">
        <v>0</v>
      </c>
      <c r="O133" t="s">
        <v>85</v>
      </c>
    </row>
    <row r="134" spans="1:15">
      <c r="A134" s="1" t="s">
        <v>594</v>
      </c>
      <c r="B134">
        <f t="shared" ca="1" si="2"/>
        <v>761077</v>
      </c>
      <c r="C134" s="1" t="s">
        <v>1215</v>
      </c>
      <c r="D134" s="88">
        <f t="shared" ca="1" si="3"/>
        <v>871970</v>
      </c>
      <c r="G134" t="b">
        <v>0</v>
      </c>
      <c r="H134" t="s">
        <v>85</v>
      </c>
      <c r="K134" s="1" t="b">
        <v>0</v>
      </c>
      <c r="M134" t="b">
        <v>0</v>
      </c>
      <c r="O134" t="s">
        <v>85</v>
      </c>
    </row>
    <row r="135" spans="1:15">
      <c r="A135" s="1" t="s">
        <v>594</v>
      </c>
      <c r="B135">
        <f t="shared" ref="B135:B198" ca="1" si="4">VLOOKUP(A135,$C$6:$D$208,2,FALSE)</f>
        <v>761077</v>
      </c>
      <c r="C135" s="1" t="s">
        <v>1221</v>
      </c>
      <c r="D135" s="88">
        <f t="shared" ref="D135:D137" ca="1" si="5">RANDBETWEEN(100000,1000000)</f>
        <v>902046</v>
      </c>
      <c r="G135" t="b">
        <v>0</v>
      </c>
      <c r="H135" t="s">
        <v>85</v>
      </c>
      <c r="K135" s="1" t="b">
        <v>0</v>
      </c>
      <c r="M135" t="b">
        <v>0</v>
      </c>
      <c r="O135" t="s">
        <v>85</v>
      </c>
    </row>
    <row r="136" spans="1:15">
      <c r="A136" s="1" t="s">
        <v>594</v>
      </c>
      <c r="B136">
        <f t="shared" ca="1" si="4"/>
        <v>761077</v>
      </c>
      <c r="C136" s="1" t="s">
        <v>1226</v>
      </c>
      <c r="D136" s="88">
        <f t="shared" ca="1" si="5"/>
        <v>215653</v>
      </c>
      <c r="G136" t="b">
        <v>0</v>
      </c>
      <c r="H136" t="s">
        <v>85</v>
      </c>
      <c r="K136" s="1" t="b">
        <v>0</v>
      </c>
      <c r="M136" t="b">
        <v>0</v>
      </c>
      <c r="O136" t="s">
        <v>85</v>
      </c>
    </row>
    <row r="137" spans="1:15">
      <c r="A137" s="1" t="s">
        <v>602</v>
      </c>
      <c r="B137">
        <f t="shared" ca="1" si="4"/>
        <v>436064</v>
      </c>
      <c r="C137" s="1" t="s">
        <v>1230</v>
      </c>
      <c r="D137" s="88">
        <f t="shared" ca="1" si="5"/>
        <v>401596</v>
      </c>
      <c r="G137" t="b">
        <v>0</v>
      </c>
      <c r="H137" t="s">
        <v>85</v>
      </c>
      <c r="K137" s="1" t="b">
        <v>0</v>
      </c>
      <c r="M137" t="b">
        <v>0</v>
      </c>
      <c r="O137" t="s">
        <v>85</v>
      </c>
    </row>
    <row r="138" spans="1:15">
      <c r="A138" s="1" t="s">
        <v>602</v>
      </c>
      <c r="B138">
        <f t="shared" ca="1" si="4"/>
        <v>436064</v>
      </c>
      <c r="C138" s="1" t="s">
        <v>1235</v>
      </c>
      <c r="D138" s="88">
        <f t="shared" ref="D138:D198" ca="1" si="6">RANDBETWEEN(100000,40000000)</f>
        <v>36362688</v>
      </c>
      <c r="G138" t="b">
        <v>0</v>
      </c>
      <c r="H138" t="s">
        <v>85</v>
      </c>
      <c r="K138" s="1" t="b">
        <v>0</v>
      </c>
      <c r="M138" t="b">
        <v>0</v>
      </c>
      <c r="O138" t="s">
        <v>85</v>
      </c>
    </row>
    <row r="139" spans="1:15">
      <c r="A139" s="1" t="s">
        <v>602</v>
      </c>
      <c r="B139">
        <f t="shared" ca="1" si="4"/>
        <v>436064</v>
      </c>
      <c r="C139" s="1" t="s">
        <v>1240</v>
      </c>
      <c r="D139" s="88">
        <f t="shared" ca="1" si="6"/>
        <v>20038643</v>
      </c>
      <c r="G139" t="b">
        <v>0</v>
      </c>
      <c r="H139" t="s">
        <v>85</v>
      </c>
      <c r="K139" s="1" t="b">
        <v>0</v>
      </c>
      <c r="M139" t="b">
        <v>0</v>
      </c>
      <c r="O139" t="s">
        <v>85</v>
      </c>
    </row>
    <row r="140" spans="1:15">
      <c r="A140" s="1" t="s">
        <v>610</v>
      </c>
      <c r="B140">
        <f t="shared" ca="1" si="4"/>
        <v>727323</v>
      </c>
      <c r="C140" s="1" t="s">
        <v>1245</v>
      </c>
      <c r="D140" s="88">
        <f t="shared" ca="1" si="6"/>
        <v>4255661</v>
      </c>
      <c r="G140" t="b">
        <v>0</v>
      </c>
      <c r="H140" t="s">
        <v>85</v>
      </c>
      <c r="K140" s="1" t="b">
        <v>0</v>
      </c>
      <c r="M140" t="b">
        <v>0</v>
      </c>
      <c r="O140" t="s">
        <v>85</v>
      </c>
    </row>
    <row r="141" spans="1:15">
      <c r="A141" s="1" t="s">
        <v>610</v>
      </c>
      <c r="B141">
        <f t="shared" ca="1" si="4"/>
        <v>727323</v>
      </c>
      <c r="C141" s="1" t="s">
        <v>1254</v>
      </c>
      <c r="D141" s="88">
        <f t="shared" ca="1" si="6"/>
        <v>26739541</v>
      </c>
      <c r="G141" t="b">
        <v>0</v>
      </c>
      <c r="H141" t="s">
        <v>85</v>
      </c>
      <c r="K141" s="1" t="b">
        <v>0</v>
      </c>
      <c r="M141" t="b">
        <v>1</v>
      </c>
      <c r="O141" t="s">
        <v>87</v>
      </c>
    </row>
    <row r="142" spans="1:15">
      <c r="A142" s="1" t="s">
        <v>610</v>
      </c>
      <c r="B142">
        <f t="shared" ca="1" si="4"/>
        <v>727323</v>
      </c>
      <c r="C142" s="1" t="s">
        <v>1258</v>
      </c>
      <c r="D142" s="88">
        <f t="shared" ca="1" si="6"/>
        <v>37956980</v>
      </c>
      <c r="G142" t="b">
        <v>0</v>
      </c>
      <c r="H142" t="s">
        <v>85</v>
      </c>
      <c r="K142" s="1" t="b">
        <v>0</v>
      </c>
      <c r="M142" t="b">
        <v>0</v>
      </c>
      <c r="O142" t="s">
        <v>85</v>
      </c>
    </row>
    <row r="143" spans="1:15">
      <c r="A143" s="1" t="s">
        <v>617</v>
      </c>
      <c r="B143">
        <f t="shared" ca="1" si="4"/>
        <v>330941</v>
      </c>
      <c r="C143" s="1" t="s">
        <v>1262</v>
      </c>
      <c r="D143" s="88">
        <f t="shared" ca="1" si="6"/>
        <v>18016093</v>
      </c>
      <c r="G143" t="b">
        <v>0</v>
      </c>
      <c r="H143" t="s">
        <v>85</v>
      </c>
      <c r="K143" s="1" t="b">
        <v>0</v>
      </c>
      <c r="M143" t="b">
        <v>0</v>
      </c>
      <c r="O143" t="s">
        <v>85</v>
      </c>
    </row>
    <row r="144" spans="1:15">
      <c r="A144" s="1" t="s">
        <v>617</v>
      </c>
      <c r="B144">
        <f t="shared" ca="1" si="4"/>
        <v>330941</v>
      </c>
      <c r="C144" s="1" t="s">
        <v>1266</v>
      </c>
      <c r="D144" s="88">
        <f t="shared" ca="1" si="6"/>
        <v>11480611</v>
      </c>
      <c r="G144" t="b">
        <v>0</v>
      </c>
      <c r="H144" t="s">
        <v>85</v>
      </c>
      <c r="K144" s="1" t="b">
        <v>0</v>
      </c>
      <c r="M144" t="b">
        <v>0</v>
      </c>
      <c r="O144" t="s">
        <v>85</v>
      </c>
    </row>
    <row r="145" spans="1:15">
      <c r="A145" s="1" t="s">
        <v>617</v>
      </c>
      <c r="B145">
        <f t="shared" ca="1" si="4"/>
        <v>330941</v>
      </c>
      <c r="C145" s="1" t="s">
        <v>1270</v>
      </c>
      <c r="D145" s="88">
        <f t="shared" ca="1" si="6"/>
        <v>18471546</v>
      </c>
      <c r="G145" t="b">
        <v>0</v>
      </c>
      <c r="H145" t="s">
        <v>85</v>
      </c>
      <c r="K145" s="1" t="b">
        <v>0</v>
      </c>
      <c r="M145" t="b">
        <v>0</v>
      </c>
      <c r="O145" t="s">
        <v>85</v>
      </c>
    </row>
    <row r="146" spans="1:15">
      <c r="A146" s="1" t="s">
        <v>617</v>
      </c>
      <c r="B146">
        <f t="shared" ca="1" si="4"/>
        <v>330941</v>
      </c>
      <c r="C146" s="1" t="s">
        <v>1274</v>
      </c>
      <c r="D146" s="88">
        <f t="shared" ca="1" si="6"/>
        <v>5948928</v>
      </c>
      <c r="G146" t="b">
        <v>0</v>
      </c>
      <c r="H146" t="s">
        <v>85</v>
      </c>
      <c r="K146" s="1" t="b">
        <v>0</v>
      </c>
      <c r="M146" t="b">
        <v>0</v>
      </c>
      <c r="O146" t="s">
        <v>85</v>
      </c>
    </row>
    <row r="147" spans="1:15">
      <c r="A147" s="1" t="s">
        <v>625</v>
      </c>
      <c r="B147">
        <f t="shared" ca="1" si="4"/>
        <v>213697</v>
      </c>
      <c r="C147" s="1" t="s">
        <v>1278</v>
      </c>
      <c r="D147" s="88">
        <f t="shared" ca="1" si="6"/>
        <v>8136681</v>
      </c>
      <c r="G147" t="b">
        <v>0</v>
      </c>
      <c r="H147" t="s">
        <v>85</v>
      </c>
      <c r="K147" s="1" t="b">
        <v>0</v>
      </c>
      <c r="M147" t="b">
        <v>0</v>
      </c>
      <c r="O147" t="s">
        <v>85</v>
      </c>
    </row>
    <row r="148" spans="1:15">
      <c r="A148" s="1" t="s">
        <v>625</v>
      </c>
      <c r="B148">
        <f t="shared" ca="1" si="4"/>
        <v>213697</v>
      </c>
      <c r="C148" s="1" t="s">
        <v>1284</v>
      </c>
      <c r="D148" s="88">
        <f t="shared" ca="1" si="6"/>
        <v>15536716</v>
      </c>
      <c r="G148" t="b">
        <v>0</v>
      </c>
      <c r="H148" t="s">
        <v>85</v>
      </c>
      <c r="K148" s="1" t="b">
        <v>0</v>
      </c>
      <c r="M148" t="b">
        <v>0</v>
      </c>
      <c r="O148" t="s">
        <v>85</v>
      </c>
    </row>
    <row r="149" spans="1:15">
      <c r="A149" s="1" t="s">
        <v>625</v>
      </c>
      <c r="B149">
        <f t="shared" ca="1" si="4"/>
        <v>213697</v>
      </c>
      <c r="C149" s="1" t="s">
        <v>1288</v>
      </c>
      <c r="D149" s="88">
        <f t="shared" ca="1" si="6"/>
        <v>9536643</v>
      </c>
      <c r="G149" t="b">
        <v>0</v>
      </c>
      <c r="H149" t="s">
        <v>85</v>
      </c>
      <c r="K149" s="1" t="b">
        <v>0</v>
      </c>
      <c r="M149" t="b">
        <v>0</v>
      </c>
      <c r="O149" t="s">
        <v>85</v>
      </c>
    </row>
    <row r="150" spans="1:15">
      <c r="A150" s="1" t="s">
        <v>625</v>
      </c>
      <c r="B150">
        <f t="shared" ca="1" si="4"/>
        <v>213697</v>
      </c>
      <c r="C150" s="1" t="s">
        <v>1296</v>
      </c>
      <c r="D150" s="88">
        <f t="shared" ca="1" si="6"/>
        <v>6789690</v>
      </c>
      <c r="G150" t="b">
        <v>0</v>
      </c>
      <c r="H150" t="s">
        <v>85</v>
      </c>
      <c r="K150" s="1" t="b">
        <v>0</v>
      </c>
      <c r="M150" t="b">
        <v>0</v>
      </c>
      <c r="O150" t="s">
        <v>85</v>
      </c>
    </row>
    <row r="151" spans="1:15">
      <c r="A151" s="1" t="s">
        <v>633</v>
      </c>
      <c r="B151">
        <f t="shared" ca="1" si="4"/>
        <v>289437</v>
      </c>
      <c r="C151" s="1" t="s">
        <v>1300</v>
      </c>
      <c r="D151" s="88">
        <f t="shared" ca="1" si="6"/>
        <v>21662759</v>
      </c>
      <c r="G151" t="b">
        <v>0</v>
      </c>
      <c r="H151" t="s">
        <v>85</v>
      </c>
      <c r="K151" s="1" t="b">
        <v>0</v>
      </c>
      <c r="M151" t="b">
        <v>0</v>
      </c>
      <c r="O151" t="s">
        <v>85</v>
      </c>
    </row>
    <row r="152" spans="1:15">
      <c r="A152" s="1" t="s">
        <v>633</v>
      </c>
      <c r="B152">
        <f t="shared" ca="1" si="4"/>
        <v>289437</v>
      </c>
      <c r="C152" s="1" t="s">
        <v>1305</v>
      </c>
      <c r="D152" s="88">
        <f t="shared" ca="1" si="6"/>
        <v>26336016</v>
      </c>
      <c r="G152" t="b">
        <v>0</v>
      </c>
      <c r="H152" t="s">
        <v>85</v>
      </c>
      <c r="K152" s="1" t="b">
        <v>0</v>
      </c>
      <c r="M152" t="b">
        <v>0</v>
      </c>
      <c r="O152" t="s">
        <v>85</v>
      </c>
    </row>
    <row r="153" spans="1:15">
      <c r="A153" s="1" t="s">
        <v>633</v>
      </c>
      <c r="B153">
        <f t="shared" ca="1" si="4"/>
        <v>289437</v>
      </c>
      <c r="C153" s="1" t="s">
        <v>1309</v>
      </c>
      <c r="D153" s="88">
        <f t="shared" ca="1" si="6"/>
        <v>25459939</v>
      </c>
      <c r="G153" t="b">
        <v>0</v>
      </c>
      <c r="H153" t="s">
        <v>85</v>
      </c>
      <c r="K153" s="1" t="b">
        <v>0</v>
      </c>
      <c r="M153" t="b">
        <v>0</v>
      </c>
      <c r="O153" t="s">
        <v>85</v>
      </c>
    </row>
    <row r="154" spans="1:15">
      <c r="A154" s="1" t="s">
        <v>643</v>
      </c>
      <c r="B154">
        <f t="shared" ca="1" si="4"/>
        <v>921783</v>
      </c>
      <c r="C154" s="1" t="s">
        <v>1315</v>
      </c>
      <c r="D154" s="88">
        <f t="shared" ca="1" si="6"/>
        <v>22332618</v>
      </c>
      <c r="G154" t="b">
        <v>0</v>
      </c>
      <c r="H154" t="s">
        <v>85</v>
      </c>
      <c r="K154" s="1" t="b">
        <v>0</v>
      </c>
      <c r="M154" t="b">
        <v>0</v>
      </c>
      <c r="O154" t="s">
        <v>85</v>
      </c>
    </row>
    <row r="155" spans="1:15">
      <c r="A155" s="1" t="s">
        <v>643</v>
      </c>
      <c r="B155">
        <f t="shared" ca="1" si="4"/>
        <v>921783</v>
      </c>
      <c r="C155" s="1" t="s">
        <v>1319</v>
      </c>
      <c r="D155" s="88">
        <f t="shared" ca="1" si="6"/>
        <v>37210095</v>
      </c>
      <c r="G155" t="b">
        <v>0</v>
      </c>
      <c r="H155" t="s">
        <v>85</v>
      </c>
      <c r="K155" s="1" t="b">
        <v>0</v>
      </c>
      <c r="M155" t="b">
        <v>0</v>
      </c>
      <c r="O155" t="s">
        <v>85</v>
      </c>
    </row>
    <row r="156" spans="1:15">
      <c r="A156" s="1" t="s">
        <v>643</v>
      </c>
      <c r="B156">
        <f t="shared" ca="1" si="4"/>
        <v>921783</v>
      </c>
      <c r="C156" s="1" t="s">
        <v>1326</v>
      </c>
      <c r="D156" s="88">
        <f t="shared" ca="1" si="6"/>
        <v>895918</v>
      </c>
      <c r="G156" t="b">
        <v>0</v>
      </c>
      <c r="H156" t="s">
        <v>85</v>
      </c>
      <c r="K156" s="1" t="b">
        <v>0</v>
      </c>
      <c r="M156" t="b">
        <v>0</v>
      </c>
      <c r="O156" t="s">
        <v>85</v>
      </c>
    </row>
    <row r="157" spans="1:15">
      <c r="A157" s="1" t="s">
        <v>650</v>
      </c>
      <c r="B157">
        <f t="shared" ca="1" si="4"/>
        <v>168665</v>
      </c>
      <c r="C157" s="1" t="s">
        <v>1331</v>
      </c>
      <c r="D157" s="88">
        <f t="shared" ca="1" si="6"/>
        <v>26375423</v>
      </c>
      <c r="G157" t="b">
        <v>0</v>
      </c>
      <c r="H157" t="s">
        <v>85</v>
      </c>
      <c r="K157" s="1" t="b">
        <v>0</v>
      </c>
      <c r="M157" t="b">
        <v>0</v>
      </c>
      <c r="O157" t="s">
        <v>85</v>
      </c>
    </row>
    <row r="158" spans="1:15">
      <c r="A158" s="1" t="s">
        <v>650</v>
      </c>
      <c r="B158">
        <f t="shared" ca="1" si="4"/>
        <v>168665</v>
      </c>
      <c r="C158" s="1" t="s">
        <v>1336</v>
      </c>
      <c r="D158" s="88">
        <f t="shared" ca="1" si="6"/>
        <v>11964452</v>
      </c>
      <c r="G158" t="b">
        <v>0</v>
      </c>
      <c r="H158" t="s">
        <v>85</v>
      </c>
      <c r="K158" s="1" t="b">
        <v>0</v>
      </c>
      <c r="M158" t="b">
        <v>0</v>
      </c>
      <c r="O158" t="s">
        <v>85</v>
      </c>
    </row>
    <row r="159" spans="1:15">
      <c r="A159" s="1" t="s">
        <v>650</v>
      </c>
      <c r="B159">
        <f t="shared" ca="1" si="4"/>
        <v>168665</v>
      </c>
      <c r="C159" s="1" t="s">
        <v>1342</v>
      </c>
      <c r="D159" s="88">
        <f t="shared" ca="1" si="6"/>
        <v>22618880</v>
      </c>
      <c r="G159" t="b">
        <v>0</v>
      </c>
      <c r="H159" t="s">
        <v>85</v>
      </c>
      <c r="K159" s="1" t="b">
        <v>0</v>
      </c>
      <c r="M159" t="b">
        <v>0</v>
      </c>
      <c r="O159" t="s">
        <v>85</v>
      </c>
    </row>
    <row r="160" spans="1:15">
      <c r="A160" s="1" t="s">
        <v>657</v>
      </c>
      <c r="B160">
        <f t="shared" ca="1" si="4"/>
        <v>954693</v>
      </c>
      <c r="C160" s="1" t="s">
        <v>1349</v>
      </c>
      <c r="D160" s="88">
        <f t="shared" ca="1" si="6"/>
        <v>29280984</v>
      </c>
      <c r="G160" t="b">
        <v>0</v>
      </c>
      <c r="H160" t="s">
        <v>85</v>
      </c>
      <c r="K160" s="1" t="b">
        <v>0</v>
      </c>
      <c r="M160" t="b">
        <v>0</v>
      </c>
      <c r="O160" t="s">
        <v>85</v>
      </c>
    </row>
    <row r="161" spans="1:15">
      <c r="A161" s="1" t="s">
        <v>657</v>
      </c>
      <c r="B161">
        <f t="shared" ca="1" si="4"/>
        <v>954693</v>
      </c>
      <c r="C161" s="1" t="s">
        <v>1353</v>
      </c>
      <c r="D161" s="88">
        <f t="shared" ca="1" si="6"/>
        <v>29480752</v>
      </c>
      <c r="G161" t="b">
        <v>0</v>
      </c>
      <c r="H161" t="s">
        <v>85</v>
      </c>
      <c r="K161" s="1" t="b">
        <v>0</v>
      </c>
      <c r="M161" t="b">
        <v>0</v>
      </c>
      <c r="O161" t="s">
        <v>85</v>
      </c>
    </row>
    <row r="162" spans="1:15">
      <c r="A162" s="1" t="s">
        <v>657</v>
      </c>
      <c r="B162">
        <f t="shared" ca="1" si="4"/>
        <v>954693</v>
      </c>
      <c r="C162" s="1" t="s">
        <v>1358</v>
      </c>
      <c r="D162" s="88">
        <f t="shared" ca="1" si="6"/>
        <v>26245233</v>
      </c>
      <c r="G162" t="b">
        <v>0</v>
      </c>
      <c r="H162" t="s">
        <v>85</v>
      </c>
      <c r="K162" s="1" t="b">
        <v>0</v>
      </c>
      <c r="M162" t="b">
        <v>0</v>
      </c>
      <c r="O162" t="s">
        <v>85</v>
      </c>
    </row>
    <row r="163" spans="1:15">
      <c r="A163" s="1" t="s">
        <v>664</v>
      </c>
      <c r="B163">
        <f t="shared" ca="1" si="4"/>
        <v>574509</v>
      </c>
      <c r="C163" s="1" t="s">
        <v>1364</v>
      </c>
      <c r="D163" s="88">
        <f t="shared" ca="1" si="6"/>
        <v>3228124</v>
      </c>
      <c r="G163" t="b">
        <v>0</v>
      </c>
      <c r="H163" t="s">
        <v>85</v>
      </c>
      <c r="K163" s="1" t="b">
        <v>0</v>
      </c>
      <c r="M163" t="b">
        <v>0</v>
      </c>
      <c r="O163" t="s">
        <v>85</v>
      </c>
    </row>
    <row r="164" spans="1:15">
      <c r="A164" s="1" t="s">
        <v>664</v>
      </c>
      <c r="B164">
        <f t="shared" ca="1" si="4"/>
        <v>574509</v>
      </c>
      <c r="C164" s="1" t="s">
        <v>1370</v>
      </c>
      <c r="D164" s="88">
        <f t="shared" ca="1" si="6"/>
        <v>32588004</v>
      </c>
      <c r="G164" t="b">
        <v>0</v>
      </c>
      <c r="H164" t="s">
        <v>85</v>
      </c>
      <c r="K164" s="1" t="b">
        <v>0</v>
      </c>
      <c r="M164" t="b">
        <v>0</v>
      </c>
      <c r="O164" t="s">
        <v>85</v>
      </c>
    </row>
    <row r="165" spans="1:15">
      <c r="A165" s="1" t="s">
        <v>679</v>
      </c>
      <c r="B165">
        <f t="shared" ca="1" si="4"/>
        <v>599162</v>
      </c>
      <c r="C165" s="1" t="s">
        <v>1375</v>
      </c>
      <c r="D165" s="88">
        <f t="shared" ca="1" si="6"/>
        <v>25926408</v>
      </c>
      <c r="G165" t="b">
        <v>0</v>
      </c>
      <c r="H165" t="s">
        <v>85</v>
      </c>
      <c r="K165" s="1" t="b">
        <v>0</v>
      </c>
      <c r="M165" t="b">
        <v>0</v>
      </c>
      <c r="O165" t="s">
        <v>85</v>
      </c>
    </row>
    <row r="166" spans="1:15">
      <c r="A166" s="1" t="s">
        <v>679</v>
      </c>
      <c r="B166">
        <f t="shared" ca="1" si="4"/>
        <v>599162</v>
      </c>
      <c r="C166" s="1" t="s">
        <v>1380</v>
      </c>
      <c r="D166" s="88">
        <f t="shared" ca="1" si="6"/>
        <v>9720454</v>
      </c>
      <c r="G166" t="b">
        <v>0</v>
      </c>
      <c r="H166" t="s">
        <v>85</v>
      </c>
      <c r="K166" s="1" t="b">
        <v>0</v>
      </c>
      <c r="M166" t="b">
        <v>0</v>
      </c>
      <c r="O166" t="s">
        <v>85</v>
      </c>
    </row>
    <row r="167" spans="1:15">
      <c r="A167" s="1" t="s">
        <v>679</v>
      </c>
      <c r="B167">
        <f t="shared" ca="1" si="4"/>
        <v>599162</v>
      </c>
      <c r="C167" s="1" t="s">
        <v>1385</v>
      </c>
      <c r="D167" s="88">
        <f t="shared" ca="1" si="6"/>
        <v>39769901</v>
      </c>
      <c r="G167" t="b">
        <v>0</v>
      </c>
      <c r="H167" t="s">
        <v>85</v>
      </c>
      <c r="K167" s="1" t="b">
        <v>0</v>
      </c>
      <c r="M167" t="b">
        <v>0</v>
      </c>
      <c r="O167" t="s">
        <v>85</v>
      </c>
    </row>
    <row r="168" spans="1:15">
      <c r="A168" s="1" t="s">
        <v>679</v>
      </c>
      <c r="B168">
        <f t="shared" ca="1" si="4"/>
        <v>599162</v>
      </c>
      <c r="C168" s="1" t="s">
        <v>1390</v>
      </c>
      <c r="D168" s="88">
        <f t="shared" ca="1" si="6"/>
        <v>7469029</v>
      </c>
      <c r="G168" t="b">
        <v>0</v>
      </c>
      <c r="H168" t="s">
        <v>85</v>
      </c>
      <c r="K168" s="1" t="b">
        <v>0</v>
      </c>
      <c r="M168" t="b">
        <v>0</v>
      </c>
      <c r="O168" t="s">
        <v>85</v>
      </c>
    </row>
    <row r="169" spans="1:15">
      <c r="A169" s="1" t="s">
        <v>679</v>
      </c>
      <c r="B169">
        <f t="shared" ca="1" si="4"/>
        <v>599162</v>
      </c>
      <c r="C169" s="1" t="s">
        <v>1395</v>
      </c>
      <c r="D169" s="88">
        <f t="shared" ca="1" si="6"/>
        <v>37819715</v>
      </c>
      <c r="G169" t="b">
        <v>0</v>
      </c>
      <c r="H169" t="s">
        <v>85</v>
      </c>
      <c r="K169" s="1" t="b">
        <v>0</v>
      </c>
      <c r="M169" t="b">
        <v>0</v>
      </c>
      <c r="O169" t="s">
        <v>85</v>
      </c>
    </row>
    <row r="170" spans="1:15">
      <c r="A170" s="1" t="s">
        <v>687</v>
      </c>
      <c r="B170">
        <f t="shared" ca="1" si="4"/>
        <v>606278</v>
      </c>
      <c r="C170" s="1" t="s">
        <v>1401</v>
      </c>
      <c r="D170" s="88">
        <f t="shared" ca="1" si="6"/>
        <v>31512940</v>
      </c>
      <c r="G170" t="b">
        <v>0</v>
      </c>
      <c r="H170" t="s">
        <v>85</v>
      </c>
      <c r="K170" s="1" t="b">
        <v>0</v>
      </c>
      <c r="M170" t="b">
        <v>0</v>
      </c>
      <c r="O170" t="s">
        <v>85</v>
      </c>
    </row>
    <row r="171" spans="1:15">
      <c r="A171" s="1" t="s">
        <v>687</v>
      </c>
      <c r="B171">
        <f t="shared" ca="1" si="4"/>
        <v>606278</v>
      </c>
      <c r="C171" s="1" t="s">
        <v>1407</v>
      </c>
      <c r="D171" s="88">
        <f t="shared" ca="1" si="6"/>
        <v>7070577</v>
      </c>
      <c r="G171" t="b">
        <v>0</v>
      </c>
      <c r="H171" t="s">
        <v>85</v>
      </c>
      <c r="K171" s="1" t="b">
        <v>0</v>
      </c>
      <c r="M171" t="b">
        <v>0</v>
      </c>
      <c r="O171" t="s">
        <v>85</v>
      </c>
    </row>
    <row r="172" spans="1:15">
      <c r="A172" s="1" t="s">
        <v>687</v>
      </c>
      <c r="B172">
        <f t="shared" ca="1" si="4"/>
        <v>606278</v>
      </c>
      <c r="C172" s="1" t="s">
        <v>1411</v>
      </c>
      <c r="D172" s="88">
        <f t="shared" ca="1" si="6"/>
        <v>23162332</v>
      </c>
      <c r="G172" t="b">
        <v>0</v>
      </c>
      <c r="H172" t="s">
        <v>85</v>
      </c>
      <c r="K172" s="1" t="b">
        <v>0</v>
      </c>
      <c r="M172" t="b">
        <v>0</v>
      </c>
      <c r="O172" t="s">
        <v>85</v>
      </c>
    </row>
    <row r="173" spans="1:15">
      <c r="A173" s="1" t="s">
        <v>687</v>
      </c>
      <c r="B173">
        <f t="shared" ca="1" si="4"/>
        <v>606278</v>
      </c>
      <c r="C173" s="1" t="s">
        <v>1415</v>
      </c>
      <c r="D173" s="88">
        <f t="shared" ca="1" si="6"/>
        <v>21076519</v>
      </c>
      <c r="G173" t="b">
        <v>0</v>
      </c>
      <c r="H173" t="s">
        <v>85</v>
      </c>
      <c r="K173" s="1" t="b">
        <v>0</v>
      </c>
      <c r="M173" t="b">
        <v>0</v>
      </c>
      <c r="O173" t="s">
        <v>85</v>
      </c>
    </row>
    <row r="174" spans="1:15">
      <c r="A174" s="1" t="s">
        <v>687</v>
      </c>
      <c r="B174">
        <f t="shared" ca="1" si="4"/>
        <v>606278</v>
      </c>
      <c r="C174" s="1" t="s">
        <v>1421</v>
      </c>
      <c r="D174" s="88">
        <f t="shared" ca="1" si="6"/>
        <v>33182401</v>
      </c>
      <c r="G174" t="b">
        <v>0</v>
      </c>
      <c r="H174" t="s">
        <v>85</v>
      </c>
      <c r="K174" s="1" t="b">
        <v>0</v>
      </c>
      <c r="M174" t="b">
        <v>0</v>
      </c>
      <c r="O174" t="s">
        <v>85</v>
      </c>
    </row>
    <row r="175" spans="1:15">
      <c r="A175" s="1" t="s">
        <v>698</v>
      </c>
      <c r="B175">
        <f t="shared" ca="1" si="4"/>
        <v>158928</v>
      </c>
      <c r="C175" s="1" t="s">
        <v>1426</v>
      </c>
      <c r="D175" s="88">
        <f t="shared" ca="1" si="6"/>
        <v>11729647</v>
      </c>
      <c r="G175" t="b">
        <v>0</v>
      </c>
      <c r="H175" t="s">
        <v>85</v>
      </c>
      <c r="K175" s="1" t="b">
        <v>0</v>
      </c>
      <c r="M175" t="b">
        <v>0</v>
      </c>
      <c r="O175" t="s">
        <v>85</v>
      </c>
    </row>
    <row r="176" spans="1:15">
      <c r="A176" s="1" t="s">
        <v>698</v>
      </c>
      <c r="B176">
        <f t="shared" ca="1" si="4"/>
        <v>158928</v>
      </c>
      <c r="C176" s="1" t="s">
        <v>1437</v>
      </c>
      <c r="D176" s="88">
        <f t="shared" ca="1" si="6"/>
        <v>31886166</v>
      </c>
      <c r="G176" t="b">
        <v>1</v>
      </c>
      <c r="H176" t="s">
        <v>87</v>
      </c>
      <c r="K176" s="1" t="b">
        <v>0</v>
      </c>
      <c r="M176" t="b">
        <v>1</v>
      </c>
      <c r="O176" t="s">
        <v>87</v>
      </c>
    </row>
    <row r="177" spans="1:15">
      <c r="A177" s="1" t="s">
        <v>698</v>
      </c>
      <c r="B177">
        <f t="shared" ca="1" si="4"/>
        <v>158928</v>
      </c>
      <c r="C177" s="1" t="s">
        <v>1442</v>
      </c>
      <c r="D177" s="88">
        <f t="shared" ca="1" si="6"/>
        <v>24869502</v>
      </c>
      <c r="G177" t="b">
        <v>0</v>
      </c>
      <c r="H177" t="s">
        <v>85</v>
      </c>
      <c r="K177" s="1" t="b">
        <v>0</v>
      </c>
      <c r="M177" t="b">
        <v>0</v>
      </c>
      <c r="O177" t="s">
        <v>85</v>
      </c>
    </row>
    <row r="178" spans="1:15">
      <c r="A178" s="1" t="s">
        <v>707</v>
      </c>
      <c r="B178">
        <f t="shared" ca="1" si="4"/>
        <v>658882</v>
      </c>
      <c r="C178" s="1" t="s">
        <v>1448</v>
      </c>
      <c r="D178" s="88">
        <f t="shared" ca="1" si="6"/>
        <v>4770365</v>
      </c>
      <c r="G178" t="b">
        <v>0</v>
      </c>
      <c r="H178" t="s">
        <v>85</v>
      </c>
      <c r="K178" s="1" t="b">
        <v>0</v>
      </c>
      <c r="M178" t="b">
        <v>0</v>
      </c>
      <c r="O178" t="s">
        <v>85</v>
      </c>
    </row>
    <row r="179" spans="1:15">
      <c r="A179" s="1" t="s">
        <v>707</v>
      </c>
      <c r="B179">
        <f t="shared" ca="1" si="4"/>
        <v>658882</v>
      </c>
      <c r="C179" s="1" t="s">
        <v>1453</v>
      </c>
      <c r="D179" s="88">
        <f t="shared" ca="1" si="6"/>
        <v>17100573</v>
      </c>
      <c r="G179" t="b">
        <v>0</v>
      </c>
      <c r="H179" t="s">
        <v>85</v>
      </c>
      <c r="K179" s="1" t="b">
        <v>0</v>
      </c>
      <c r="M179" t="b">
        <v>0</v>
      </c>
      <c r="O179" t="s">
        <v>85</v>
      </c>
    </row>
    <row r="180" spans="1:15">
      <c r="A180" s="1" t="s">
        <v>707</v>
      </c>
      <c r="B180">
        <f t="shared" ca="1" si="4"/>
        <v>658882</v>
      </c>
      <c r="C180" s="1" t="s">
        <v>1458</v>
      </c>
      <c r="D180" s="88">
        <f t="shared" ca="1" si="6"/>
        <v>22312202</v>
      </c>
      <c r="G180" t="b">
        <v>0</v>
      </c>
      <c r="H180" t="s">
        <v>85</v>
      </c>
      <c r="K180" s="1" t="b">
        <v>0</v>
      </c>
      <c r="M180" t="b">
        <v>0</v>
      </c>
      <c r="O180" t="s">
        <v>85</v>
      </c>
    </row>
    <row r="181" spans="1:15">
      <c r="A181" s="1" t="s">
        <v>714</v>
      </c>
      <c r="B181">
        <f t="shared" ca="1" si="4"/>
        <v>144550</v>
      </c>
      <c r="C181" s="1" t="s">
        <v>1463</v>
      </c>
      <c r="D181" s="88">
        <f t="shared" ca="1" si="6"/>
        <v>27097751</v>
      </c>
      <c r="G181" t="b">
        <v>0</v>
      </c>
      <c r="H181" t="s">
        <v>85</v>
      </c>
      <c r="K181" s="1" t="b">
        <v>0</v>
      </c>
      <c r="M181" t="b">
        <v>0</v>
      </c>
      <c r="O181" t="s">
        <v>85</v>
      </c>
    </row>
    <row r="182" spans="1:15">
      <c r="A182" s="1" t="s">
        <v>714</v>
      </c>
      <c r="B182">
        <f t="shared" ca="1" si="4"/>
        <v>144550</v>
      </c>
      <c r="C182" s="1" t="s">
        <v>1471</v>
      </c>
      <c r="D182" s="88">
        <f t="shared" ca="1" si="6"/>
        <v>38727479</v>
      </c>
      <c r="G182" t="b">
        <v>0</v>
      </c>
      <c r="H182" t="s">
        <v>85</v>
      </c>
      <c r="K182" s="1" t="b">
        <v>0</v>
      </c>
      <c r="M182" t="b">
        <v>0</v>
      </c>
      <c r="O182" t="s">
        <v>85</v>
      </c>
    </row>
    <row r="183" spans="1:15">
      <c r="A183" s="1" t="s">
        <v>714</v>
      </c>
      <c r="B183">
        <f t="shared" ca="1" si="4"/>
        <v>144550</v>
      </c>
      <c r="C183" s="1" t="s">
        <v>1480</v>
      </c>
      <c r="D183" s="88">
        <f t="shared" ca="1" si="6"/>
        <v>27663727</v>
      </c>
      <c r="G183" t="b">
        <v>0</v>
      </c>
      <c r="H183" t="s">
        <v>85</v>
      </c>
      <c r="K183" s="1" t="b">
        <v>0</v>
      </c>
      <c r="M183" t="b">
        <v>0</v>
      </c>
      <c r="O183" t="s">
        <v>85</v>
      </c>
    </row>
    <row r="184" spans="1:15">
      <c r="A184" s="1" t="s">
        <v>724</v>
      </c>
      <c r="B184">
        <f t="shared" ca="1" si="4"/>
        <v>161438</v>
      </c>
      <c r="C184" s="1" t="s">
        <v>1486</v>
      </c>
      <c r="D184" s="88">
        <f t="shared" ca="1" si="6"/>
        <v>13369814</v>
      </c>
      <c r="G184" t="b">
        <v>1</v>
      </c>
      <c r="H184" t="s">
        <v>87</v>
      </c>
      <c r="K184" s="1" t="b">
        <v>0</v>
      </c>
      <c r="M184" t="b">
        <v>1</v>
      </c>
      <c r="O184" t="s">
        <v>87</v>
      </c>
    </row>
    <row r="185" spans="1:15">
      <c r="A185" s="1" t="s">
        <v>724</v>
      </c>
      <c r="B185">
        <f t="shared" ca="1" si="4"/>
        <v>161438</v>
      </c>
      <c r="C185" s="1" t="s">
        <v>1491</v>
      </c>
      <c r="D185" s="88">
        <f t="shared" ca="1" si="6"/>
        <v>10875226</v>
      </c>
      <c r="G185" t="b">
        <v>0</v>
      </c>
      <c r="H185" t="s">
        <v>85</v>
      </c>
      <c r="K185" s="1" t="b">
        <v>0</v>
      </c>
      <c r="M185" t="b">
        <v>0</v>
      </c>
      <c r="O185" t="s">
        <v>85</v>
      </c>
    </row>
    <row r="186" spans="1:15">
      <c r="A186" s="1" t="s">
        <v>724</v>
      </c>
      <c r="B186">
        <f t="shared" ca="1" si="4"/>
        <v>161438</v>
      </c>
      <c r="C186" s="1" t="s">
        <v>1500</v>
      </c>
      <c r="D186" s="88">
        <f t="shared" ca="1" si="6"/>
        <v>33005413</v>
      </c>
      <c r="G186" t="b">
        <v>0</v>
      </c>
      <c r="H186" t="s">
        <v>85</v>
      </c>
      <c r="K186" s="1" t="b">
        <v>0</v>
      </c>
      <c r="M186" t="b">
        <v>0</v>
      </c>
      <c r="O186" t="s">
        <v>85</v>
      </c>
    </row>
    <row r="187" spans="1:15">
      <c r="A187" s="1" t="s">
        <v>737</v>
      </c>
      <c r="B187">
        <f t="shared" ca="1" si="4"/>
        <v>940284</v>
      </c>
      <c r="C187" s="1" t="s">
        <v>1508</v>
      </c>
      <c r="D187" s="88">
        <f t="shared" ca="1" si="6"/>
        <v>31175397</v>
      </c>
      <c r="G187" t="b">
        <v>0</v>
      </c>
      <c r="H187" t="s">
        <v>85</v>
      </c>
      <c r="K187" s="1" t="b">
        <v>0</v>
      </c>
      <c r="M187" t="b">
        <v>0</v>
      </c>
      <c r="O187" t="s">
        <v>85</v>
      </c>
    </row>
    <row r="188" spans="1:15">
      <c r="A188" s="1" t="s">
        <v>737</v>
      </c>
      <c r="B188">
        <f t="shared" ca="1" si="4"/>
        <v>940284</v>
      </c>
      <c r="C188" s="1" t="s">
        <v>1513</v>
      </c>
      <c r="D188" s="88">
        <f t="shared" ca="1" si="6"/>
        <v>10500255</v>
      </c>
      <c r="G188" t="b">
        <v>0</v>
      </c>
      <c r="H188" t="s">
        <v>85</v>
      </c>
      <c r="K188" s="1" t="b">
        <v>0</v>
      </c>
      <c r="M188" t="b">
        <v>0</v>
      </c>
      <c r="O188" t="s">
        <v>85</v>
      </c>
    </row>
    <row r="189" spans="1:15">
      <c r="A189" s="1" t="s">
        <v>737</v>
      </c>
      <c r="B189">
        <f t="shared" ca="1" si="4"/>
        <v>940284</v>
      </c>
      <c r="C189" s="1" t="s">
        <v>1517</v>
      </c>
      <c r="D189" s="88">
        <f t="shared" ca="1" si="6"/>
        <v>28486365</v>
      </c>
      <c r="G189" t="b">
        <v>0</v>
      </c>
      <c r="H189" t="s">
        <v>85</v>
      </c>
      <c r="K189" s="1" t="b">
        <v>0</v>
      </c>
      <c r="M189" t="b">
        <v>0</v>
      </c>
      <c r="O189" t="s">
        <v>85</v>
      </c>
    </row>
    <row r="190" spans="1:15">
      <c r="A190" s="1" t="s">
        <v>746</v>
      </c>
      <c r="B190">
        <f t="shared" ca="1" si="4"/>
        <v>832871</v>
      </c>
      <c r="C190" s="1" t="s">
        <v>1523</v>
      </c>
      <c r="D190" s="88">
        <f t="shared" ca="1" si="6"/>
        <v>14498102</v>
      </c>
      <c r="G190" t="b">
        <v>0</v>
      </c>
      <c r="H190" t="s">
        <v>85</v>
      </c>
      <c r="K190" s="1" t="b">
        <v>0</v>
      </c>
      <c r="M190" t="b">
        <v>0</v>
      </c>
      <c r="O190" t="s">
        <v>85</v>
      </c>
    </row>
    <row r="191" spans="1:15">
      <c r="A191" s="1" t="s">
        <v>746</v>
      </c>
      <c r="B191">
        <f t="shared" ca="1" si="4"/>
        <v>832871</v>
      </c>
      <c r="C191" s="1" t="s">
        <v>1531</v>
      </c>
      <c r="D191" s="88">
        <f t="shared" ca="1" si="6"/>
        <v>10452378</v>
      </c>
      <c r="G191" t="b">
        <v>0</v>
      </c>
      <c r="H191" t="s">
        <v>85</v>
      </c>
      <c r="K191" s="1" t="b">
        <v>0</v>
      </c>
      <c r="M191" t="b">
        <v>0</v>
      </c>
      <c r="O191" t="s">
        <v>85</v>
      </c>
    </row>
    <row r="192" spans="1:15">
      <c r="A192" s="1" t="s">
        <v>746</v>
      </c>
      <c r="B192">
        <f t="shared" ca="1" si="4"/>
        <v>832871</v>
      </c>
      <c r="C192" s="1" t="s">
        <v>1538</v>
      </c>
      <c r="D192" s="88">
        <f t="shared" ca="1" si="6"/>
        <v>2190218</v>
      </c>
      <c r="G192" t="b">
        <v>0</v>
      </c>
      <c r="H192" t="s">
        <v>85</v>
      </c>
      <c r="K192" s="1" t="b">
        <v>0</v>
      </c>
      <c r="M192" t="b">
        <v>0</v>
      </c>
      <c r="O192" t="s">
        <v>85</v>
      </c>
    </row>
    <row r="193" spans="1:15">
      <c r="A193" s="1" t="s">
        <v>754</v>
      </c>
      <c r="B193">
        <f t="shared" ca="1" si="4"/>
        <v>403536</v>
      </c>
      <c r="C193" s="1" t="s">
        <v>1544</v>
      </c>
      <c r="D193" s="88">
        <f t="shared" ca="1" si="6"/>
        <v>24037138</v>
      </c>
      <c r="G193" t="b">
        <v>0</v>
      </c>
      <c r="H193" t="s">
        <v>85</v>
      </c>
      <c r="K193" s="1" t="b">
        <v>0</v>
      </c>
      <c r="M193" t="b">
        <v>0</v>
      </c>
      <c r="O193" t="s">
        <v>85</v>
      </c>
    </row>
    <row r="194" spans="1:15">
      <c r="A194" s="1" t="s">
        <v>754</v>
      </c>
      <c r="B194">
        <f t="shared" ca="1" si="4"/>
        <v>403536</v>
      </c>
      <c r="C194" s="1" t="s">
        <v>1549</v>
      </c>
      <c r="D194" s="88">
        <f t="shared" ca="1" si="6"/>
        <v>7502448</v>
      </c>
      <c r="G194" t="b">
        <v>0</v>
      </c>
      <c r="H194" t="s">
        <v>85</v>
      </c>
      <c r="K194" s="1" t="b">
        <v>0</v>
      </c>
      <c r="M194" t="b">
        <v>0</v>
      </c>
      <c r="O194" t="s">
        <v>85</v>
      </c>
    </row>
    <row r="195" spans="1:15">
      <c r="A195" s="1" t="s">
        <v>754</v>
      </c>
      <c r="B195">
        <f t="shared" ca="1" si="4"/>
        <v>403536</v>
      </c>
      <c r="C195" s="1" t="s">
        <v>1553</v>
      </c>
      <c r="D195" s="88">
        <f t="shared" ca="1" si="6"/>
        <v>16293015</v>
      </c>
      <c r="G195" t="b">
        <v>0</v>
      </c>
      <c r="H195" t="s">
        <v>85</v>
      </c>
      <c r="K195" s="1" t="b">
        <v>0</v>
      </c>
      <c r="M195" t="b">
        <v>0</v>
      </c>
      <c r="O195" t="s">
        <v>85</v>
      </c>
    </row>
    <row r="196" spans="1:15">
      <c r="A196" s="1" t="s">
        <v>763</v>
      </c>
      <c r="B196">
        <f t="shared" ca="1" si="4"/>
        <v>267118</v>
      </c>
      <c r="C196" s="1" t="s">
        <v>1560</v>
      </c>
      <c r="D196" s="88">
        <f t="shared" ca="1" si="6"/>
        <v>6707255</v>
      </c>
      <c r="G196" t="b">
        <v>0</v>
      </c>
      <c r="H196" t="s">
        <v>85</v>
      </c>
      <c r="K196" s="1" t="b">
        <v>0</v>
      </c>
      <c r="M196" t="b">
        <v>0</v>
      </c>
      <c r="O196" t="s">
        <v>85</v>
      </c>
    </row>
    <row r="197" spans="1:15">
      <c r="A197" s="1" t="s">
        <v>763</v>
      </c>
      <c r="B197">
        <f t="shared" ca="1" si="4"/>
        <v>267118</v>
      </c>
      <c r="C197" s="1" t="s">
        <v>1566</v>
      </c>
      <c r="D197" s="88">
        <f t="shared" ca="1" si="6"/>
        <v>34302054</v>
      </c>
      <c r="G197" t="b">
        <v>0</v>
      </c>
      <c r="H197" t="s">
        <v>85</v>
      </c>
      <c r="K197" s="1" t="b">
        <v>0</v>
      </c>
      <c r="M197" t="b">
        <v>0</v>
      </c>
      <c r="O197" t="s">
        <v>85</v>
      </c>
    </row>
    <row r="198" spans="1:15">
      <c r="A198" s="1" t="s">
        <v>763</v>
      </c>
      <c r="B198">
        <f t="shared" ca="1" si="4"/>
        <v>267118</v>
      </c>
      <c r="C198" s="1" t="s">
        <v>1572</v>
      </c>
      <c r="D198" s="88">
        <f t="shared" ca="1" si="6"/>
        <v>16584844</v>
      </c>
      <c r="G198" t="b">
        <v>0</v>
      </c>
      <c r="H198" t="s">
        <v>85</v>
      </c>
      <c r="K198" s="1" t="b">
        <v>0</v>
      </c>
      <c r="M198" t="b">
        <v>0</v>
      </c>
      <c r="O198" t="s">
        <v>85</v>
      </c>
    </row>
    <row r="199" spans="1:15">
      <c r="A199" s="1" t="s">
        <v>778</v>
      </c>
      <c r="B199">
        <f t="shared" ref="B199:B262" ca="1" si="7">VLOOKUP(A199,$C$6:$D$208,2,FALSE)</f>
        <v>107602</v>
      </c>
      <c r="C199" s="1" t="s">
        <v>1578</v>
      </c>
      <c r="D199" s="88">
        <f t="shared" ref="D199:D208" ca="1" si="8">RANDBETWEEN(100000,40000000)</f>
        <v>8639882</v>
      </c>
      <c r="G199" t="b">
        <v>0</v>
      </c>
      <c r="H199" t="s">
        <v>85</v>
      </c>
      <c r="K199" s="1" t="b">
        <v>0</v>
      </c>
      <c r="M199" t="b">
        <v>0</v>
      </c>
      <c r="O199" t="s">
        <v>85</v>
      </c>
    </row>
    <row r="200" spans="1:15">
      <c r="A200" s="1" t="s">
        <v>778</v>
      </c>
      <c r="B200">
        <f t="shared" ca="1" si="7"/>
        <v>107602</v>
      </c>
      <c r="C200" s="1" t="s">
        <v>1584</v>
      </c>
      <c r="D200" s="88">
        <f t="shared" ca="1" si="8"/>
        <v>24852962</v>
      </c>
      <c r="G200" t="b">
        <v>0</v>
      </c>
      <c r="H200" t="s">
        <v>85</v>
      </c>
      <c r="K200" s="1" t="b">
        <v>0</v>
      </c>
      <c r="M200" t="b">
        <v>0</v>
      </c>
      <c r="O200" t="s">
        <v>85</v>
      </c>
    </row>
    <row r="201" spans="1:15">
      <c r="A201" s="1" t="s">
        <v>778</v>
      </c>
      <c r="B201">
        <f t="shared" ca="1" si="7"/>
        <v>107602</v>
      </c>
      <c r="C201" s="1" t="s">
        <v>1590</v>
      </c>
      <c r="D201" s="88">
        <f t="shared" ca="1" si="8"/>
        <v>30666745</v>
      </c>
      <c r="G201" t="b">
        <v>0</v>
      </c>
      <c r="H201" t="s">
        <v>85</v>
      </c>
      <c r="K201" s="1" t="b">
        <v>0</v>
      </c>
      <c r="M201" t="b">
        <v>0</v>
      </c>
      <c r="O201" t="s">
        <v>85</v>
      </c>
    </row>
    <row r="202" spans="1:15">
      <c r="A202" s="1" t="s">
        <v>778</v>
      </c>
      <c r="B202">
        <f t="shared" ca="1" si="7"/>
        <v>107602</v>
      </c>
      <c r="C202" s="1" t="s">
        <v>1595</v>
      </c>
      <c r="D202" s="88">
        <f t="shared" ca="1" si="8"/>
        <v>30378937</v>
      </c>
      <c r="G202" t="b">
        <v>0</v>
      </c>
      <c r="H202" t="s">
        <v>85</v>
      </c>
      <c r="K202" s="1" t="b">
        <v>0</v>
      </c>
      <c r="M202" t="b">
        <v>0</v>
      </c>
      <c r="O202" t="s">
        <v>85</v>
      </c>
    </row>
    <row r="203" spans="1:15">
      <c r="A203" s="1" t="s">
        <v>786</v>
      </c>
      <c r="B203">
        <f t="shared" ca="1" si="7"/>
        <v>961916</v>
      </c>
      <c r="C203" s="1" t="s">
        <v>1600</v>
      </c>
      <c r="D203" s="88">
        <f t="shared" ca="1" si="8"/>
        <v>2107606</v>
      </c>
      <c r="G203" t="b">
        <v>0</v>
      </c>
      <c r="H203" t="s">
        <v>85</v>
      </c>
      <c r="K203" s="1" t="b">
        <v>0</v>
      </c>
      <c r="M203" t="b">
        <v>0</v>
      </c>
      <c r="O203" t="s">
        <v>85</v>
      </c>
    </row>
    <row r="204" spans="1:15">
      <c r="A204" s="1" t="s">
        <v>798</v>
      </c>
      <c r="B204">
        <f t="shared" ca="1" si="7"/>
        <v>334974</v>
      </c>
      <c r="C204" s="1" t="s">
        <v>1606</v>
      </c>
      <c r="D204" s="88">
        <f t="shared" ca="1" si="8"/>
        <v>21319373</v>
      </c>
      <c r="G204" t="b">
        <v>0</v>
      </c>
      <c r="H204" t="s">
        <v>85</v>
      </c>
      <c r="K204" s="1" t="b">
        <v>0</v>
      </c>
      <c r="M204" t="b">
        <v>0</v>
      </c>
      <c r="O204" t="s">
        <v>85</v>
      </c>
    </row>
    <row r="205" spans="1:15">
      <c r="A205" s="1" t="s">
        <v>798</v>
      </c>
      <c r="B205">
        <f t="shared" ca="1" si="7"/>
        <v>334974</v>
      </c>
      <c r="C205" s="1" t="s">
        <v>1613</v>
      </c>
      <c r="D205" s="88">
        <f t="shared" ca="1" si="8"/>
        <v>12440158</v>
      </c>
      <c r="G205" t="b">
        <v>0</v>
      </c>
      <c r="H205" t="s">
        <v>85</v>
      </c>
      <c r="K205" s="1" t="b">
        <v>0</v>
      </c>
      <c r="M205" t="b">
        <v>0</v>
      </c>
      <c r="O205" t="s">
        <v>85</v>
      </c>
    </row>
    <row r="206" spans="1:15">
      <c r="A206" s="1" t="s">
        <v>802</v>
      </c>
      <c r="B206">
        <f t="shared" ca="1" si="7"/>
        <v>481702</v>
      </c>
      <c r="C206" s="1" t="s">
        <v>1619</v>
      </c>
      <c r="D206" s="88">
        <f t="shared" ca="1" si="8"/>
        <v>3788252</v>
      </c>
      <c r="G206" t="b">
        <v>0</v>
      </c>
      <c r="H206" t="s">
        <v>85</v>
      </c>
      <c r="K206" s="1" t="b">
        <v>0</v>
      </c>
      <c r="M206" t="b">
        <v>0</v>
      </c>
      <c r="O206" t="s">
        <v>85</v>
      </c>
    </row>
    <row r="207" spans="1:15">
      <c r="A207" s="1" t="s">
        <v>802</v>
      </c>
      <c r="B207">
        <f t="shared" ca="1" si="7"/>
        <v>481702</v>
      </c>
      <c r="C207" s="1" t="s">
        <v>1623</v>
      </c>
      <c r="D207" s="88">
        <f t="shared" ca="1" si="8"/>
        <v>1579517</v>
      </c>
      <c r="G207" t="b">
        <v>0</v>
      </c>
      <c r="H207" t="s">
        <v>85</v>
      </c>
      <c r="K207" s="1" t="b">
        <v>0</v>
      </c>
      <c r="M207" t="b">
        <v>0</v>
      </c>
      <c r="O207" t="s">
        <v>85</v>
      </c>
    </row>
    <row r="208" spans="1:15">
      <c r="A208" s="1" t="s">
        <v>815</v>
      </c>
      <c r="B208">
        <f t="shared" ca="1" si="7"/>
        <v>375402</v>
      </c>
      <c r="C208" s="1" t="s">
        <v>1628</v>
      </c>
      <c r="D208" s="88">
        <f t="shared" ca="1" si="8"/>
        <v>32673524</v>
      </c>
      <c r="G208" t="b">
        <v>0</v>
      </c>
      <c r="H208" t="s">
        <v>85</v>
      </c>
      <c r="K208" s="1" t="b">
        <v>0</v>
      </c>
      <c r="M208" t="b">
        <v>0</v>
      </c>
      <c r="O208" t="s">
        <v>85</v>
      </c>
    </row>
    <row r="209" spans="1:15">
      <c r="A209" s="1" t="s">
        <v>815</v>
      </c>
      <c r="B209">
        <f t="shared" ca="1" si="7"/>
        <v>375402</v>
      </c>
      <c r="G209" t="b">
        <v>0</v>
      </c>
      <c r="H209" t="s">
        <v>85</v>
      </c>
      <c r="K209" s="1" t="b">
        <v>0</v>
      </c>
      <c r="M209" t="b">
        <v>0</v>
      </c>
      <c r="O209" t="s">
        <v>85</v>
      </c>
    </row>
    <row r="210" spans="1:15">
      <c r="A210" s="1" t="s">
        <v>815</v>
      </c>
      <c r="B210">
        <f t="shared" ca="1" si="7"/>
        <v>375402</v>
      </c>
      <c r="G210" t="b">
        <v>0</v>
      </c>
      <c r="H210" t="s">
        <v>85</v>
      </c>
      <c r="K210" s="1" t="b">
        <v>0</v>
      </c>
      <c r="M210" t="b">
        <v>0</v>
      </c>
      <c r="O210" t="s">
        <v>85</v>
      </c>
    </row>
    <row r="211" spans="1:15">
      <c r="A211" s="1" t="s">
        <v>815</v>
      </c>
      <c r="B211">
        <f t="shared" ca="1" si="7"/>
        <v>375402</v>
      </c>
      <c r="G211" t="b">
        <v>0</v>
      </c>
      <c r="H211" t="s">
        <v>85</v>
      </c>
      <c r="K211" s="1" t="b">
        <v>0</v>
      </c>
      <c r="M211" t="b">
        <v>0</v>
      </c>
      <c r="O211" t="s">
        <v>85</v>
      </c>
    </row>
    <row r="212" spans="1:15">
      <c r="A212" s="1" t="s">
        <v>815</v>
      </c>
      <c r="B212">
        <f t="shared" ca="1" si="7"/>
        <v>375402</v>
      </c>
      <c r="G212" t="b">
        <v>0</v>
      </c>
      <c r="H212" t="s">
        <v>85</v>
      </c>
      <c r="K212" s="1" t="b">
        <v>0</v>
      </c>
      <c r="M212" t="b">
        <v>0</v>
      </c>
      <c r="O212" t="s">
        <v>85</v>
      </c>
    </row>
    <row r="213" spans="1:15">
      <c r="A213" s="1" t="s">
        <v>213</v>
      </c>
      <c r="B213">
        <f t="shared" ca="1" si="7"/>
        <v>323060</v>
      </c>
      <c r="G213" t="b">
        <v>0</v>
      </c>
      <c r="H213" t="s">
        <v>85</v>
      </c>
      <c r="K213" s="1" t="b">
        <v>0</v>
      </c>
      <c r="M213" t="b">
        <v>0</v>
      </c>
      <c r="O213" t="s">
        <v>85</v>
      </c>
    </row>
    <row r="214" spans="1:15">
      <c r="A214" s="1" t="s">
        <v>213</v>
      </c>
      <c r="B214">
        <f t="shared" ca="1" si="7"/>
        <v>323060</v>
      </c>
      <c r="G214" t="b">
        <v>0</v>
      </c>
      <c r="H214" t="s">
        <v>85</v>
      </c>
      <c r="K214" s="1" t="b">
        <v>0</v>
      </c>
      <c r="M214" t="b">
        <v>0</v>
      </c>
      <c r="O214" t="s">
        <v>85</v>
      </c>
    </row>
    <row r="215" spans="1:15">
      <c r="A215" s="1" t="s">
        <v>213</v>
      </c>
      <c r="B215">
        <f t="shared" ca="1" si="7"/>
        <v>323060</v>
      </c>
      <c r="G215" t="b">
        <v>0</v>
      </c>
      <c r="H215" t="s">
        <v>85</v>
      </c>
      <c r="K215" s="1" t="b">
        <v>0</v>
      </c>
      <c r="M215" t="b">
        <v>0</v>
      </c>
      <c r="O215" t="s">
        <v>85</v>
      </c>
    </row>
    <row r="216" spans="1:15">
      <c r="A216" s="1" t="s">
        <v>829</v>
      </c>
      <c r="B216">
        <f t="shared" ca="1" si="7"/>
        <v>304514</v>
      </c>
      <c r="G216" t="b">
        <v>0</v>
      </c>
      <c r="H216" t="s">
        <v>85</v>
      </c>
      <c r="K216" s="1" t="b">
        <v>0</v>
      </c>
      <c r="M216" t="b">
        <v>0</v>
      </c>
      <c r="O216" t="s">
        <v>85</v>
      </c>
    </row>
    <row r="217" spans="1:15">
      <c r="A217" s="1" t="s">
        <v>829</v>
      </c>
      <c r="B217">
        <f t="shared" ca="1" si="7"/>
        <v>304514</v>
      </c>
      <c r="G217" t="b">
        <v>0</v>
      </c>
      <c r="H217" t="s">
        <v>85</v>
      </c>
      <c r="K217" s="1" t="b">
        <v>0</v>
      </c>
      <c r="M217" t="b">
        <v>0</v>
      </c>
      <c r="O217" t="s">
        <v>85</v>
      </c>
    </row>
    <row r="218" spans="1:15">
      <c r="A218" s="1" t="s">
        <v>829</v>
      </c>
      <c r="B218">
        <f t="shared" ca="1" si="7"/>
        <v>304514</v>
      </c>
      <c r="G218" t="b">
        <v>0</v>
      </c>
      <c r="H218" t="s">
        <v>85</v>
      </c>
      <c r="K218" s="1" t="b">
        <v>0</v>
      </c>
      <c r="M218" t="b">
        <v>0</v>
      </c>
      <c r="O218" t="s">
        <v>85</v>
      </c>
    </row>
    <row r="219" spans="1:15">
      <c r="A219" s="1" t="s">
        <v>836</v>
      </c>
      <c r="B219">
        <f t="shared" ca="1" si="7"/>
        <v>209255</v>
      </c>
      <c r="G219" t="b">
        <v>0</v>
      </c>
      <c r="H219" t="s">
        <v>85</v>
      </c>
      <c r="K219" s="1" t="b">
        <v>0</v>
      </c>
      <c r="M219" t="b">
        <v>0</v>
      </c>
      <c r="O219" t="s">
        <v>85</v>
      </c>
    </row>
    <row r="220" spans="1:15">
      <c r="A220" s="1" t="s">
        <v>836</v>
      </c>
      <c r="B220">
        <f t="shared" ca="1" si="7"/>
        <v>209255</v>
      </c>
      <c r="G220" t="b">
        <v>0</v>
      </c>
      <c r="H220" t="s">
        <v>85</v>
      </c>
      <c r="K220" s="1" t="b">
        <v>0</v>
      </c>
      <c r="M220" t="b">
        <v>0</v>
      </c>
      <c r="O220" t="s">
        <v>85</v>
      </c>
    </row>
    <row r="221" spans="1:15">
      <c r="A221" s="1" t="s">
        <v>836</v>
      </c>
      <c r="B221">
        <f t="shared" ca="1" si="7"/>
        <v>209255</v>
      </c>
      <c r="G221" t="b">
        <v>0</v>
      </c>
      <c r="H221" t="s">
        <v>85</v>
      </c>
      <c r="K221" s="1" t="b">
        <v>0</v>
      </c>
      <c r="M221" t="b">
        <v>0</v>
      </c>
      <c r="O221" t="s">
        <v>85</v>
      </c>
    </row>
    <row r="222" spans="1:15">
      <c r="A222" s="1" t="s">
        <v>845</v>
      </c>
      <c r="B222">
        <f t="shared" ca="1" si="7"/>
        <v>194198</v>
      </c>
      <c r="G222" t="b">
        <v>0</v>
      </c>
      <c r="H222" t="s">
        <v>85</v>
      </c>
      <c r="K222" s="1" t="b">
        <v>0</v>
      </c>
      <c r="M222" t="b">
        <v>0</v>
      </c>
      <c r="O222" t="s">
        <v>85</v>
      </c>
    </row>
    <row r="223" spans="1:15">
      <c r="A223" s="1" t="s">
        <v>845</v>
      </c>
      <c r="B223">
        <f t="shared" ca="1" si="7"/>
        <v>194198</v>
      </c>
      <c r="G223" t="b">
        <v>0</v>
      </c>
      <c r="H223" t="s">
        <v>85</v>
      </c>
      <c r="K223" s="1" t="b">
        <v>0</v>
      </c>
      <c r="M223" t="b">
        <v>0</v>
      </c>
      <c r="O223" t="s">
        <v>85</v>
      </c>
    </row>
    <row r="224" spans="1:15">
      <c r="A224" s="1" t="s">
        <v>852</v>
      </c>
      <c r="B224">
        <f t="shared" ca="1" si="7"/>
        <v>151736</v>
      </c>
      <c r="G224" t="b">
        <v>0</v>
      </c>
      <c r="H224" t="s">
        <v>85</v>
      </c>
      <c r="K224" s="1" t="b">
        <v>0</v>
      </c>
      <c r="M224" t="b">
        <v>0</v>
      </c>
      <c r="O224" t="s">
        <v>85</v>
      </c>
    </row>
    <row r="225" spans="1:15">
      <c r="A225" s="1" t="s">
        <v>852</v>
      </c>
      <c r="B225">
        <f t="shared" ca="1" si="7"/>
        <v>151736</v>
      </c>
      <c r="G225" t="b">
        <v>0</v>
      </c>
      <c r="H225" t="s">
        <v>85</v>
      </c>
      <c r="K225" s="1" t="b">
        <v>0</v>
      </c>
      <c r="M225" t="b">
        <v>0</v>
      </c>
      <c r="O225" t="s">
        <v>85</v>
      </c>
    </row>
    <row r="226" spans="1:15">
      <c r="A226" s="1" t="s">
        <v>852</v>
      </c>
      <c r="B226">
        <f t="shared" ca="1" si="7"/>
        <v>151736</v>
      </c>
      <c r="G226" t="b">
        <v>0</v>
      </c>
      <c r="H226" t="s">
        <v>85</v>
      </c>
      <c r="K226" s="1" t="b">
        <v>0</v>
      </c>
      <c r="M226" t="b">
        <v>0</v>
      </c>
      <c r="O226" t="s">
        <v>85</v>
      </c>
    </row>
    <row r="227" spans="1:15">
      <c r="A227" s="1" t="s">
        <v>858</v>
      </c>
      <c r="B227">
        <f t="shared" ca="1" si="7"/>
        <v>514438</v>
      </c>
      <c r="G227" t="b">
        <v>0</v>
      </c>
      <c r="H227" t="s">
        <v>85</v>
      </c>
      <c r="K227" s="1" t="b">
        <v>0</v>
      </c>
      <c r="M227" t="b">
        <v>0</v>
      </c>
      <c r="O227" t="s">
        <v>85</v>
      </c>
    </row>
    <row r="228" spans="1:15">
      <c r="A228" s="1" t="s">
        <v>858</v>
      </c>
      <c r="B228">
        <f t="shared" ca="1" si="7"/>
        <v>514438</v>
      </c>
      <c r="G228" t="b">
        <v>0</v>
      </c>
      <c r="H228" t="s">
        <v>85</v>
      </c>
      <c r="K228" s="1" t="b">
        <v>0</v>
      </c>
      <c r="M228" t="b">
        <v>0</v>
      </c>
      <c r="O228" t="s">
        <v>85</v>
      </c>
    </row>
    <row r="229" spans="1:15">
      <c r="A229" s="1" t="s">
        <v>858</v>
      </c>
      <c r="B229">
        <f t="shared" ca="1" si="7"/>
        <v>514438</v>
      </c>
      <c r="G229" t="b">
        <v>0</v>
      </c>
      <c r="H229" t="s">
        <v>85</v>
      </c>
      <c r="K229" s="1" t="b">
        <v>0</v>
      </c>
      <c r="M229" t="b">
        <v>0</v>
      </c>
      <c r="O229" t="s">
        <v>85</v>
      </c>
    </row>
    <row r="230" spans="1:15">
      <c r="A230" s="1" t="s">
        <v>858</v>
      </c>
      <c r="B230">
        <f t="shared" ca="1" si="7"/>
        <v>514438</v>
      </c>
      <c r="G230" t="b">
        <v>0</v>
      </c>
      <c r="H230" t="s">
        <v>85</v>
      </c>
      <c r="K230" s="1" t="b">
        <v>0</v>
      </c>
      <c r="M230" t="b">
        <v>0</v>
      </c>
      <c r="O230" t="s">
        <v>85</v>
      </c>
    </row>
    <row r="231" spans="1:15">
      <c r="A231" s="1" t="s">
        <v>866</v>
      </c>
      <c r="B231">
        <f t="shared" ca="1" si="7"/>
        <v>886818</v>
      </c>
      <c r="G231" t="b">
        <v>0</v>
      </c>
      <c r="H231" t="s">
        <v>85</v>
      </c>
      <c r="K231" s="1" t="b">
        <v>0</v>
      </c>
      <c r="M231" t="b">
        <v>0</v>
      </c>
      <c r="O231" t="s">
        <v>85</v>
      </c>
    </row>
    <row r="232" spans="1:15">
      <c r="A232" s="1" t="s">
        <v>866</v>
      </c>
      <c r="B232">
        <f t="shared" ca="1" si="7"/>
        <v>886818</v>
      </c>
      <c r="G232" t="b">
        <v>0</v>
      </c>
      <c r="H232" t="s">
        <v>85</v>
      </c>
      <c r="K232" s="1" t="b">
        <v>0</v>
      </c>
      <c r="M232" t="b">
        <v>0</v>
      </c>
      <c r="O232" t="s">
        <v>85</v>
      </c>
    </row>
    <row r="233" spans="1:15">
      <c r="A233" s="1" t="s">
        <v>866</v>
      </c>
      <c r="B233">
        <f t="shared" ca="1" si="7"/>
        <v>886818</v>
      </c>
      <c r="G233" t="b">
        <v>0</v>
      </c>
      <c r="H233" t="s">
        <v>85</v>
      </c>
      <c r="K233" s="1" t="b">
        <v>0</v>
      </c>
      <c r="M233" t="b">
        <v>0</v>
      </c>
      <c r="O233" t="s">
        <v>85</v>
      </c>
    </row>
    <row r="234" spans="1:15">
      <c r="A234" s="1" t="s">
        <v>870</v>
      </c>
      <c r="B234">
        <f t="shared" ca="1" si="7"/>
        <v>312742</v>
      </c>
      <c r="G234" t="b">
        <v>0</v>
      </c>
      <c r="H234" t="s">
        <v>85</v>
      </c>
      <c r="K234" s="1" t="b">
        <v>0</v>
      </c>
      <c r="M234" t="b">
        <v>0</v>
      </c>
      <c r="O234" t="s">
        <v>85</v>
      </c>
    </row>
    <row r="235" spans="1:15">
      <c r="A235" s="1" t="s">
        <v>870</v>
      </c>
      <c r="B235">
        <f t="shared" ca="1" si="7"/>
        <v>312742</v>
      </c>
      <c r="G235" t="b">
        <v>0</v>
      </c>
      <c r="H235" t="s">
        <v>85</v>
      </c>
      <c r="K235" s="1" t="b">
        <v>0</v>
      </c>
      <c r="M235" t="b">
        <v>0</v>
      </c>
      <c r="O235" t="s">
        <v>85</v>
      </c>
    </row>
    <row r="236" spans="1:15">
      <c r="A236" s="1" t="s">
        <v>870</v>
      </c>
      <c r="B236">
        <f t="shared" ca="1" si="7"/>
        <v>312742</v>
      </c>
      <c r="G236" t="b">
        <v>0</v>
      </c>
      <c r="H236" t="s">
        <v>85</v>
      </c>
      <c r="K236" s="1" t="b">
        <v>0</v>
      </c>
      <c r="M236" t="b">
        <v>0</v>
      </c>
      <c r="O236" t="s">
        <v>85</v>
      </c>
    </row>
    <row r="237" spans="1:15">
      <c r="A237" s="1" t="s">
        <v>876</v>
      </c>
      <c r="B237">
        <f t="shared" ca="1" si="7"/>
        <v>745466</v>
      </c>
      <c r="G237" t="b">
        <v>0</v>
      </c>
      <c r="H237" t="s">
        <v>85</v>
      </c>
      <c r="K237" s="1" t="b">
        <v>0</v>
      </c>
      <c r="M237" t="b">
        <v>0</v>
      </c>
      <c r="O237" t="s">
        <v>85</v>
      </c>
    </row>
    <row r="238" spans="1:15">
      <c r="A238" s="1" t="s">
        <v>876</v>
      </c>
      <c r="B238">
        <f t="shared" ca="1" si="7"/>
        <v>745466</v>
      </c>
      <c r="G238" t="b">
        <v>0</v>
      </c>
      <c r="H238" t="s">
        <v>85</v>
      </c>
      <c r="K238" s="1" t="b">
        <v>0</v>
      </c>
      <c r="M238" t="b">
        <v>0</v>
      </c>
      <c r="O238" t="s">
        <v>85</v>
      </c>
    </row>
    <row r="239" spans="1:15">
      <c r="A239" s="1" t="s">
        <v>876</v>
      </c>
      <c r="B239">
        <f t="shared" ca="1" si="7"/>
        <v>745466</v>
      </c>
      <c r="G239" t="b">
        <v>0</v>
      </c>
      <c r="H239" t="s">
        <v>85</v>
      </c>
      <c r="K239" s="1" t="b">
        <v>0</v>
      </c>
      <c r="M239" t="b">
        <v>0</v>
      </c>
      <c r="O239" t="s">
        <v>85</v>
      </c>
    </row>
    <row r="240" spans="1:15">
      <c r="A240" s="1" t="s">
        <v>881</v>
      </c>
      <c r="B240">
        <f t="shared" ca="1" si="7"/>
        <v>496856</v>
      </c>
      <c r="G240" t="b">
        <v>0</v>
      </c>
      <c r="H240" t="s">
        <v>85</v>
      </c>
      <c r="K240" s="1" t="b">
        <v>0</v>
      </c>
      <c r="M240" t="b">
        <v>0</v>
      </c>
      <c r="O240" t="s">
        <v>85</v>
      </c>
    </row>
    <row r="241" spans="1:15">
      <c r="A241" s="1" t="s">
        <v>881</v>
      </c>
      <c r="B241">
        <f t="shared" ca="1" si="7"/>
        <v>496856</v>
      </c>
      <c r="G241" t="b">
        <v>0</v>
      </c>
      <c r="H241" t="s">
        <v>85</v>
      </c>
      <c r="K241" s="1" t="b">
        <v>0</v>
      </c>
      <c r="M241" t="b">
        <v>0</v>
      </c>
      <c r="O241" t="s">
        <v>85</v>
      </c>
    </row>
    <row r="242" spans="1:15">
      <c r="A242" s="1" t="s">
        <v>881</v>
      </c>
      <c r="B242">
        <f t="shared" ca="1" si="7"/>
        <v>496856</v>
      </c>
      <c r="G242" t="b">
        <v>0</v>
      </c>
      <c r="H242" t="s">
        <v>85</v>
      </c>
      <c r="K242" s="1" t="b">
        <v>0</v>
      </c>
      <c r="M242" t="b">
        <v>0</v>
      </c>
      <c r="O242" t="s">
        <v>85</v>
      </c>
    </row>
    <row r="243" spans="1:15">
      <c r="A243" s="1" t="s">
        <v>881</v>
      </c>
      <c r="B243">
        <f t="shared" ca="1" si="7"/>
        <v>496856</v>
      </c>
      <c r="G243" t="b">
        <v>0</v>
      </c>
      <c r="H243" t="s">
        <v>85</v>
      </c>
      <c r="K243" s="1" t="b">
        <v>0</v>
      </c>
      <c r="M243" t="b">
        <v>0</v>
      </c>
      <c r="O243" t="s">
        <v>85</v>
      </c>
    </row>
    <row r="244" spans="1:15">
      <c r="A244" s="1" t="s">
        <v>889</v>
      </c>
      <c r="B244">
        <f t="shared" ca="1" si="7"/>
        <v>388522</v>
      </c>
      <c r="G244" t="b">
        <v>0</v>
      </c>
      <c r="H244" t="s">
        <v>85</v>
      </c>
      <c r="K244" s="1" t="b">
        <v>0</v>
      </c>
      <c r="M244" t="b">
        <v>0</v>
      </c>
      <c r="O244" t="s">
        <v>85</v>
      </c>
    </row>
    <row r="245" spans="1:15">
      <c r="A245" s="1" t="s">
        <v>889</v>
      </c>
      <c r="B245">
        <f t="shared" ca="1" si="7"/>
        <v>388522</v>
      </c>
      <c r="G245" t="b">
        <v>0</v>
      </c>
      <c r="H245" t="s">
        <v>85</v>
      </c>
      <c r="K245" s="1" t="b">
        <v>0</v>
      </c>
      <c r="M245" t="b">
        <v>0</v>
      </c>
      <c r="O245" t="s">
        <v>85</v>
      </c>
    </row>
    <row r="246" spans="1:15">
      <c r="A246" s="1" t="s">
        <v>889</v>
      </c>
      <c r="B246">
        <f t="shared" ca="1" si="7"/>
        <v>388522</v>
      </c>
      <c r="G246" t="b">
        <v>0</v>
      </c>
      <c r="H246" t="s">
        <v>85</v>
      </c>
      <c r="K246" s="1" t="b">
        <v>0</v>
      </c>
      <c r="M246" t="b">
        <v>0</v>
      </c>
      <c r="O246" t="s">
        <v>85</v>
      </c>
    </row>
    <row r="247" spans="1:15">
      <c r="A247" s="1" t="s">
        <v>895</v>
      </c>
      <c r="B247">
        <f t="shared" ca="1" si="7"/>
        <v>654447</v>
      </c>
      <c r="G247" t="b">
        <v>0</v>
      </c>
      <c r="H247" t="s">
        <v>85</v>
      </c>
      <c r="K247" s="1" t="b">
        <v>0</v>
      </c>
      <c r="M247" t="b">
        <v>0</v>
      </c>
      <c r="O247" t="s">
        <v>85</v>
      </c>
    </row>
    <row r="248" spans="1:15">
      <c r="A248" s="1" t="s">
        <v>895</v>
      </c>
      <c r="B248">
        <f t="shared" ca="1" si="7"/>
        <v>654447</v>
      </c>
      <c r="G248" t="b">
        <v>0</v>
      </c>
      <c r="H248" t="s">
        <v>85</v>
      </c>
      <c r="K248" s="1" t="b">
        <v>0</v>
      </c>
      <c r="M248" t="b">
        <v>0</v>
      </c>
      <c r="O248" t="s">
        <v>85</v>
      </c>
    </row>
    <row r="249" spans="1:15">
      <c r="A249" s="1" t="s">
        <v>895</v>
      </c>
      <c r="B249">
        <f t="shared" ca="1" si="7"/>
        <v>654447</v>
      </c>
      <c r="G249" t="b">
        <v>0</v>
      </c>
      <c r="H249" t="s">
        <v>85</v>
      </c>
      <c r="K249" s="1" t="b">
        <v>0</v>
      </c>
      <c r="M249" t="b">
        <v>0</v>
      </c>
      <c r="O249" t="s">
        <v>85</v>
      </c>
    </row>
    <row r="250" spans="1:15">
      <c r="A250" s="1" t="s">
        <v>895</v>
      </c>
      <c r="B250">
        <f t="shared" ca="1" si="7"/>
        <v>654447</v>
      </c>
      <c r="G250" t="b">
        <v>0</v>
      </c>
      <c r="H250" t="s">
        <v>85</v>
      </c>
      <c r="K250" s="1" t="b">
        <v>0</v>
      </c>
      <c r="M250" t="b">
        <v>0</v>
      </c>
      <c r="O250" t="s">
        <v>85</v>
      </c>
    </row>
    <row r="251" spans="1:15">
      <c r="A251" s="1" t="s">
        <v>900</v>
      </c>
      <c r="B251">
        <f t="shared" ca="1" si="7"/>
        <v>684079</v>
      </c>
      <c r="G251" t="b">
        <v>0</v>
      </c>
      <c r="H251" t="s">
        <v>85</v>
      </c>
      <c r="K251" s="1" t="b">
        <v>0</v>
      </c>
      <c r="M251" t="b">
        <v>0</v>
      </c>
      <c r="O251" t="s">
        <v>85</v>
      </c>
    </row>
    <row r="252" spans="1:15">
      <c r="A252" s="1" t="s">
        <v>900</v>
      </c>
      <c r="B252">
        <f t="shared" ca="1" si="7"/>
        <v>684079</v>
      </c>
      <c r="G252" t="b">
        <v>0</v>
      </c>
      <c r="H252" t="s">
        <v>85</v>
      </c>
      <c r="K252" s="1" t="b">
        <v>0</v>
      </c>
      <c r="M252" t="b">
        <v>0</v>
      </c>
      <c r="O252" t="s">
        <v>85</v>
      </c>
    </row>
    <row r="253" spans="1:15">
      <c r="A253" s="1" t="s">
        <v>900</v>
      </c>
      <c r="B253">
        <f t="shared" ca="1" si="7"/>
        <v>684079</v>
      </c>
      <c r="G253" t="b">
        <v>0</v>
      </c>
      <c r="H253" t="s">
        <v>85</v>
      </c>
      <c r="K253" s="1" t="b">
        <v>0</v>
      </c>
      <c r="M253" t="b">
        <v>0</v>
      </c>
      <c r="O253" t="s">
        <v>85</v>
      </c>
    </row>
    <row r="254" spans="1:15">
      <c r="A254" s="1" t="s">
        <v>904</v>
      </c>
      <c r="B254">
        <f t="shared" ca="1" si="7"/>
        <v>502123</v>
      </c>
      <c r="G254" t="b">
        <v>0</v>
      </c>
      <c r="H254" t="s">
        <v>85</v>
      </c>
      <c r="K254" s="1" t="b">
        <v>0</v>
      </c>
      <c r="M254" t="b">
        <v>0</v>
      </c>
      <c r="O254" t="s">
        <v>85</v>
      </c>
    </row>
    <row r="255" spans="1:15">
      <c r="A255" s="1" t="s">
        <v>904</v>
      </c>
      <c r="B255">
        <f t="shared" ca="1" si="7"/>
        <v>502123</v>
      </c>
      <c r="G255" t="b">
        <v>0</v>
      </c>
      <c r="H255" t="s">
        <v>85</v>
      </c>
      <c r="K255" s="1" t="b">
        <v>0</v>
      </c>
      <c r="M255" t="b">
        <v>0</v>
      </c>
      <c r="O255" t="s">
        <v>85</v>
      </c>
    </row>
    <row r="256" spans="1:15">
      <c r="A256" s="1" t="s">
        <v>904</v>
      </c>
      <c r="B256">
        <f t="shared" ca="1" si="7"/>
        <v>502123</v>
      </c>
      <c r="G256" t="b">
        <v>0</v>
      </c>
      <c r="H256" t="s">
        <v>85</v>
      </c>
      <c r="K256" s="1" t="b">
        <v>0</v>
      </c>
      <c r="M256" t="b">
        <v>0</v>
      </c>
      <c r="O256" t="s">
        <v>85</v>
      </c>
    </row>
    <row r="257" spans="1:15">
      <c r="A257" s="1" t="s">
        <v>904</v>
      </c>
      <c r="B257">
        <f t="shared" ca="1" si="7"/>
        <v>502123</v>
      </c>
      <c r="G257" t="b">
        <v>0</v>
      </c>
      <c r="H257" t="s">
        <v>85</v>
      </c>
      <c r="K257" s="1" t="b">
        <v>0</v>
      </c>
      <c r="M257" t="b">
        <v>0</v>
      </c>
      <c r="O257" t="s">
        <v>85</v>
      </c>
    </row>
    <row r="258" spans="1:15">
      <c r="A258" s="1" t="s">
        <v>909</v>
      </c>
      <c r="B258">
        <f t="shared" ca="1" si="7"/>
        <v>898614</v>
      </c>
      <c r="G258" t="b">
        <v>0</v>
      </c>
      <c r="H258" t="s">
        <v>85</v>
      </c>
      <c r="K258" s="1" t="b">
        <v>0</v>
      </c>
      <c r="M258" t="b">
        <v>0</v>
      </c>
      <c r="O258" t="s">
        <v>85</v>
      </c>
    </row>
    <row r="259" spans="1:15">
      <c r="A259" s="1" t="s">
        <v>909</v>
      </c>
      <c r="B259">
        <f t="shared" ca="1" si="7"/>
        <v>898614</v>
      </c>
      <c r="G259" t="b">
        <v>0</v>
      </c>
      <c r="H259" t="s">
        <v>85</v>
      </c>
      <c r="K259" s="1" t="b">
        <v>0</v>
      </c>
      <c r="M259" t="b">
        <v>0</v>
      </c>
      <c r="O259" t="s">
        <v>85</v>
      </c>
    </row>
    <row r="260" spans="1:15">
      <c r="A260" s="1" t="s">
        <v>909</v>
      </c>
      <c r="B260">
        <f t="shared" ca="1" si="7"/>
        <v>898614</v>
      </c>
      <c r="G260" t="b">
        <v>0</v>
      </c>
      <c r="H260" t="s">
        <v>85</v>
      </c>
      <c r="K260" s="1" t="b">
        <v>0</v>
      </c>
      <c r="M260" t="b">
        <v>0</v>
      </c>
      <c r="O260" t="s">
        <v>85</v>
      </c>
    </row>
    <row r="261" spans="1:15">
      <c r="A261" s="1" t="s">
        <v>913</v>
      </c>
      <c r="B261">
        <f t="shared" ca="1" si="7"/>
        <v>317033</v>
      </c>
      <c r="G261" t="b">
        <v>0</v>
      </c>
      <c r="H261" t="s">
        <v>85</v>
      </c>
      <c r="K261" s="1" t="b">
        <v>0</v>
      </c>
      <c r="M261" t="b">
        <v>0</v>
      </c>
      <c r="O261" t="s">
        <v>85</v>
      </c>
    </row>
    <row r="262" spans="1:15">
      <c r="A262" s="1" t="s">
        <v>913</v>
      </c>
      <c r="B262">
        <f t="shared" ca="1" si="7"/>
        <v>317033</v>
      </c>
      <c r="G262" t="b">
        <v>0</v>
      </c>
      <c r="H262" t="s">
        <v>85</v>
      </c>
      <c r="K262" s="1" t="b">
        <v>0</v>
      </c>
      <c r="M262" t="b">
        <v>0</v>
      </c>
      <c r="O262" t="s">
        <v>85</v>
      </c>
    </row>
    <row r="263" spans="1:15">
      <c r="A263" s="1" t="s">
        <v>913</v>
      </c>
      <c r="B263">
        <f t="shared" ref="B263:B326" ca="1" si="9">VLOOKUP(A263,$C$6:$D$208,2,FALSE)</f>
        <v>317033</v>
      </c>
      <c r="G263" t="b">
        <v>0</v>
      </c>
      <c r="H263" t="s">
        <v>85</v>
      </c>
      <c r="K263" s="1" t="b">
        <v>0</v>
      </c>
      <c r="M263" t="b">
        <v>0</v>
      </c>
      <c r="O263" t="s">
        <v>85</v>
      </c>
    </row>
    <row r="264" spans="1:15">
      <c r="A264" s="1" t="s">
        <v>923</v>
      </c>
      <c r="B264">
        <f t="shared" ca="1" si="9"/>
        <v>120562</v>
      </c>
      <c r="G264" t="b">
        <v>0</v>
      </c>
      <c r="H264" t="s">
        <v>85</v>
      </c>
      <c r="K264" s="1" t="b">
        <v>0</v>
      </c>
      <c r="M264" t="b">
        <v>0</v>
      </c>
      <c r="O264" t="s">
        <v>85</v>
      </c>
    </row>
    <row r="265" spans="1:15">
      <c r="A265" s="1" t="s">
        <v>923</v>
      </c>
      <c r="B265">
        <f t="shared" ca="1" si="9"/>
        <v>120562</v>
      </c>
      <c r="G265" t="b">
        <v>0</v>
      </c>
      <c r="H265" t="s">
        <v>85</v>
      </c>
      <c r="K265" s="1" t="b">
        <v>0</v>
      </c>
      <c r="M265" t="b">
        <v>0</v>
      </c>
      <c r="O265" t="s">
        <v>85</v>
      </c>
    </row>
    <row r="266" spans="1:15">
      <c r="A266" s="1" t="s">
        <v>923</v>
      </c>
      <c r="B266">
        <f t="shared" ca="1" si="9"/>
        <v>120562</v>
      </c>
      <c r="G266" t="b">
        <v>0</v>
      </c>
      <c r="H266" t="s">
        <v>85</v>
      </c>
      <c r="K266" s="1" t="b">
        <v>0</v>
      </c>
      <c r="M266" t="b">
        <v>0</v>
      </c>
      <c r="O266" t="s">
        <v>85</v>
      </c>
    </row>
    <row r="267" spans="1:15">
      <c r="A267" s="1" t="s">
        <v>923</v>
      </c>
      <c r="B267">
        <f t="shared" ca="1" si="9"/>
        <v>120562</v>
      </c>
      <c r="G267" t="b">
        <v>0</v>
      </c>
      <c r="H267" t="s">
        <v>85</v>
      </c>
      <c r="K267" s="1" t="b">
        <v>0</v>
      </c>
      <c r="M267" t="b">
        <v>0</v>
      </c>
      <c r="O267" t="s">
        <v>85</v>
      </c>
    </row>
    <row r="268" spans="1:15">
      <c r="A268" s="1" t="s">
        <v>923</v>
      </c>
      <c r="B268">
        <f t="shared" ca="1" si="9"/>
        <v>120562</v>
      </c>
      <c r="G268" t="b">
        <v>0</v>
      </c>
      <c r="H268" t="s">
        <v>85</v>
      </c>
      <c r="K268" s="1" t="b">
        <v>0</v>
      </c>
      <c r="M268" t="b">
        <v>0</v>
      </c>
      <c r="O268" t="s">
        <v>85</v>
      </c>
    </row>
    <row r="269" spans="1:15">
      <c r="A269" s="1" t="s">
        <v>930</v>
      </c>
      <c r="B269">
        <f t="shared" ca="1" si="9"/>
        <v>723540</v>
      </c>
      <c r="G269" t="b">
        <v>0</v>
      </c>
      <c r="H269" t="s">
        <v>85</v>
      </c>
      <c r="K269" s="1" t="b">
        <v>0</v>
      </c>
      <c r="M269" t="b">
        <v>0</v>
      </c>
      <c r="O269" t="s">
        <v>85</v>
      </c>
    </row>
    <row r="270" spans="1:15">
      <c r="A270" s="1" t="s">
        <v>930</v>
      </c>
      <c r="B270">
        <f t="shared" ca="1" si="9"/>
        <v>723540</v>
      </c>
      <c r="G270" t="b">
        <v>0</v>
      </c>
      <c r="H270" t="s">
        <v>85</v>
      </c>
      <c r="K270" s="1" t="b">
        <v>0</v>
      </c>
      <c r="M270" t="b">
        <v>0</v>
      </c>
      <c r="O270" t="s">
        <v>85</v>
      </c>
    </row>
    <row r="271" spans="1:15">
      <c r="A271" s="1" t="s">
        <v>930</v>
      </c>
      <c r="B271">
        <f t="shared" ca="1" si="9"/>
        <v>723540</v>
      </c>
      <c r="G271" t="b">
        <v>0</v>
      </c>
      <c r="H271" t="s">
        <v>85</v>
      </c>
      <c r="K271" s="1" t="b">
        <v>0</v>
      </c>
      <c r="M271" t="b">
        <v>0</v>
      </c>
      <c r="O271" t="s">
        <v>85</v>
      </c>
    </row>
    <row r="272" spans="1:15">
      <c r="A272" s="1" t="s">
        <v>936</v>
      </c>
      <c r="B272">
        <f t="shared" ca="1" si="9"/>
        <v>695131</v>
      </c>
      <c r="G272" t="b">
        <v>0</v>
      </c>
      <c r="H272" t="s">
        <v>85</v>
      </c>
      <c r="K272" s="1" t="b">
        <v>0</v>
      </c>
      <c r="M272" t="b">
        <v>0</v>
      </c>
      <c r="O272" t="s">
        <v>85</v>
      </c>
    </row>
    <row r="273" spans="1:15">
      <c r="A273" s="1" t="s">
        <v>936</v>
      </c>
      <c r="B273">
        <f t="shared" ca="1" si="9"/>
        <v>695131</v>
      </c>
      <c r="G273" t="b">
        <v>0</v>
      </c>
      <c r="H273" t="s">
        <v>85</v>
      </c>
      <c r="K273" s="1" t="b">
        <v>0</v>
      </c>
      <c r="M273" t="b">
        <v>0</v>
      </c>
      <c r="O273" t="s">
        <v>85</v>
      </c>
    </row>
    <row r="274" spans="1:15">
      <c r="A274" s="1" t="s">
        <v>936</v>
      </c>
      <c r="B274">
        <f t="shared" ca="1" si="9"/>
        <v>695131</v>
      </c>
      <c r="G274" t="b">
        <v>0</v>
      </c>
      <c r="H274" t="s">
        <v>85</v>
      </c>
      <c r="K274" s="1" t="b">
        <v>0</v>
      </c>
      <c r="M274" t="b">
        <v>0</v>
      </c>
      <c r="O274" t="s">
        <v>85</v>
      </c>
    </row>
    <row r="275" spans="1:15">
      <c r="A275" s="1" t="s">
        <v>942</v>
      </c>
      <c r="B275">
        <f t="shared" ca="1" si="9"/>
        <v>844425</v>
      </c>
      <c r="G275" t="b">
        <v>0</v>
      </c>
      <c r="H275" t="s">
        <v>85</v>
      </c>
      <c r="K275" s="1" t="b">
        <v>0</v>
      </c>
      <c r="M275" t="b">
        <v>0</v>
      </c>
      <c r="O275" t="s">
        <v>85</v>
      </c>
    </row>
    <row r="276" spans="1:15">
      <c r="A276" s="1" t="s">
        <v>942</v>
      </c>
      <c r="B276">
        <f t="shared" ca="1" si="9"/>
        <v>844425</v>
      </c>
      <c r="G276" t="b">
        <v>0</v>
      </c>
      <c r="H276" t="s">
        <v>85</v>
      </c>
      <c r="K276" s="1" t="b">
        <v>0</v>
      </c>
      <c r="M276" t="b">
        <v>0</v>
      </c>
      <c r="O276" t="s">
        <v>85</v>
      </c>
    </row>
    <row r="277" spans="1:15">
      <c r="A277" s="1" t="s">
        <v>942</v>
      </c>
      <c r="B277">
        <f t="shared" ca="1" si="9"/>
        <v>844425</v>
      </c>
      <c r="G277" t="b">
        <v>0</v>
      </c>
      <c r="H277" t="s">
        <v>85</v>
      </c>
      <c r="K277" s="1" t="b">
        <v>0</v>
      </c>
      <c r="M277" t="b">
        <v>0</v>
      </c>
      <c r="O277" t="s">
        <v>85</v>
      </c>
    </row>
    <row r="278" spans="1:15">
      <c r="A278" s="1" t="s">
        <v>942</v>
      </c>
      <c r="B278">
        <f t="shared" ca="1" si="9"/>
        <v>844425</v>
      </c>
      <c r="G278" t="b">
        <v>0</v>
      </c>
      <c r="H278" t="s">
        <v>85</v>
      </c>
      <c r="K278" s="1" t="b">
        <v>0</v>
      </c>
      <c r="M278" t="b">
        <v>0</v>
      </c>
      <c r="O278" t="s">
        <v>85</v>
      </c>
    </row>
    <row r="279" spans="1:15">
      <c r="A279" s="1" t="s">
        <v>947</v>
      </c>
      <c r="B279">
        <f t="shared" ca="1" si="9"/>
        <v>209598</v>
      </c>
      <c r="G279" t="b">
        <v>0</v>
      </c>
      <c r="H279" t="s">
        <v>85</v>
      </c>
      <c r="K279" s="1" t="b">
        <v>0</v>
      </c>
      <c r="M279" t="b">
        <v>0</v>
      </c>
      <c r="O279" t="s">
        <v>85</v>
      </c>
    </row>
    <row r="280" spans="1:15">
      <c r="A280" s="1" t="s">
        <v>947</v>
      </c>
      <c r="B280">
        <f t="shared" ca="1" si="9"/>
        <v>209598</v>
      </c>
      <c r="G280" t="b">
        <v>0</v>
      </c>
      <c r="H280" t="s">
        <v>85</v>
      </c>
      <c r="K280" s="1" t="b">
        <v>0</v>
      </c>
      <c r="M280" t="b">
        <v>0</v>
      </c>
      <c r="O280" t="s">
        <v>85</v>
      </c>
    </row>
    <row r="281" spans="1:15">
      <c r="A281" s="1" t="s">
        <v>947</v>
      </c>
      <c r="B281">
        <f t="shared" ca="1" si="9"/>
        <v>209598</v>
      </c>
      <c r="G281" t="b">
        <v>0</v>
      </c>
      <c r="H281" t="s">
        <v>85</v>
      </c>
      <c r="K281" s="1" t="b">
        <v>0</v>
      </c>
      <c r="M281" t="b">
        <v>0</v>
      </c>
      <c r="O281" t="s">
        <v>85</v>
      </c>
    </row>
    <row r="282" spans="1:15">
      <c r="A282" s="1" t="s">
        <v>947</v>
      </c>
      <c r="B282">
        <f t="shared" ca="1" si="9"/>
        <v>209598</v>
      </c>
      <c r="G282" t="b">
        <v>0</v>
      </c>
      <c r="H282" t="s">
        <v>85</v>
      </c>
      <c r="K282" s="1" t="b">
        <v>0</v>
      </c>
      <c r="M282" t="b">
        <v>0</v>
      </c>
      <c r="O282" t="s">
        <v>85</v>
      </c>
    </row>
    <row r="283" spans="1:15">
      <c r="A283" s="1" t="s">
        <v>953</v>
      </c>
      <c r="B283">
        <f t="shared" ca="1" si="9"/>
        <v>417814</v>
      </c>
      <c r="G283" t="b">
        <v>0</v>
      </c>
      <c r="H283" t="s">
        <v>85</v>
      </c>
      <c r="K283" s="1" t="b">
        <v>0</v>
      </c>
      <c r="M283" t="b">
        <v>0</v>
      </c>
      <c r="O283" t="s">
        <v>85</v>
      </c>
    </row>
    <row r="284" spans="1:15">
      <c r="A284" s="1" t="s">
        <v>953</v>
      </c>
      <c r="B284">
        <f t="shared" ca="1" si="9"/>
        <v>417814</v>
      </c>
      <c r="G284" t="b">
        <v>0</v>
      </c>
      <c r="H284" t="s">
        <v>85</v>
      </c>
      <c r="K284" s="1" t="b">
        <v>0</v>
      </c>
      <c r="M284" t="b">
        <v>0</v>
      </c>
      <c r="O284" t="s">
        <v>85</v>
      </c>
    </row>
    <row r="285" spans="1:15">
      <c r="A285" s="1" t="s">
        <v>953</v>
      </c>
      <c r="B285">
        <f t="shared" ca="1" si="9"/>
        <v>417814</v>
      </c>
      <c r="G285" t="b">
        <v>0</v>
      </c>
      <c r="H285" t="s">
        <v>85</v>
      </c>
      <c r="K285" s="1" t="b">
        <v>0</v>
      </c>
      <c r="M285" t="b">
        <v>0</v>
      </c>
      <c r="O285" t="s">
        <v>85</v>
      </c>
    </row>
    <row r="286" spans="1:15">
      <c r="A286" s="1" t="s">
        <v>967</v>
      </c>
      <c r="B286">
        <f t="shared" ca="1" si="9"/>
        <v>504006</v>
      </c>
      <c r="G286" t="b">
        <v>0</v>
      </c>
      <c r="H286" t="s">
        <v>85</v>
      </c>
      <c r="K286" s="1" t="b">
        <v>0</v>
      </c>
      <c r="M286" t="b">
        <v>0</v>
      </c>
      <c r="O286" t="s">
        <v>85</v>
      </c>
    </row>
    <row r="287" spans="1:15">
      <c r="A287" s="1" t="s">
        <v>967</v>
      </c>
      <c r="B287">
        <f t="shared" ca="1" si="9"/>
        <v>504006</v>
      </c>
      <c r="G287" t="b">
        <v>1</v>
      </c>
      <c r="H287" t="s">
        <v>87</v>
      </c>
      <c r="K287" s="1" t="b">
        <v>0</v>
      </c>
      <c r="M287" t="b">
        <v>1</v>
      </c>
      <c r="O287" t="s">
        <v>87</v>
      </c>
    </row>
    <row r="288" spans="1:15">
      <c r="A288" s="1" t="s">
        <v>967</v>
      </c>
      <c r="B288">
        <f t="shared" ca="1" si="9"/>
        <v>504006</v>
      </c>
      <c r="G288" t="b">
        <v>0</v>
      </c>
      <c r="H288" t="s">
        <v>85</v>
      </c>
      <c r="K288" s="1" t="b">
        <v>0</v>
      </c>
      <c r="M288" t="b">
        <v>0</v>
      </c>
      <c r="O288" t="s">
        <v>85</v>
      </c>
    </row>
    <row r="289" spans="1:15">
      <c r="A289" s="1" t="s">
        <v>974</v>
      </c>
      <c r="B289">
        <f t="shared" ca="1" si="9"/>
        <v>104814</v>
      </c>
      <c r="G289" t="b">
        <v>1</v>
      </c>
      <c r="H289" t="s">
        <v>87</v>
      </c>
      <c r="K289" s="1" t="b">
        <v>0</v>
      </c>
      <c r="M289" t="b">
        <v>0</v>
      </c>
      <c r="O289" t="s">
        <v>85</v>
      </c>
    </row>
    <row r="290" spans="1:15">
      <c r="A290" s="1" t="s">
        <v>974</v>
      </c>
      <c r="B290">
        <f t="shared" ca="1" si="9"/>
        <v>104814</v>
      </c>
      <c r="G290" t="b">
        <v>0</v>
      </c>
      <c r="H290" t="s">
        <v>85</v>
      </c>
      <c r="K290" s="1" t="b">
        <v>0</v>
      </c>
      <c r="M290" t="b">
        <v>0</v>
      </c>
      <c r="O290" t="s">
        <v>85</v>
      </c>
    </row>
    <row r="291" spans="1:15">
      <c r="A291" s="1" t="s">
        <v>983</v>
      </c>
      <c r="B291">
        <f t="shared" ca="1" si="9"/>
        <v>354078</v>
      </c>
      <c r="G291" t="b">
        <v>0</v>
      </c>
      <c r="H291" t="s">
        <v>85</v>
      </c>
      <c r="K291" s="1" t="b">
        <v>0</v>
      </c>
      <c r="M291" t="b">
        <v>0</v>
      </c>
      <c r="O291" t="s">
        <v>85</v>
      </c>
    </row>
    <row r="292" spans="1:15">
      <c r="A292" s="1" t="s">
        <v>983</v>
      </c>
      <c r="B292">
        <f t="shared" ca="1" si="9"/>
        <v>354078</v>
      </c>
      <c r="G292" t="b">
        <v>0</v>
      </c>
      <c r="H292" t="s">
        <v>85</v>
      </c>
      <c r="K292" s="1" t="b">
        <v>0</v>
      </c>
      <c r="M292" t="b">
        <v>0</v>
      </c>
      <c r="O292" t="s">
        <v>85</v>
      </c>
    </row>
    <row r="293" spans="1:15">
      <c r="A293" s="1" t="s">
        <v>983</v>
      </c>
      <c r="B293">
        <f t="shared" ca="1" si="9"/>
        <v>354078</v>
      </c>
      <c r="G293" t="b">
        <v>1</v>
      </c>
      <c r="H293" t="s">
        <v>87</v>
      </c>
      <c r="K293" s="1" t="b">
        <v>0</v>
      </c>
      <c r="M293" t="b">
        <v>1</v>
      </c>
      <c r="O293" t="s">
        <v>87</v>
      </c>
    </row>
    <row r="294" spans="1:15">
      <c r="A294" s="1" t="s">
        <v>987</v>
      </c>
      <c r="B294">
        <f t="shared" ca="1" si="9"/>
        <v>994390</v>
      </c>
      <c r="G294" t="b">
        <v>0</v>
      </c>
      <c r="H294" t="s">
        <v>85</v>
      </c>
      <c r="K294" s="1" t="b">
        <v>0</v>
      </c>
      <c r="M294" t="b">
        <v>0</v>
      </c>
      <c r="O294" t="s">
        <v>85</v>
      </c>
    </row>
    <row r="295" spans="1:15">
      <c r="A295" s="1" t="s">
        <v>987</v>
      </c>
      <c r="B295">
        <f t="shared" ca="1" si="9"/>
        <v>994390</v>
      </c>
      <c r="G295" t="b">
        <v>0</v>
      </c>
      <c r="H295" t="s">
        <v>85</v>
      </c>
      <c r="K295" s="1" t="b">
        <v>0</v>
      </c>
      <c r="M295" t="b">
        <v>0</v>
      </c>
      <c r="O295" t="s">
        <v>85</v>
      </c>
    </row>
    <row r="296" spans="1:15">
      <c r="A296" s="1" t="s">
        <v>987</v>
      </c>
      <c r="B296">
        <f t="shared" ca="1" si="9"/>
        <v>994390</v>
      </c>
      <c r="G296" t="b">
        <v>0</v>
      </c>
      <c r="H296" t="s">
        <v>85</v>
      </c>
      <c r="K296" s="1" t="b">
        <v>0</v>
      </c>
      <c r="M296" t="b">
        <v>0</v>
      </c>
      <c r="O296" t="s">
        <v>85</v>
      </c>
    </row>
    <row r="297" spans="1:15">
      <c r="A297" s="1" t="s">
        <v>996</v>
      </c>
      <c r="B297">
        <f t="shared" ca="1" si="9"/>
        <v>800029</v>
      </c>
      <c r="G297" t="b">
        <v>0</v>
      </c>
      <c r="H297" t="s">
        <v>85</v>
      </c>
      <c r="K297" s="1" t="b">
        <v>0</v>
      </c>
      <c r="M297" t="b">
        <v>0</v>
      </c>
      <c r="O297" t="s">
        <v>85</v>
      </c>
    </row>
    <row r="298" spans="1:15">
      <c r="A298" s="1" t="s">
        <v>996</v>
      </c>
      <c r="B298">
        <f t="shared" ca="1" si="9"/>
        <v>800029</v>
      </c>
      <c r="G298" t="b">
        <v>0</v>
      </c>
      <c r="H298" t="s">
        <v>85</v>
      </c>
      <c r="K298" s="1" t="b">
        <v>0</v>
      </c>
      <c r="M298" t="b">
        <v>0</v>
      </c>
      <c r="O298" t="s">
        <v>85</v>
      </c>
    </row>
    <row r="299" spans="1:15">
      <c r="A299" s="1" t="s">
        <v>1001</v>
      </c>
      <c r="B299">
        <f t="shared" ca="1" si="9"/>
        <v>345211</v>
      </c>
      <c r="G299" t="b">
        <v>0</v>
      </c>
      <c r="H299" t="s">
        <v>85</v>
      </c>
      <c r="K299" s="1" t="b">
        <v>0</v>
      </c>
      <c r="M299" t="b">
        <v>0</v>
      </c>
      <c r="O299" t="s">
        <v>85</v>
      </c>
    </row>
    <row r="300" spans="1:15">
      <c r="A300" s="1" t="s">
        <v>1001</v>
      </c>
      <c r="B300">
        <f t="shared" ca="1" si="9"/>
        <v>345211</v>
      </c>
      <c r="G300" t="b">
        <v>0</v>
      </c>
      <c r="H300" t="s">
        <v>85</v>
      </c>
      <c r="K300" s="1" t="b">
        <v>0</v>
      </c>
      <c r="M300" t="b">
        <v>0</v>
      </c>
      <c r="O300" t="s">
        <v>85</v>
      </c>
    </row>
    <row r="301" spans="1:15">
      <c r="A301" s="1" t="s">
        <v>1007</v>
      </c>
      <c r="B301">
        <f t="shared" ca="1" si="9"/>
        <v>144432</v>
      </c>
      <c r="G301" t="b">
        <v>0</v>
      </c>
      <c r="H301" t="s">
        <v>85</v>
      </c>
      <c r="K301" s="1" t="b">
        <v>0</v>
      </c>
      <c r="M301" t="b">
        <v>0</v>
      </c>
      <c r="O301" t="s">
        <v>85</v>
      </c>
    </row>
    <row r="302" spans="1:15">
      <c r="A302" s="1" t="s">
        <v>1007</v>
      </c>
      <c r="B302">
        <f t="shared" ca="1" si="9"/>
        <v>144432</v>
      </c>
      <c r="G302" t="b">
        <v>0</v>
      </c>
      <c r="H302" t="s">
        <v>85</v>
      </c>
      <c r="K302" s="1" t="b">
        <v>0</v>
      </c>
      <c r="M302" t="b">
        <v>0</v>
      </c>
      <c r="O302" t="s">
        <v>85</v>
      </c>
    </row>
    <row r="303" spans="1:15">
      <c r="A303" s="1" t="s">
        <v>1007</v>
      </c>
      <c r="B303">
        <f t="shared" ca="1" si="9"/>
        <v>144432</v>
      </c>
      <c r="G303" t="b">
        <v>0</v>
      </c>
      <c r="H303" t="s">
        <v>85</v>
      </c>
      <c r="K303" s="1" t="b">
        <v>0</v>
      </c>
      <c r="M303" t="b">
        <v>0</v>
      </c>
      <c r="O303" t="s">
        <v>85</v>
      </c>
    </row>
    <row r="304" spans="1:15">
      <c r="A304" s="1" t="s">
        <v>1013</v>
      </c>
      <c r="B304">
        <f t="shared" ca="1" si="9"/>
        <v>566335</v>
      </c>
      <c r="G304" t="b">
        <v>0</v>
      </c>
      <c r="H304" t="s">
        <v>85</v>
      </c>
      <c r="K304" s="1" t="b">
        <v>0</v>
      </c>
      <c r="M304" t="b">
        <v>0</v>
      </c>
      <c r="O304" t="s">
        <v>85</v>
      </c>
    </row>
    <row r="305" spans="1:15">
      <c r="A305" s="1" t="s">
        <v>1013</v>
      </c>
      <c r="B305">
        <f t="shared" ca="1" si="9"/>
        <v>566335</v>
      </c>
      <c r="G305" t="b">
        <v>0</v>
      </c>
      <c r="H305" t="s">
        <v>85</v>
      </c>
      <c r="K305" s="1" t="b">
        <v>0</v>
      </c>
      <c r="M305" t="b">
        <v>0</v>
      </c>
      <c r="O305" t="s">
        <v>85</v>
      </c>
    </row>
    <row r="306" spans="1:15">
      <c r="A306" s="1" t="s">
        <v>1018</v>
      </c>
      <c r="B306">
        <f t="shared" ca="1" si="9"/>
        <v>632384</v>
      </c>
      <c r="G306" t="b">
        <v>0</v>
      </c>
      <c r="H306" t="s">
        <v>85</v>
      </c>
      <c r="K306" s="1" t="b">
        <v>0</v>
      </c>
      <c r="M306" t="b">
        <v>0</v>
      </c>
      <c r="O306" t="s">
        <v>85</v>
      </c>
    </row>
    <row r="307" spans="1:15">
      <c r="A307" s="1" t="s">
        <v>1018</v>
      </c>
      <c r="B307">
        <f t="shared" ca="1" si="9"/>
        <v>632384</v>
      </c>
      <c r="G307" t="b">
        <v>0</v>
      </c>
      <c r="H307" t="s">
        <v>85</v>
      </c>
      <c r="K307" s="1" t="b">
        <v>0</v>
      </c>
      <c r="M307" t="b">
        <v>0</v>
      </c>
      <c r="O307" t="s">
        <v>85</v>
      </c>
    </row>
    <row r="308" spans="1:15">
      <c r="A308" s="1" t="s">
        <v>1018</v>
      </c>
      <c r="B308">
        <f t="shared" ca="1" si="9"/>
        <v>632384</v>
      </c>
      <c r="G308" t="b">
        <v>0</v>
      </c>
      <c r="H308" t="s">
        <v>85</v>
      </c>
      <c r="K308" s="1" t="b">
        <v>0</v>
      </c>
      <c r="M308" t="b">
        <v>0</v>
      </c>
      <c r="O308" t="s">
        <v>85</v>
      </c>
    </row>
    <row r="309" spans="1:15">
      <c r="A309" s="1" t="s">
        <v>1018</v>
      </c>
      <c r="B309">
        <f t="shared" ca="1" si="9"/>
        <v>632384</v>
      </c>
      <c r="G309" t="b">
        <v>0</v>
      </c>
      <c r="H309" t="s">
        <v>85</v>
      </c>
      <c r="K309" s="1" t="b">
        <v>0</v>
      </c>
      <c r="M309" t="b">
        <v>0</v>
      </c>
      <c r="O309" t="s">
        <v>85</v>
      </c>
    </row>
    <row r="310" spans="1:15">
      <c r="A310" s="1" t="s">
        <v>1024</v>
      </c>
      <c r="B310">
        <f t="shared" ca="1" si="9"/>
        <v>450114</v>
      </c>
      <c r="G310" t="b">
        <v>0</v>
      </c>
      <c r="H310" t="s">
        <v>85</v>
      </c>
      <c r="K310" s="1" t="b">
        <v>0</v>
      </c>
      <c r="M310" t="b">
        <v>0</v>
      </c>
      <c r="O310" t="s">
        <v>85</v>
      </c>
    </row>
    <row r="311" spans="1:15">
      <c r="A311" s="1" t="s">
        <v>1024</v>
      </c>
      <c r="B311">
        <f t="shared" ca="1" si="9"/>
        <v>450114</v>
      </c>
      <c r="G311" t="b">
        <v>0</v>
      </c>
      <c r="H311" t="s">
        <v>85</v>
      </c>
      <c r="K311" s="1" t="b">
        <v>0</v>
      </c>
      <c r="M311" t="b">
        <v>0</v>
      </c>
      <c r="O311" t="s">
        <v>85</v>
      </c>
    </row>
    <row r="312" spans="1:15">
      <c r="A312" s="1" t="s">
        <v>1024</v>
      </c>
      <c r="B312">
        <f t="shared" ca="1" si="9"/>
        <v>450114</v>
      </c>
      <c r="G312" t="b">
        <v>0</v>
      </c>
      <c r="H312" t="s">
        <v>85</v>
      </c>
      <c r="K312" s="1" t="b">
        <v>0</v>
      </c>
      <c r="M312" t="b">
        <v>0</v>
      </c>
      <c r="O312" t="s">
        <v>85</v>
      </c>
    </row>
    <row r="313" spans="1:15">
      <c r="A313" s="1" t="s">
        <v>1024</v>
      </c>
      <c r="B313">
        <f t="shared" ca="1" si="9"/>
        <v>450114</v>
      </c>
      <c r="G313" t="b">
        <v>0</v>
      </c>
      <c r="H313" t="s">
        <v>85</v>
      </c>
      <c r="K313" s="1" t="b">
        <v>0</v>
      </c>
      <c r="M313" t="b">
        <v>0</v>
      </c>
      <c r="O313" t="s">
        <v>85</v>
      </c>
    </row>
    <row r="314" spans="1:15">
      <c r="A314" s="1" t="s">
        <v>1035</v>
      </c>
      <c r="B314">
        <f t="shared" ca="1" si="9"/>
        <v>728434</v>
      </c>
      <c r="G314" t="b">
        <v>0</v>
      </c>
      <c r="H314" t="s">
        <v>85</v>
      </c>
      <c r="K314" s="1" t="b">
        <v>0</v>
      </c>
      <c r="M314" t="b">
        <v>0</v>
      </c>
      <c r="O314" t="s">
        <v>85</v>
      </c>
    </row>
    <row r="315" spans="1:15">
      <c r="A315" s="1" t="s">
        <v>1035</v>
      </c>
      <c r="B315">
        <f t="shared" ca="1" si="9"/>
        <v>728434</v>
      </c>
      <c r="G315" t="b">
        <v>0</v>
      </c>
      <c r="H315" t="s">
        <v>85</v>
      </c>
      <c r="K315" s="1" t="b">
        <v>0</v>
      </c>
      <c r="M315" t="b">
        <v>0</v>
      </c>
      <c r="O315" t="s">
        <v>85</v>
      </c>
    </row>
    <row r="316" spans="1:15">
      <c r="A316" s="1" t="s">
        <v>1035</v>
      </c>
      <c r="B316">
        <f t="shared" ca="1" si="9"/>
        <v>728434</v>
      </c>
      <c r="G316" t="b">
        <v>0</v>
      </c>
      <c r="H316" t="s">
        <v>85</v>
      </c>
      <c r="K316" s="1" t="b">
        <v>0</v>
      </c>
      <c r="M316" t="b">
        <v>0</v>
      </c>
      <c r="O316" t="s">
        <v>85</v>
      </c>
    </row>
    <row r="317" spans="1:15">
      <c r="A317" s="1" t="s">
        <v>1035</v>
      </c>
      <c r="B317">
        <f t="shared" ca="1" si="9"/>
        <v>728434</v>
      </c>
      <c r="G317" t="b">
        <v>0</v>
      </c>
      <c r="H317" t="s">
        <v>85</v>
      </c>
      <c r="K317" s="1" t="b">
        <v>0</v>
      </c>
      <c r="M317" t="b">
        <v>0</v>
      </c>
      <c r="O317" t="s">
        <v>85</v>
      </c>
    </row>
    <row r="318" spans="1:15">
      <c r="A318" s="1" t="s">
        <v>1043</v>
      </c>
      <c r="B318">
        <f t="shared" ca="1" si="9"/>
        <v>564168</v>
      </c>
      <c r="G318" t="b">
        <v>0</v>
      </c>
      <c r="H318" t="s">
        <v>85</v>
      </c>
      <c r="K318" s="1" t="b">
        <v>0</v>
      </c>
      <c r="M318" t="b">
        <v>0</v>
      </c>
      <c r="O318" t="s">
        <v>85</v>
      </c>
    </row>
    <row r="319" spans="1:15">
      <c r="A319" s="1" t="s">
        <v>1043</v>
      </c>
      <c r="B319">
        <f t="shared" ca="1" si="9"/>
        <v>564168</v>
      </c>
      <c r="G319" t="b">
        <v>0</v>
      </c>
      <c r="H319" t="s">
        <v>85</v>
      </c>
      <c r="K319" s="1" t="b">
        <v>0</v>
      </c>
      <c r="M319" t="b">
        <v>0</v>
      </c>
      <c r="O319" t="s">
        <v>85</v>
      </c>
    </row>
    <row r="320" spans="1:15">
      <c r="A320" s="1" t="s">
        <v>1043</v>
      </c>
      <c r="B320">
        <f t="shared" ca="1" si="9"/>
        <v>564168</v>
      </c>
      <c r="G320" t="b">
        <v>0</v>
      </c>
      <c r="H320" t="s">
        <v>85</v>
      </c>
      <c r="K320" s="1" t="b">
        <v>0</v>
      </c>
      <c r="M320" t="b">
        <v>0</v>
      </c>
      <c r="O320" t="s">
        <v>85</v>
      </c>
    </row>
    <row r="321" spans="1:15">
      <c r="A321" s="1" t="s">
        <v>1043</v>
      </c>
      <c r="B321">
        <f t="shared" ca="1" si="9"/>
        <v>564168</v>
      </c>
      <c r="G321" t="b">
        <v>0</v>
      </c>
      <c r="H321" t="s">
        <v>85</v>
      </c>
      <c r="K321" s="1" t="b">
        <v>0</v>
      </c>
      <c r="M321" t="b">
        <v>0</v>
      </c>
      <c r="O321" t="s">
        <v>85</v>
      </c>
    </row>
    <row r="322" spans="1:15">
      <c r="A322" s="1" t="s">
        <v>1047</v>
      </c>
      <c r="B322">
        <f t="shared" ca="1" si="9"/>
        <v>510550</v>
      </c>
      <c r="G322" t="b">
        <v>0</v>
      </c>
      <c r="H322" t="s">
        <v>85</v>
      </c>
      <c r="K322" s="1" t="b">
        <v>0</v>
      </c>
      <c r="M322" t="b">
        <v>0</v>
      </c>
      <c r="O322" t="s">
        <v>85</v>
      </c>
    </row>
    <row r="323" spans="1:15">
      <c r="A323" s="1" t="s">
        <v>1047</v>
      </c>
      <c r="B323">
        <f t="shared" ca="1" si="9"/>
        <v>510550</v>
      </c>
      <c r="G323" t="b">
        <v>0</v>
      </c>
      <c r="H323" t="s">
        <v>85</v>
      </c>
      <c r="K323" s="1" t="b">
        <v>0</v>
      </c>
      <c r="M323" t="b">
        <v>0</v>
      </c>
      <c r="O323" t="s">
        <v>85</v>
      </c>
    </row>
    <row r="324" spans="1:15">
      <c r="A324" s="1" t="s">
        <v>1053</v>
      </c>
      <c r="B324">
        <f t="shared" ca="1" si="9"/>
        <v>111216</v>
      </c>
      <c r="G324" t="b">
        <v>0</v>
      </c>
      <c r="H324" t="s">
        <v>85</v>
      </c>
      <c r="K324" s="1" t="b">
        <v>0</v>
      </c>
      <c r="M324" t="b">
        <v>0</v>
      </c>
      <c r="O324" t="s">
        <v>85</v>
      </c>
    </row>
    <row r="325" spans="1:15">
      <c r="A325" s="1" t="s">
        <v>1053</v>
      </c>
      <c r="B325">
        <f t="shared" ca="1" si="9"/>
        <v>111216</v>
      </c>
      <c r="G325" t="b">
        <v>0</v>
      </c>
      <c r="H325" t="s">
        <v>85</v>
      </c>
      <c r="K325" s="1" t="b">
        <v>0</v>
      </c>
      <c r="M325" t="b">
        <v>0</v>
      </c>
      <c r="O325" t="s">
        <v>85</v>
      </c>
    </row>
    <row r="326" spans="1:15">
      <c r="A326" s="1" t="s">
        <v>1053</v>
      </c>
      <c r="B326">
        <f t="shared" ca="1" si="9"/>
        <v>111216</v>
      </c>
      <c r="G326" t="b">
        <v>0</v>
      </c>
      <c r="H326" t="s">
        <v>85</v>
      </c>
      <c r="K326" s="1" t="b">
        <v>0</v>
      </c>
      <c r="M326" t="b">
        <v>0</v>
      </c>
      <c r="O326" t="s">
        <v>85</v>
      </c>
    </row>
    <row r="327" spans="1:15">
      <c r="A327" s="1" t="s">
        <v>1059</v>
      </c>
      <c r="B327">
        <f t="shared" ref="B327:B390" ca="1" si="10">VLOOKUP(A327,$C$6:$D$208,2,FALSE)</f>
        <v>866553</v>
      </c>
      <c r="G327" t="b">
        <v>0</v>
      </c>
      <c r="H327" t="s">
        <v>85</v>
      </c>
      <c r="K327" s="1" t="b">
        <v>0</v>
      </c>
      <c r="M327" t="b">
        <v>0</v>
      </c>
      <c r="O327" t="s">
        <v>85</v>
      </c>
    </row>
    <row r="328" spans="1:15">
      <c r="A328" s="1" t="s">
        <v>1059</v>
      </c>
      <c r="B328">
        <f t="shared" ca="1" si="10"/>
        <v>866553</v>
      </c>
      <c r="G328" t="b">
        <v>0</v>
      </c>
      <c r="H328" t="s">
        <v>85</v>
      </c>
      <c r="K328" s="1" t="b">
        <v>0</v>
      </c>
      <c r="M328" t="b">
        <v>0</v>
      </c>
      <c r="O328" t="s">
        <v>85</v>
      </c>
    </row>
    <row r="329" spans="1:15">
      <c r="A329" s="1" t="s">
        <v>1059</v>
      </c>
      <c r="B329">
        <f t="shared" ca="1" si="10"/>
        <v>866553</v>
      </c>
      <c r="G329" t="b">
        <v>0</v>
      </c>
      <c r="H329" t="s">
        <v>85</v>
      </c>
      <c r="K329" s="1" t="b">
        <v>0</v>
      </c>
      <c r="M329" t="b">
        <v>0</v>
      </c>
      <c r="O329" t="s">
        <v>85</v>
      </c>
    </row>
    <row r="330" spans="1:15">
      <c r="A330" s="1" t="s">
        <v>1068</v>
      </c>
      <c r="B330">
        <f t="shared" ca="1" si="10"/>
        <v>280239</v>
      </c>
      <c r="G330" t="b">
        <v>0</v>
      </c>
      <c r="H330" t="s">
        <v>85</v>
      </c>
      <c r="K330" s="1" t="b">
        <v>0</v>
      </c>
      <c r="M330" t="b">
        <v>0</v>
      </c>
      <c r="O330" t="s">
        <v>85</v>
      </c>
    </row>
    <row r="331" spans="1:15">
      <c r="A331" s="1" t="s">
        <v>1068</v>
      </c>
      <c r="B331">
        <f t="shared" ca="1" si="10"/>
        <v>280239</v>
      </c>
      <c r="G331" t="b">
        <v>0</v>
      </c>
      <c r="H331" t="s">
        <v>85</v>
      </c>
      <c r="K331" s="1" t="b">
        <v>0</v>
      </c>
      <c r="M331" t="b">
        <v>0</v>
      </c>
      <c r="O331" t="s">
        <v>85</v>
      </c>
    </row>
    <row r="332" spans="1:15">
      <c r="A332" s="1" t="s">
        <v>1068</v>
      </c>
      <c r="B332">
        <f t="shared" ca="1" si="10"/>
        <v>280239</v>
      </c>
      <c r="G332" t="b">
        <v>0</v>
      </c>
      <c r="H332" t="s">
        <v>85</v>
      </c>
      <c r="K332" s="1" t="b">
        <v>0</v>
      </c>
      <c r="M332" t="b">
        <v>0</v>
      </c>
      <c r="O332" t="s">
        <v>85</v>
      </c>
    </row>
    <row r="333" spans="1:15">
      <c r="A333" s="1" t="s">
        <v>1073</v>
      </c>
      <c r="B333">
        <f t="shared" ca="1" si="10"/>
        <v>691315</v>
      </c>
      <c r="G333" t="b">
        <v>0</v>
      </c>
      <c r="H333" t="s">
        <v>85</v>
      </c>
      <c r="K333" s="1" t="b">
        <v>0</v>
      </c>
      <c r="M333" t="b">
        <v>0</v>
      </c>
      <c r="O333" t="s">
        <v>85</v>
      </c>
    </row>
    <row r="334" spans="1:15">
      <c r="A334" s="1" t="s">
        <v>1073</v>
      </c>
      <c r="B334">
        <f t="shared" ca="1" si="10"/>
        <v>691315</v>
      </c>
      <c r="G334" t="b">
        <v>0</v>
      </c>
      <c r="H334" t="s">
        <v>85</v>
      </c>
      <c r="K334" s="1" t="b">
        <v>0</v>
      </c>
      <c r="M334" t="b">
        <v>0</v>
      </c>
      <c r="O334" t="s">
        <v>85</v>
      </c>
    </row>
    <row r="335" spans="1:15">
      <c r="A335" s="1" t="s">
        <v>1073</v>
      </c>
      <c r="B335">
        <f t="shared" ca="1" si="10"/>
        <v>691315</v>
      </c>
      <c r="G335" t="b">
        <v>0</v>
      </c>
      <c r="H335" t="s">
        <v>85</v>
      </c>
      <c r="K335" s="1" t="b">
        <v>0</v>
      </c>
      <c r="M335" t="b">
        <v>0</v>
      </c>
      <c r="O335" t="s">
        <v>85</v>
      </c>
    </row>
    <row r="336" spans="1:15">
      <c r="A336" s="1" t="s">
        <v>1082</v>
      </c>
      <c r="B336">
        <f t="shared" ca="1" si="10"/>
        <v>758898</v>
      </c>
      <c r="G336" t="b">
        <v>0</v>
      </c>
      <c r="H336" t="s">
        <v>85</v>
      </c>
      <c r="K336" s="1" t="b">
        <v>0</v>
      </c>
      <c r="M336" t="b">
        <v>0</v>
      </c>
      <c r="O336" t="s">
        <v>85</v>
      </c>
    </row>
    <row r="337" spans="1:15">
      <c r="A337" s="1" t="s">
        <v>1082</v>
      </c>
      <c r="B337">
        <f t="shared" ca="1" si="10"/>
        <v>758898</v>
      </c>
      <c r="G337" t="b">
        <v>0</v>
      </c>
      <c r="H337" t="s">
        <v>85</v>
      </c>
      <c r="K337" s="1" t="b">
        <v>0</v>
      </c>
      <c r="M337" t="b">
        <v>0</v>
      </c>
      <c r="O337" t="s">
        <v>85</v>
      </c>
    </row>
    <row r="338" spans="1:15">
      <c r="A338" s="1" t="s">
        <v>1086</v>
      </c>
      <c r="B338">
        <f t="shared" ca="1" si="10"/>
        <v>512123</v>
      </c>
      <c r="G338" t="b">
        <v>0</v>
      </c>
      <c r="H338" t="s">
        <v>85</v>
      </c>
      <c r="K338" s="1" t="b">
        <v>0</v>
      </c>
      <c r="M338" t="b">
        <v>0</v>
      </c>
      <c r="O338" t="s">
        <v>85</v>
      </c>
    </row>
    <row r="339" spans="1:15">
      <c r="A339" s="1" t="s">
        <v>1086</v>
      </c>
      <c r="B339">
        <f t="shared" ca="1" si="10"/>
        <v>512123</v>
      </c>
      <c r="G339" t="b">
        <v>1</v>
      </c>
      <c r="H339" t="s">
        <v>87</v>
      </c>
      <c r="K339" s="1" t="b">
        <v>0</v>
      </c>
      <c r="M339" t="b">
        <v>0</v>
      </c>
      <c r="O339" t="s">
        <v>85</v>
      </c>
    </row>
    <row r="340" spans="1:15">
      <c r="A340" s="1" t="s">
        <v>1086</v>
      </c>
      <c r="B340">
        <f t="shared" ca="1" si="10"/>
        <v>512123</v>
      </c>
      <c r="G340" t="b">
        <v>0</v>
      </c>
      <c r="H340" t="s">
        <v>85</v>
      </c>
      <c r="K340" s="1" t="b">
        <v>0</v>
      </c>
      <c r="M340" t="b">
        <v>0</v>
      </c>
      <c r="O340" t="s">
        <v>85</v>
      </c>
    </row>
    <row r="341" spans="1:15">
      <c r="A341" s="1" t="s">
        <v>1086</v>
      </c>
      <c r="B341">
        <f t="shared" ca="1" si="10"/>
        <v>512123</v>
      </c>
      <c r="G341" t="b">
        <v>0</v>
      </c>
      <c r="H341" t="s">
        <v>85</v>
      </c>
      <c r="K341" s="1" t="b">
        <v>0</v>
      </c>
      <c r="M341" t="b">
        <v>0</v>
      </c>
      <c r="O341" t="s">
        <v>85</v>
      </c>
    </row>
    <row r="342" spans="1:15">
      <c r="A342" s="1" t="s">
        <v>1100</v>
      </c>
      <c r="B342">
        <f t="shared" ca="1" si="10"/>
        <v>460244</v>
      </c>
      <c r="G342" t="b">
        <v>0</v>
      </c>
      <c r="H342" t="s">
        <v>85</v>
      </c>
      <c r="K342" s="1" t="b">
        <v>0</v>
      </c>
      <c r="M342" t="b">
        <v>0</v>
      </c>
      <c r="O342" t="s">
        <v>85</v>
      </c>
    </row>
    <row r="343" spans="1:15">
      <c r="A343" s="1" t="s">
        <v>1100</v>
      </c>
      <c r="B343">
        <f t="shared" ca="1" si="10"/>
        <v>460244</v>
      </c>
      <c r="G343" t="b">
        <v>0</v>
      </c>
      <c r="H343" t="s">
        <v>85</v>
      </c>
      <c r="K343" s="1" t="b">
        <v>0</v>
      </c>
      <c r="M343" t="b">
        <v>0</v>
      </c>
      <c r="O343" t="s">
        <v>85</v>
      </c>
    </row>
    <row r="344" spans="1:15">
      <c r="A344" s="1" t="s">
        <v>1100</v>
      </c>
      <c r="B344">
        <f t="shared" ca="1" si="10"/>
        <v>460244</v>
      </c>
      <c r="G344" t="b">
        <v>0</v>
      </c>
      <c r="H344" t="s">
        <v>85</v>
      </c>
      <c r="K344" s="1" t="b">
        <v>0</v>
      </c>
      <c r="M344" t="b">
        <v>0</v>
      </c>
      <c r="O344" t="s">
        <v>85</v>
      </c>
    </row>
    <row r="345" spans="1:15">
      <c r="A345" s="1" t="s">
        <v>1100</v>
      </c>
      <c r="B345">
        <f t="shared" ca="1" si="10"/>
        <v>460244</v>
      </c>
      <c r="G345" t="b">
        <v>0</v>
      </c>
      <c r="H345" t="s">
        <v>85</v>
      </c>
      <c r="K345" s="1" t="b">
        <v>0</v>
      </c>
      <c r="M345" t="b">
        <v>0</v>
      </c>
      <c r="O345" t="s">
        <v>85</v>
      </c>
    </row>
    <row r="346" spans="1:15">
      <c r="A346" s="1" t="s">
        <v>1100</v>
      </c>
      <c r="B346">
        <f t="shared" ca="1" si="10"/>
        <v>460244</v>
      </c>
      <c r="G346" t="b">
        <v>0</v>
      </c>
      <c r="H346" t="s">
        <v>85</v>
      </c>
      <c r="K346" s="1" t="b">
        <v>0</v>
      </c>
      <c r="M346" t="b">
        <v>1</v>
      </c>
      <c r="O346" t="s">
        <v>87</v>
      </c>
    </row>
    <row r="347" spans="1:15">
      <c r="A347" s="1" t="s">
        <v>1100</v>
      </c>
      <c r="B347">
        <f t="shared" ca="1" si="10"/>
        <v>460244</v>
      </c>
      <c r="G347" t="b">
        <v>0</v>
      </c>
      <c r="H347" t="s">
        <v>85</v>
      </c>
      <c r="K347" s="1" t="b">
        <v>0</v>
      </c>
      <c r="M347" t="b">
        <v>1</v>
      </c>
      <c r="O347" t="s">
        <v>87</v>
      </c>
    </row>
    <row r="348" spans="1:15">
      <c r="A348" s="1" t="s">
        <v>1104</v>
      </c>
      <c r="B348">
        <f t="shared" ca="1" si="10"/>
        <v>645100</v>
      </c>
      <c r="G348" t="b">
        <v>0</v>
      </c>
      <c r="H348" t="s">
        <v>85</v>
      </c>
      <c r="K348" s="1" t="b">
        <v>0</v>
      </c>
      <c r="M348" t="b">
        <v>0</v>
      </c>
      <c r="O348" t="s">
        <v>85</v>
      </c>
    </row>
    <row r="349" spans="1:15">
      <c r="A349" s="1" t="s">
        <v>1104</v>
      </c>
      <c r="B349">
        <f t="shared" ca="1" si="10"/>
        <v>645100</v>
      </c>
      <c r="G349" t="b">
        <v>0</v>
      </c>
      <c r="H349" t="s">
        <v>85</v>
      </c>
      <c r="K349" s="1" t="b">
        <v>0</v>
      </c>
      <c r="M349" t="b">
        <v>0</v>
      </c>
      <c r="O349" t="s">
        <v>85</v>
      </c>
    </row>
    <row r="350" spans="1:15">
      <c r="A350" s="1" t="s">
        <v>1104</v>
      </c>
      <c r="B350">
        <f t="shared" ca="1" si="10"/>
        <v>645100</v>
      </c>
      <c r="G350" t="b">
        <v>0</v>
      </c>
      <c r="H350" t="s">
        <v>85</v>
      </c>
      <c r="K350" s="1" t="b">
        <v>0</v>
      </c>
      <c r="M350" t="b">
        <v>0</v>
      </c>
      <c r="O350" t="s">
        <v>85</v>
      </c>
    </row>
    <row r="351" spans="1:15">
      <c r="A351" s="1" t="s">
        <v>1109</v>
      </c>
      <c r="B351">
        <f t="shared" ca="1" si="10"/>
        <v>999853</v>
      </c>
      <c r="G351" t="b">
        <v>0</v>
      </c>
      <c r="H351" t="s">
        <v>85</v>
      </c>
      <c r="K351" s="1" t="b">
        <v>0</v>
      </c>
      <c r="M351" t="b">
        <v>0</v>
      </c>
      <c r="O351" t="s">
        <v>85</v>
      </c>
    </row>
    <row r="352" spans="1:15">
      <c r="A352" s="1" t="s">
        <v>1109</v>
      </c>
      <c r="B352">
        <f t="shared" ca="1" si="10"/>
        <v>999853</v>
      </c>
      <c r="G352" t="b">
        <v>0</v>
      </c>
      <c r="H352" t="s">
        <v>85</v>
      </c>
      <c r="K352" s="1" t="b">
        <v>0</v>
      </c>
      <c r="M352" t="b">
        <v>0</v>
      </c>
      <c r="O352" t="s">
        <v>85</v>
      </c>
    </row>
    <row r="353" spans="1:15">
      <c r="A353" s="1" t="s">
        <v>1109</v>
      </c>
      <c r="B353">
        <f t="shared" ca="1" si="10"/>
        <v>999853</v>
      </c>
      <c r="G353" t="b">
        <v>0</v>
      </c>
      <c r="H353" t="s">
        <v>85</v>
      </c>
      <c r="K353" s="1" t="b">
        <v>0</v>
      </c>
      <c r="M353" t="b">
        <v>0</v>
      </c>
      <c r="O353" t="s">
        <v>85</v>
      </c>
    </row>
    <row r="354" spans="1:15">
      <c r="A354" s="1" t="s">
        <v>1119</v>
      </c>
      <c r="B354">
        <f t="shared" ca="1" si="10"/>
        <v>821569</v>
      </c>
      <c r="G354" t="b">
        <v>0</v>
      </c>
      <c r="H354" t="s">
        <v>85</v>
      </c>
      <c r="K354" s="1" t="b">
        <v>0</v>
      </c>
      <c r="M354" t="b">
        <v>0</v>
      </c>
      <c r="O354" t="s">
        <v>85</v>
      </c>
    </row>
    <row r="355" spans="1:15">
      <c r="A355" s="1" t="s">
        <v>1119</v>
      </c>
      <c r="B355">
        <f t="shared" ca="1" si="10"/>
        <v>821569</v>
      </c>
      <c r="G355" t="b">
        <v>0</v>
      </c>
      <c r="H355" t="s">
        <v>85</v>
      </c>
      <c r="K355" s="1" t="b">
        <v>0</v>
      </c>
      <c r="M355" t="b">
        <v>0</v>
      </c>
      <c r="O355" t="s">
        <v>85</v>
      </c>
    </row>
    <row r="356" spans="1:15">
      <c r="A356" s="1" t="s">
        <v>1119</v>
      </c>
      <c r="B356">
        <f t="shared" ca="1" si="10"/>
        <v>821569</v>
      </c>
      <c r="G356" t="b">
        <v>0</v>
      </c>
      <c r="H356" t="s">
        <v>85</v>
      </c>
      <c r="K356" s="1" t="b">
        <v>0</v>
      </c>
      <c r="M356" t="b">
        <v>0</v>
      </c>
      <c r="O356" t="s">
        <v>85</v>
      </c>
    </row>
    <row r="357" spans="1:15">
      <c r="A357" s="1" t="s">
        <v>1123</v>
      </c>
      <c r="B357">
        <f t="shared" ca="1" si="10"/>
        <v>423870</v>
      </c>
      <c r="G357" t="b">
        <v>0</v>
      </c>
      <c r="H357" t="s">
        <v>85</v>
      </c>
      <c r="K357" s="1" t="b">
        <v>0</v>
      </c>
      <c r="M357" t="b">
        <v>0</v>
      </c>
      <c r="O357" t="s">
        <v>85</v>
      </c>
    </row>
    <row r="358" spans="1:15">
      <c r="A358" s="1" t="s">
        <v>1123</v>
      </c>
      <c r="B358">
        <f t="shared" ca="1" si="10"/>
        <v>423870</v>
      </c>
      <c r="G358" t="b">
        <v>0</v>
      </c>
      <c r="H358" t="s">
        <v>85</v>
      </c>
      <c r="K358" s="1" t="b">
        <v>0</v>
      </c>
      <c r="M358" t="b">
        <v>0</v>
      </c>
      <c r="O358" t="s">
        <v>85</v>
      </c>
    </row>
    <row r="359" spans="1:15">
      <c r="A359" s="1" t="s">
        <v>1123</v>
      </c>
      <c r="B359">
        <f t="shared" ca="1" si="10"/>
        <v>423870</v>
      </c>
      <c r="G359" t="b">
        <v>1</v>
      </c>
      <c r="H359" t="s">
        <v>87</v>
      </c>
      <c r="K359" s="1" t="b">
        <v>0</v>
      </c>
      <c r="M359" t="b">
        <v>1</v>
      </c>
      <c r="O359" t="s">
        <v>87</v>
      </c>
    </row>
    <row r="360" spans="1:15">
      <c r="A360" s="1" t="s">
        <v>1123</v>
      </c>
      <c r="B360">
        <f t="shared" ca="1" si="10"/>
        <v>423870</v>
      </c>
      <c r="G360" t="b">
        <v>0</v>
      </c>
      <c r="H360" t="s">
        <v>85</v>
      </c>
      <c r="K360" s="1" t="b">
        <v>0</v>
      </c>
      <c r="M360" t="b">
        <v>0</v>
      </c>
      <c r="O360" t="s">
        <v>85</v>
      </c>
    </row>
    <row r="361" spans="1:15">
      <c r="A361" s="1" t="s">
        <v>1123</v>
      </c>
      <c r="B361">
        <f t="shared" ca="1" si="10"/>
        <v>423870</v>
      </c>
      <c r="G361" t="b">
        <v>0</v>
      </c>
      <c r="H361" t="s">
        <v>85</v>
      </c>
      <c r="K361" s="1" t="b">
        <v>0</v>
      </c>
      <c r="M361" t="b">
        <v>0</v>
      </c>
      <c r="O361" t="s">
        <v>85</v>
      </c>
    </row>
    <row r="362" spans="1:15">
      <c r="A362" s="1" t="s">
        <v>1134</v>
      </c>
      <c r="B362">
        <f t="shared" ca="1" si="10"/>
        <v>699295</v>
      </c>
      <c r="G362" t="b">
        <v>0</v>
      </c>
      <c r="H362" t="s">
        <v>85</v>
      </c>
      <c r="K362" s="1" t="b">
        <v>0</v>
      </c>
      <c r="M362" t="b">
        <v>0</v>
      </c>
      <c r="O362" t="s">
        <v>85</v>
      </c>
    </row>
    <row r="363" spans="1:15">
      <c r="A363" s="1" t="s">
        <v>1134</v>
      </c>
      <c r="B363">
        <f t="shared" ca="1" si="10"/>
        <v>699295</v>
      </c>
      <c r="G363" t="b">
        <v>0</v>
      </c>
      <c r="H363" t="s">
        <v>85</v>
      </c>
      <c r="K363" s="1" t="b">
        <v>0</v>
      </c>
      <c r="M363" t="b">
        <v>0</v>
      </c>
      <c r="O363" t="s">
        <v>85</v>
      </c>
    </row>
    <row r="364" spans="1:15">
      <c r="A364" s="1" t="s">
        <v>1134</v>
      </c>
      <c r="B364">
        <f t="shared" ca="1" si="10"/>
        <v>699295</v>
      </c>
      <c r="G364" t="b">
        <v>0</v>
      </c>
      <c r="H364" t="s">
        <v>85</v>
      </c>
      <c r="K364" s="1" t="b">
        <v>0</v>
      </c>
      <c r="M364" t="b">
        <v>0</v>
      </c>
      <c r="O364" t="s">
        <v>85</v>
      </c>
    </row>
    <row r="365" spans="1:15">
      <c r="A365" s="1" t="s">
        <v>1140</v>
      </c>
      <c r="B365">
        <f t="shared" ca="1" si="10"/>
        <v>222991</v>
      </c>
      <c r="G365" t="b">
        <v>0</v>
      </c>
      <c r="H365" t="s">
        <v>85</v>
      </c>
      <c r="K365" s="1" t="b">
        <v>0</v>
      </c>
      <c r="M365" t="b">
        <v>0</v>
      </c>
      <c r="O365" t="s">
        <v>85</v>
      </c>
    </row>
    <row r="366" spans="1:15">
      <c r="A366" s="1" t="s">
        <v>1140</v>
      </c>
      <c r="B366">
        <f t="shared" ca="1" si="10"/>
        <v>222991</v>
      </c>
      <c r="G366" t="b">
        <v>0</v>
      </c>
      <c r="H366" t="s">
        <v>85</v>
      </c>
      <c r="K366" s="1" t="b">
        <v>0</v>
      </c>
      <c r="M366" t="b">
        <v>0</v>
      </c>
      <c r="O366" t="s">
        <v>85</v>
      </c>
    </row>
    <row r="367" spans="1:15">
      <c r="A367" s="1" t="s">
        <v>1146</v>
      </c>
      <c r="B367">
        <f t="shared" ca="1" si="10"/>
        <v>158258</v>
      </c>
      <c r="G367" t="b">
        <v>0</v>
      </c>
      <c r="H367" t="s">
        <v>85</v>
      </c>
      <c r="K367" s="1" t="b">
        <v>0</v>
      </c>
      <c r="M367" t="b">
        <v>0</v>
      </c>
      <c r="O367" t="s">
        <v>85</v>
      </c>
    </row>
    <row r="368" spans="1:15">
      <c r="A368" s="1" t="s">
        <v>1146</v>
      </c>
      <c r="B368">
        <f t="shared" ca="1" si="10"/>
        <v>158258</v>
      </c>
      <c r="G368" t="b">
        <v>0</v>
      </c>
      <c r="H368" t="s">
        <v>85</v>
      </c>
      <c r="K368" s="1" t="b">
        <v>0</v>
      </c>
      <c r="M368" t="b">
        <v>0</v>
      </c>
      <c r="O368" t="s">
        <v>85</v>
      </c>
    </row>
    <row r="369" spans="1:15">
      <c r="A369" s="1" t="s">
        <v>1146</v>
      </c>
      <c r="B369">
        <f t="shared" ca="1" si="10"/>
        <v>158258</v>
      </c>
      <c r="G369" t="b">
        <v>0</v>
      </c>
      <c r="H369" t="s">
        <v>85</v>
      </c>
      <c r="K369" s="1" t="b">
        <v>0</v>
      </c>
      <c r="M369" t="b">
        <v>0</v>
      </c>
      <c r="O369" t="s">
        <v>85</v>
      </c>
    </row>
    <row r="370" spans="1:15">
      <c r="A370" s="1" t="s">
        <v>1151</v>
      </c>
      <c r="B370">
        <f t="shared" ca="1" si="10"/>
        <v>554471</v>
      </c>
      <c r="G370" t="b">
        <v>0</v>
      </c>
      <c r="H370" t="s">
        <v>85</v>
      </c>
      <c r="K370" s="1" t="b">
        <v>0</v>
      </c>
      <c r="M370" t="b">
        <v>0</v>
      </c>
      <c r="O370" t="s">
        <v>85</v>
      </c>
    </row>
    <row r="371" spans="1:15">
      <c r="A371" s="1" t="s">
        <v>1151</v>
      </c>
      <c r="B371">
        <f t="shared" ca="1" si="10"/>
        <v>554471</v>
      </c>
      <c r="G371" t="b">
        <v>0</v>
      </c>
      <c r="H371" t="s">
        <v>85</v>
      </c>
      <c r="K371" s="1" t="b">
        <v>0</v>
      </c>
      <c r="M371" t="b">
        <v>0</v>
      </c>
      <c r="O371" t="s">
        <v>85</v>
      </c>
    </row>
    <row r="372" spans="1:15">
      <c r="A372" s="1" t="s">
        <v>1151</v>
      </c>
      <c r="B372">
        <f t="shared" ca="1" si="10"/>
        <v>554471</v>
      </c>
      <c r="G372" t="b">
        <v>0</v>
      </c>
      <c r="H372" t="s">
        <v>85</v>
      </c>
      <c r="K372" s="1" t="b">
        <v>0</v>
      </c>
      <c r="M372" t="b">
        <v>0</v>
      </c>
      <c r="O372" t="s">
        <v>85</v>
      </c>
    </row>
    <row r="373" spans="1:15">
      <c r="A373" s="1" t="s">
        <v>1155</v>
      </c>
      <c r="B373">
        <f t="shared" ca="1" si="10"/>
        <v>641790</v>
      </c>
      <c r="G373" t="b">
        <v>0</v>
      </c>
      <c r="H373" t="s">
        <v>85</v>
      </c>
      <c r="K373" s="1" t="b">
        <v>0</v>
      </c>
      <c r="M373" t="b">
        <v>0</v>
      </c>
      <c r="O373" t="s">
        <v>85</v>
      </c>
    </row>
    <row r="374" spans="1:15">
      <c r="A374" s="1" t="s">
        <v>1155</v>
      </c>
      <c r="B374">
        <f t="shared" ca="1" si="10"/>
        <v>641790</v>
      </c>
      <c r="G374" t="b">
        <v>0</v>
      </c>
      <c r="H374" t="s">
        <v>85</v>
      </c>
      <c r="K374" s="1" t="b">
        <v>0</v>
      </c>
      <c r="M374" t="b">
        <v>0</v>
      </c>
      <c r="O374" t="s">
        <v>85</v>
      </c>
    </row>
    <row r="375" spans="1:15">
      <c r="A375" s="1" t="s">
        <v>1155</v>
      </c>
      <c r="B375">
        <f t="shared" ca="1" si="10"/>
        <v>641790</v>
      </c>
      <c r="G375" t="b">
        <v>0</v>
      </c>
      <c r="H375" t="s">
        <v>85</v>
      </c>
      <c r="K375" s="1" t="b">
        <v>0</v>
      </c>
      <c r="M375" t="b">
        <v>0</v>
      </c>
      <c r="O375" t="s">
        <v>85</v>
      </c>
    </row>
    <row r="376" spans="1:15">
      <c r="A376" s="1" t="s">
        <v>1164</v>
      </c>
      <c r="B376">
        <f t="shared" ca="1" si="10"/>
        <v>829642</v>
      </c>
      <c r="G376" t="b">
        <v>0</v>
      </c>
      <c r="H376" t="s">
        <v>85</v>
      </c>
      <c r="K376" s="1" t="b">
        <v>0</v>
      </c>
      <c r="M376" t="b">
        <v>0</v>
      </c>
      <c r="O376" t="s">
        <v>85</v>
      </c>
    </row>
    <row r="377" spans="1:15">
      <c r="A377" s="1" t="s">
        <v>1164</v>
      </c>
      <c r="B377">
        <f t="shared" ca="1" si="10"/>
        <v>829642</v>
      </c>
      <c r="G377" t="b">
        <v>0</v>
      </c>
      <c r="H377" t="s">
        <v>85</v>
      </c>
      <c r="K377" s="1" t="b">
        <v>0</v>
      </c>
      <c r="M377" t="b">
        <v>0</v>
      </c>
      <c r="O377" t="s">
        <v>85</v>
      </c>
    </row>
    <row r="378" spans="1:15">
      <c r="A378" s="1" t="s">
        <v>1164</v>
      </c>
      <c r="B378">
        <f t="shared" ca="1" si="10"/>
        <v>829642</v>
      </c>
      <c r="G378" t="b">
        <v>0</v>
      </c>
      <c r="H378" t="s">
        <v>85</v>
      </c>
      <c r="K378" s="1" t="b">
        <v>0</v>
      </c>
      <c r="M378" t="b">
        <v>0</v>
      </c>
      <c r="O378" t="s">
        <v>85</v>
      </c>
    </row>
    <row r="379" spans="1:15">
      <c r="A379" s="1" t="s">
        <v>1168</v>
      </c>
      <c r="B379">
        <f t="shared" ca="1" si="10"/>
        <v>812375</v>
      </c>
      <c r="G379" t="b">
        <v>0</v>
      </c>
      <c r="H379" t="s">
        <v>85</v>
      </c>
      <c r="K379" s="1" t="b">
        <v>0</v>
      </c>
      <c r="M379" t="b">
        <v>0</v>
      </c>
      <c r="O379" t="s">
        <v>85</v>
      </c>
    </row>
    <row r="380" spans="1:15">
      <c r="A380" s="1" t="s">
        <v>1168</v>
      </c>
      <c r="B380">
        <f t="shared" ca="1" si="10"/>
        <v>812375</v>
      </c>
      <c r="G380" t="b">
        <v>0</v>
      </c>
      <c r="H380" t="s">
        <v>85</v>
      </c>
      <c r="K380" s="1" t="b">
        <v>0</v>
      </c>
      <c r="M380" t="b">
        <v>0</v>
      </c>
      <c r="O380" t="s">
        <v>85</v>
      </c>
    </row>
    <row r="381" spans="1:15">
      <c r="A381" s="1" t="s">
        <v>1168</v>
      </c>
      <c r="B381">
        <f t="shared" ca="1" si="10"/>
        <v>812375</v>
      </c>
      <c r="G381" t="b">
        <v>0</v>
      </c>
      <c r="H381" t="s">
        <v>85</v>
      </c>
      <c r="K381" s="1" t="b">
        <v>0</v>
      </c>
      <c r="M381" t="b">
        <v>0</v>
      </c>
      <c r="O381" t="s">
        <v>85</v>
      </c>
    </row>
    <row r="382" spans="1:15">
      <c r="A382" s="1" t="s">
        <v>1168</v>
      </c>
      <c r="B382">
        <f t="shared" ca="1" si="10"/>
        <v>812375</v>
      </c>
      <c r="G382" t="b">
        <v>0</v>
      </c>
      <c r="H382" t="s">
        <v>85</v>
      </c>
      <c r="K382" s="1" t="b">
        <v>0</v>
      </c>
      <c r="M382" t="b">
        <v>0</v>
      </c>
      <c r="O382" t="s">
        <v>85</v>
      </c>
    </row>
    <row r="383" spans="1:15">
      <c r="A383" s="1" t="s">
        <v>1173</v>
      </c>
      <c r="B383">
        <f t="shared" ca="1" si="10"/>
        <v>786242</v>
      </c>
      <c r="G383" t="b">
        <v>0</v>
      </c>
      <c r="H383" t="s">
        <v>85</v>
      </c>
      <c r="K383" s="1" t="b">
        <v>0</v>
      </c>
      <c r="M383" t="b">
        <v>0</v>
      </c>
      <c r="O383" t="s">
        <v>85</v>
      </c>
    </row>
    <row r="384" spans="1:15">
      <c r="A384" s="1" t="s">
        <v>1173</v>
      </c>
      <c r="B384">
        <f t="shared" ca="1" si="10"/>
        <v>786242</v>
      </c>
      <c r="G384" t="b">
        <v>0</v>
      </c>
      <c r="H384" t="s">
        <v>85</v>
      </c>
      <c r="K384" s="1" t="b">
        <v>0</v>
      </c>
      <c r="M384" t="b">
        <v>0</v>
      </c>
      <c r="O384" t="s">
        <v>85</v>
      </c>
    </row>
    <row r="385" spans="1:15">
      <c r="A385" s="1" t="s">
        <v>1173</v>
      </c>
      <c r="B385">
        <f t="shared" ca="1" si="10"/>
        <v>786242</v>
      </c>
      <c r="G385" t="b">
        <v>0</v>
      </c>
      <c r="H385" t="s">
        <v>85</v>
      </c>
      <c r="K385" s="1" t="b">
        <v>0</v>
      </c>
      <c r="M385" t="b">
        <v>0</v>
      </c>
      <c r="O385" t="s">
        <v>85</v>
      </c>
    </row>
    <row r="386" spans="1:15">
      <c r="A386" s="1" t="s">
        <v>1179</v>
      </c>
      <c r="B386">
        <f t="shared" ca="1" si="10"/>
        <v>324315</v>
      </c>
      <c r="G386" t="b">
        <v>0</v>
      </c>
      <c r="H386" t="s">
        <v>85</v>
      </c>
      <c r="K386" s="1" t="b">
        <v>0</v>
      </c>
      <c r="M386" t="b">
        <v>0</v>
      </c>
      <c r="O386" t="s">
        <v>85</v>
      </c>
    </row>
    <row r="387" spans="1:15">
      <c r="A387" s="1" t="s">
        <v>1179</v>
      </c>
      <c r="B387">
        <f t="shared" ca="1" si="10"/>
        <v>324315</v>
      </c>
      <c r="G387" t="b">
        <v>0</v>
      </c>
      <c r="H387" t="s">
        <v>85</v>
      </c>
      <c r="K387" s="1" t="b">
        <v>0</v>
      </c>
      <c r="M387" t="b">
        <v>0</v>
      </c>
      <c r="O387" t="s">
        <v>85</v>
      </c>
    </row>
    <row r="388" spans="1:15">
      <c r="A388" s="1" t="s">
        <v>1179</v>
      </c>
      <c r="B388">
        <f t="shared" ca="1" si="10"/>
        <v>324315</v>
      </c>
      <c r="G388" t="b">
        <v>0</v>
      </c>
      <c r="H388" t="s">
        <v>85</v>
      </c>
      <c r="K388" s="1" t="b">
        <v>0</v>
      </c>
      <c r="M388" t="b">
        <v>0</v>
      </c>
      <c r="O388" t="s">
        <v>85</v>
      </c>
    </row>
    <row r="389" spans="1:15">
      <c r="A389" s="1" t="s">
        <v>1185</v>
      </c>
      <c r="B389">
        <f t="shared" ca="1" si="10"/>
        <v>828530</v>
      </c>
      <c r="G389" t="b">
        <v>0</v>
      </c>
      <c r="H389" t="s">
        <v>85</v>
      </c>
      <c r="K389" s="1" t="b">
        <v>0</v>
      </c>
      <c r="M389" t="b">
        <v>0</v>
      </c>
      <c r="O389" t="s">
        <v>85</v>
      </c>
    </row>
    <row r="390" spans="1:15">
      <c r="A390" s="1" t="s">
        <v>1185</v>
      </c>
      <c r="B390">
        <f t="shared" ca="1" si="10"/>
        <v>828530</v>
      </c>
      <c r="G390" t="b">
        <v>0</v>
      </c>
      <c r="H390" t="s">
        <v>85</v>
      </c>
      <c r="K390" s="1" t="b">
        <v>0</v>
      </c>
      <c r="M390" t="b">
        <v>0</v>
      </c>
      <c r="O390" t="s">
        <v>85</v>
      </c>
    </row>
    <row r="391" spans="1:15">
      <c r="A391" s="1" t="s">
        <v>1191</v>
      </c>
      <c r="B391">
        <f t="shared" ref="B391:B454" ca="1" si="11">VLOOKUP(A391,$C$6:$D$208,2,FALSE)</f>
        <v>398126</v>
      </c>
      <c r="G391" t="b">
        <v>0</v>
      </c>
      <c r="H391" t="s">
        <v>85</v>
      </c>
      <c r="K391" s="1" t="b">
        <v>0</v>
      </c>
      <c r="M391" t="b">
        <v>0</v>
      </c>
      <c r="O391" t="s">
        <v>85</v>
      </c>
    </row>
    <row r="392" spans="1:15">
      <c r="A392" s="1" t="s">
        <v>1191</v>
      </c>
      <c r="B392">
        <f t="shared" ca="1" si="11"/>
        <v>398126</v>
      </c>
      <c r="G392" t="b">
        <v>0</v>
      </c>
      <c r="H392" t="s">
        <v>85</v>
      </c>
      <c r="K392" s="1" t="b">
        <v>0</v>
      </c>
      <c r="M392" t="b">
        <v>0</v>
      </c>
      <c r="O392" t="s">
        <v>85</v>
      </c>
    </row>
    <row r="393" spans="1:15">
      <c r="A393" s="1" t="s">
        <v>1198</v>
      </c>
      <c r="B393">
        <f t="shared" ca="1" si="11"/>
        <v>488411</v>
      </c>
      <c r="G393" t="b">
        <v>0</v>
      </c>
      <c r="H393" t="s">
        <v>85</v>
      </c>
      <c r="K393" s="1" t="b">
        <v>0</v>
      </c>
      <c r="M393" t="b">
        <v>0</v>
      </c>
      <c r="O393" t="s">
        <v>85</v>
      </c>
    </row>
    <row r="394" spans="1:15">
      <c r="A394" s="1" t="s">
        <v>1198</v>
      </c>
      <c r="B394">
        <f t="shared" ca="1" si="11"/>
        <v>488411</v>
      </c>
      <c r="G394" t="b">
        <v>0</v>
      </c>
      <c r="H394" t="s">
        <v>85</v>
      </c>
      <c r="K394" s="1" t="b">
        <v>0</v>
      </c>
      <c r="M394" t="b">
        <v>0</v>
      </c>
      <c r="O394" t="s">
        <v>85</v>
      </c>
    </row>
    <row r="395" spans="1:15">
      <c r="A395" s="1" t="s">
        <v>1198</v>
      </c>
      <c r="B395">
        <f t="shared" ca="1" si="11"/>
        <v>488411</v>
      </c>
      <c r="G395" t="b">
        <v>0</v>
      </c>
      <c r="H395" t="s">
        <v>85</v>
      </c>
      <c r="K395" s="1" t="b">
        <v>0</v>
      </c>
      <c r="M395" t="b">
        <v>0</v>
      </c>
      <c r="O395" t="s">
        <v>85</v>
      </c>
    </row>
    <row r="396" spans="1:15">
      <c r="A396" s="1" t="s">
        <v>1205</v>
      </c>
      <c r="B396">
        <f t="shared" ca="1" si="11"/>
        <v>931971</v>
      </c>
      <c r="G396" t="b">
        <v>0</v>
      </c>
      <c r="H396" t="s">
        <v>85</v>
      </c>
      <c r="K396" s="1" t="b">
        <v>0</v>
      </c>
      <c r="M396" t="b">
        <v>0</v>
      </c>
      <c r="O396" t="s">
        <v>85</v>
      </c>
    </row>
    <row r="397" spans="1:15">
      <c r="A397" s="1" t="s">
        <v>1205</v>
      </c>
      <c r="B397">
        <f t="shared" ca="1" si="11"/>
        <v>931971</v>
      </c>
      <c r="G397" t="b">
        <v>0</v>
      </c>
      <c r="H397" t="s">
        <v>85</v>
      </c>
      <c r="K397" s="1" t="b">
        <v>0</v>
      </c>
      <c r="M397" t="b">
        <v>0</v>
      </c>
      <c r="O397" t="s">
        <v>85</v>
      </c>
    </row>
    <row r="398" spans="1:15">
      <c r="A398" s="1" t="s">
        <v>1205</v>
      </c>
      <c r="B398">
        <f t="shared" ca="1" si="11"/>
        <v>931971</v>
      </c>
      <c r="G398" t="b">
        <v>0</v>
      </c>
      <c r="H398" t="s">
        <v>85</v>
      </c>
      <c r="K398" s="1" t="b">
        <v>0</v>
      </c>
      <c r="M398" t="b">
        <v>0</v>
      </c>
      <c r="O398" t="s">
        <v>85</v>
      </c>
    </row>
    <row r="399" spans="1:15">
      <c r="A399" s="1" t="s">
        <v>1210</v>
      </c>
      <c r="B399">
        <f t="shared" ca="1" si="11"/>
        <v>387672</v>
      </c>
      <c r="G399" t="b">
        <v>0</v>
      </c>
      <c r="H399" t="s">
        <v>85</v>
      </c>
      <c r="K399" s="1" t="b">
        <v>0</v>
      </c>
      <c r="M399" t="b">
        <v>0</v>
      </c>
      <c r="O399" t="s">
        <v>85</v>
      </c>
    </row>
    <row r="400" spans="1:15">
      <c r="A400" s="1" t="s">
        <v>1210</v>
      </c>
      <c r="B400">
        <f t="shared" ca="1" si="11"/>
        <v>387672</v>
      </c>
      <c r="G400" t="b">
        <v>0</v>
      </c>
      <c r="H400" t="s">
        <v>85</v>
      </c>
      <c r="K400" s="1" t="b">
        <v>0</v>
      </c>
      <c r="M400" t="b">
        <v>0</v>
      </c>
      <c r="O400" t="s">
        <v>85</v>
      </c>
    </row>
    <row r="401" spans="1:15">
      <c r="A401" s="1" t="s">
        <v>1210</v>
      </c>
      <c r="B401">
        <f t="shared" ca="1" si="11"/>
        <v>387672</v>
      </c>
      <c r="G401" t="b">
        <v>0</v>
      </c>
      <c r="H401" t="s">
        <v>85</v>
      </c>
      <c r="K401" s="1" t="b">
        <v>0</v>
      </c>
      <c r="M401" t="b">
        <v>0</v>
      </c>
      <c r="O401" t="s">
        <v>85</v>
      </c>
    </row>
    <row r="402" spans="1:15">
      <c r="A402" s="1" t="s">
        <v>1215</v>
      </c>
      <c r="B402">
        <f t="shared" ca="1" si="11"/>
        <v>871970</v>
      </c>
      <c r="G402" t="b">
        <v>0</v>
      </c>
      <c r="H402" t="s">
        <v>85</v>
      </c>
      <c r="K402" s="1" t="b">
        <v>0</v>
      </c>
      <c r="M402" t="b">
        <v>0</v>
      </c>
      <c r="O402" t="s">
        <v>85</v>
      </c>
    </row>
    <row r="403" spans="1:15">
      <c r="A403" s="1" t="s">
        <v>1215</v>
      </c>
      <c r="B403">
        <f t="shared" ca="1" si="11"/>
        <v>871970</v>
      </c>
      <c r="G403" t="b">
        <v>0</v>
      </c>
      <c r="H403" t="s">
        <v>85</v>
      </c>
      <c r="K403" s="1" t="b">
        <v>0</v>
      </c>
      <c r="M403" t="b">
        <v>0</v>
      </c>
      <c r="O403" t="s">
        <v>85</v>
      </c>
    </row>
    <row r="404" spans="1:15">
      <c r="A404" s="1" t="s">
        <v>1215</v>
      </c>
      <c r="B404">
        <f t="shared" ca="1" si="11"/>
        <v>871970</v>
      </c>
      <c r="G404" t="b">
        <v>0</v>
      </c>
      <c r="H404" t="s">
        <v>85</v>
      </c>
      <c r="K404" s="1" t="b">
        <v>0</v>
      </c>
      <c r="M404" t="b">
        <v>0</v>
      </c>
      <c r="O404" t="s">
        <v>85</v>
      </c>
    </row>
    <row r="405" spans="1:15">
      <c r="A405" s="1" t="s">
        <v>1221</v>
      </c>
      <c r="B405">
        <f t="shared" ca="1" si="11"/>
        <v>902046</v>
      </c>
      <c r="G405" t="b">
        <v>0</v>
      </c>
      <c r="H405" t="s">
        <v>85</v>
      </c>
      <c r="K405" s="1" t="b">
        <v>0</v>
      </c>
      <c r="M405" t="b">
        <v>0</v>
      </c>
      <c r="O405" t="s">
        <v>85</v>
      </c>
    </row>
    <row r="406" spans="1:15">
      <c r="A406" s="1" t="s">
        <v>1221</v>
      </c>
      <c r="B406">
        <f t="shared" ca="1" si="11"/>
        <v>902046</v>
      </c>
      <c r="G406" t="b">
        <v>0</v>
      </c>
      <c r="H406" t="s">
        <v>85</v>
      </c>
      <c r="K406" s="1" t="b">
        <v>0</v>
      </c>
      <c r="M406" t="b">
        <v>0</v>
      </c>
      <c r="O406" t="s">
        <v>85</v>
      </c>
    </row>
    <row r="407" spans="1:15">
      <c r="A407" s="1" t="s">
        <v>1221</v>
      </c>
      <c r="B407">
        <f t="shared" ca="1" si="11"/>
        <v>902046</v>
      </c>
      <c r="G407" t="b">
        <v>0</v>
      </c>
      <c r="H407" t="s">
        <v>85</v>
      </c>
      <c r="K407" s="1" t="b">
        <v>0</v>
      </c>
      <c r="M407" t="b">
        <v>0</v>
      </c>
      <c r="O407" t="s">
        <v>85</v>
      </c>
    </row>
    <row r="408" spans="1:15">
      <c r="A408" s="1" t="s">
        <v>1226</v>
      </c>
      <c r="B408">
        <f t="shared" ca="1" si="11"/>
        <v>215653</v>
      </c>
      <c r="G408" t="b">
        <v>0</v>
      </c>
      <c r="H408" t="s">
        <v>85</v>
      </c>
      <c r="K408" s="1" t="b">
        <v>0</v>
      </c>
      <c r="M408" t="b">
        <v>0</v>
      </c>
      <c r="O408" t="s">
        <v>85</v>
      </c>
    </row>
    <row r="409" spans="1:15">
      <c r="A409" s="1" t="s">
        <v>1226</v>
      </c>
      <c r="B409">
        <f t="shared" ca="1" si="11"/>
        <v>215653</v>
      </c>
      <c r="G409" t="b">
        <v>0</v>
      </c>
      <c r="H409" t="s">
        <v>85</v>
      </c>
      <c r="K409" s="1" t="b">
        <v>0</v>
      </c>
      <c r="M409" t="b">
        <v>0</v>
      </c>
      <c r="O409" t="s">
        <v>85</v>
      </c>
    </row>
    <row r="410" spans="1:15">
      <c r="A410" s="1" t="s">
        <v>1226</v>
      </c>
      <c r="B410">
        <f t="shared" ca="1" si="11"/>
        <v>215653</v>
      </c>
      <c r="G410" t="b">
        <v>0</v>
      </c>
      <c r="H410" t="s">
        <v>85</v>
      </c>
      <c r="K410" s="1" t="b">
        <v>0</v>
      </c>
      <c r="M410" t="b">
        <v>0</v>
      </c>
      <c r="O410" t="s">
        <v>85</v>
      </c>
    </row>
    <row r="411" spans="1:15">
      <c r="A411" s="1" t="s">
        <v>1230</v>
      </c>
      <c r="B411">
        <f t="shared" ca="1" si="11"/>
        <v>401596</v>
      </c>
      <c r="G411" t="b">
        <v>0</v>
      </c>
      <c r="H411" t="s">
        <v>85</v>
      </c>
      <c r="K411" s="1" t="b">
        <v>0</v>
      </c>
      <c r="M411" t="b">
        <v>0</v>
      </c>
      <c r="O411" t="s">
        <v>85</v>
      </c>
    </row>
    <row r="412" spans="1:15">
      <c r="A412" s="1" t="s">
        <v>1230</v>
      </c>
      <c r="B412">
        <f t="shared" ca="1" si="11"/>
        <v>401596</v>
      </c>
      <c r="G412" t="b">
        <v>0</v>
      </c>
      <c r="H412" t="s">
        <v>85</v>
      </c>
      <c r="K412" s="1" t="b">
        <v>0</v>
      </c>
      <c r="M412" t="b">
        <v>0</v>
      </c>
      <c r="O412" t="s">
        <v>85</v>
      </c>
    </row>
    <row r="413" spans="1:15">
      <c r="A413" s="1" t="s">
        <v>1235</v>
      </c>
      <c r="B413">
        <f t="shared" ca="1" si="11"/>
        <v>36362688</v>
      </c>
      <c r="G413" t="b">
        <v>0</v>
      </c>
      <c r="H413" t="s">
        <v>85</v>
      </c>
      <c r="K413" s="1" t="b">
        <v>0</v>
      </c>
      <c r="M413" t="b">
        <v>0</v>
      </c>
      <c r="O413" t="s">
        <v>85</v>
      </c>
    </row>
    <row r="414" spans="1:15">
      <c r="A414" s="1" t="s">
        <v>1235</v>
      </c>
      <c r="B414">
        <f t="shared" ca="1" si="11"/>
        <v>36362688</v>
      </c>
      <c r="G414" t="b">
        <v>0</v>
      </c>
      <c r="H414" t="s">
        <v>85</v>
      </c>
      <c r="K414" s="1" t="b">
        <v>0</v>
      </c>
      <c r="M414" t="b">
        <v>0</v>
      </c>
      <c r="O414" t="s">
        <v>85</v>
      </c>
    </row>
    <row r="415" spans="1:15">
      <c r="A415" s="1" t="s">
        <v>1235</v>
      </c>
      <c r="B415">
        <f t="shared" ca="1" si="11"/>
        <v>36362688</v>
      </c>
      <c r="G415" t="b">
        <v>0</v>
      </c>
      <c r="H415" t="s">
        <v>85</v>
      </c>
      <c r="K415" s="1" t="b">
        <v>0</v>
      </c>
      <c r="M415" t="b">
        <v>0</v>
      </c>
      <c r="O415" t="s">
        <v>85</v>
      </c>
    </row>
    <row r="416" spans="1:15">
      <c r="A416" s="1" t="s">
        <v>1235</v>
      </c>
      <c r="B416">
        <f t="shared" ca="1" si="11"/>
        <v>36362688</v>
      </c>
      <c r="G416" t="b">
        <v>0</v>
      </c>
      <c r="H416" t="s">
        <v>85</v>
      </c>
      <c r="K416" s="1" t="b">
        <v>0</v>
      </c>
      <c r="M416" t="b">
        <v>0</v>
      </c>
      <c r="O416" t="s">
        <v>85</v>
      </c>
    </row>
    <row r="417" spans="1:15">
      <c r="A417" s="1" t="s">
        <v>1240</v>
      </c>
      <c r="B417">
        <f t="shared" ca="1" si="11"/>
        <v>20038643</v>
      </c>
      <c r="G417" t="b">
        <v>0</v>
      </c>
      <c r="H417" t="s">
        <v>85</v>
      </c>
      <c r="K417" s="1" t="b">
        <v>0</v>
      </c>
      <c r="M417" t="b">
        <v>0</v>
      </c>
      <c r="O417" t="s">
        <v>85</v>
      </c>
    </row>
    <row r="418" spans="1:15">
      <c r="A418" s="1" t="s">
        <v>1240</v>
      </c>
      <c r="B418">
        <f t="shared" ca="1" si="11"/>
        <v>20038643</v>
      </c>
      <c r="G418" t="b">
        <v>0</v>
      </c>
      <c r="H418" t="s">
        <v>85</v>
      </c>
      <c r="K418" s="1" t="b">
        <v>0</v>
      </c>
      <c r="M418" t="b">
        <v>1</v>
      </c>
      <c r="O418" t="s">
        <v>87</v>
      </c>
    </row>
    <row r="419" spans="1:15">
      <c r="A419" s="1" t="s">
        <v>1245</v>
      </c>
      <c r="B419">
        <f t="shared" ca="1" si="11"/>
        <v>4255661</v>
      </c>
      <c r="G419" t="b">
        <v>0</v>
      </c>
      <c r="H419" t="s">
        <v>85</v>
      </c>
      <c r="K419" s="1" t="b">
        <v>0</v>
      </c>
      <c r="M419" t="b">
        <v>0</v>
      </c>
      <c r="O419" t="s">
        <v>85</v>
      </c>
    </row>
    <row r="420" spans="1:15">
      <c r="A420" s="1" t="s">
        <v>1245</v>
      </c>
      <c r="B420">
        <f t="shared" ca="1" si="11"/>
        <v>4255661</v>
      </c>
      <c r="G420" t="b">
        <v>0</v>
      </c>
      <c r="H420" t="s">
        <v>85</v>
      </c>
      <c r="K420" s="1" t="b">
        <v>0</v>
      </c>
      <c r="M420" t="b">
        <v>0</v>
      </c>
      <c r="O420" t="s">
        <v>85</v>
      </c>
    </row>
    <row r="421" spans="1:15">
      <c r="A421" s="1" t="s">
        <v>1245</v>
      </c>
      <c r="B421">
        <f t="shared" ca="1" si="11"/>
        <v>4255661</v>
      </c>
      <c r="G421" t="b">
        <v>0</v>
      </c>
      <c r="H421" t="s">
        <v>85</v>
      </c>
      <c r="K421" s="1" t="b">
        <v>0</v>
      </c>
      <c r="M421" t="b">
        <v>0</v>
      </c>
      <c r="O421" t="s">
        <v>85</v>
      </c>
    </row>
    <row r="422" spans="1:15">
      <c r="A422" s="1" t="s">
        <v>1254</v>
      </c>
      <c r="B422">
        <f t="shared" ca="1" si="11"/>
        <v>26739541</v>
      </c>
      <c r="G422" t="b">
        <v>0</v>
      </c>
      <c r="H422" t="s">
        <v>85</v>
      </c>
      <c r="K422" s="1" t="b">
        <v>0</v>
      </c>
      <c r="M422" t="b">
        <v>0</v>
      </c>
      <c r="O422" t="s">
        <v>85</v>
      </c>
    </row>
    <row r="423" spans="1:15">
      <c r="A423" s="1" t="s">
        <v>1254</v>
      </c>
      <c r="B423">
        <f t="shared" ca="1" si="11"/>
        <v>26739541</v>
      </c>
      <c r="G423" t="b">
        <v>0</v>
      </c>
      <c r="H423" t="s">
        <v>85</v>
      </c>
      <c r="K423" s="1" t="b">
        <v>0</v>
      </c>
      <c r="M423" t="b">
        <v>0</v>
      </c>
      <c r="O423" t="s">
        <v>85</v>
      </c>
    </row>
    <row r="424" spans="1:15">
      <c r="A424" s="1" t="s">
        <v>1254</v>
      </c>
      <c r="B424">
        <f t="shared" ca="1" si="11"/>
        <v>26739541</v>
      </c>
      <c r="G424" t="b">
        <v>0</v>
      </c>
      <c r="H424" t="s">
        <v>85</v>
      </c>
      <c r="K424" s="1" t="b">
        <v>0</v>
      </c>
      <c r="M424" t="b">
        <v>0</v>
      </c>
      <c r="O424" t="s">
        <v>85</v>
      </c>
    </row>
    <row r="425" spans="1:15">
      <c r="A425" s="1" t="s">
        <v>1258</v>
      </c>
      <c r="B425">
        <f t="shared" ca="1" si="11"/>
        <v>37956980</v>
      </c>
      <c r="G425" t="b">
        <v>0</v>
      </c>
      <c r="H425" t="s">
        <v>85</v>
      </c>
      <c r="K425" s="1" t="b">
        <v>0</v>
      </c>
      <c r="M425" t="b">
        <v>0</v>
      </c>
      <c r="O425" t="s">
        <v>85</v>
      </c>
    </row>
    <row r="426" spans="1:15">
      <c r="A426" s="1" t="s">
        <v>1258</v>
      </c>
      <c r="B426">
        <f t="shared" ca="1" si="11"/>
        <v>37956980</v>
      </c>
      <c r="G426" t="b">
        <v>0</v>
      </c>
      <c r="H426" t="s">
        <v>85</v>
      </c>
      <c r="K426" s="1" t="b">
        <v>0</v>
      </c>
      <c r="M426" t="b">
        <v>0</v>
      </c>
      <c r="O426" t="s">
        <v>85</v>
      </c>
    </row>
    <row r="427" spans="1:15">
      <c r="A427" s="1" t="s">
        <v>1258</v>
      </c>
      <c r="B427">
        <f t="shared" ca="1" si="11"/>
        <v>37956980</v>
      </c>
      <c r="G427" t="b">
        <v>0</v>
      </c>
      <c r="H427" t="s">
        <v>85</v>
      </c>
      <c r="K427" s="1" t="b">
        <v>0</v>
      </c>
      <c r="M427" t="b">
        <v>0</v>
      </c>
      <c r="O427" t="s">
        <v>85</v>
      </c>
    </row>
    <row r="428" spans="1:15">
      <c r="A428" s="1" t="s">
        <v>1262</v>
      </c>
      <c r="B428">
        <f t="shared" ca="1" si="11"/>
        <v>18016093</v>
      </c>
      <c r="G428" t="b">
        <v>0</v>
      </c>
      <c r="H428" t="s">
        <v>85</v>
      </c>
      <c r="K428" s="1" t="b">
        <v>0</v>
      </c>
      <c r="M428" t="b">
        <v>0</v>
      </c>
      <c r="O428" t="s">
        <v>85</v>
      </c>
    </row>
    <row r="429" spans="1:15">
      <c r="A429" s="1" t="s">
        <v>1262</v>
      </c>
      <c r="B429">
        <f t="shared" ca="1" si="11"/>
        <v>18016093</v>
      </c>
      <c r="G429" t="b">
        <v>0</v>
      </c>
      <c r="H429" t="s">
        <v>85</v>
      </c>
      <c r="K429" s="1" t="b">
        <v>0</v>
      </c>
      <c r="M429" t="b">
        <v>0</v>
      </c>
      <c r="O429" t="s">
        <v>85</v>
      </c>
    </row>
    <row r="430" spans="1:15">
      <c r="A430" s="1" t="s">
        <v>1262</v>
      </c>
      <c r="B430">
        <f t="shared" ca="1" si="11"/>
        <v>18016093</v>
      </c>
      <c r="G430" t="b">
        <v>0</v>
      </c>
      <c r="H430" t="s">
        <v>85</v>
      </c>
      <c r="K430" s="1" t="b">
        <v>0</v>
      </c>
      <c r="M430" t="b">
        <v>0</v>
      </c>
      <c r="O430" t="s">
        <v>85</v>
      </c>
    </row>
    <row r="431" spans="1:15">
      <c r="A431" s="1" t="s">
        <v>1266</v>
      </c>
      <c r="B431">
        <f t="shared" ca="1" si="11"/>
        <v>11480611</v>
      </c>
      <c r="G431" t="b">
        <v>0</v>
      </c>
      <c r="H431" t="s">
        <v>85</v>
      </c>
      <c r="K431" s="1" t="b">
        <v>0</v>
      </c>
      <c r="M431" t="b">
        <v>0</v>
      </c>
      <c r="O431" t="s">
        <v>85</v>
      </c>
    </row>
    <row r="432" spans="1:15">
      <c r="A432" s="1" t="s">
        <v>1266</v>
      </c>
      <c r="B432">
        <f t="shared" ca="1" si="11"/>
        <v>11480611</v>
      </c>
      <c r="G432" t="b">
        <v>0</v>
      </c>
      <c r="H432" t="s">
        <v>85</v>
      </c>
      <c r="K432" s="1" t="b">
        <v>0</v>
      </c>
      <c r="M432" t="b">
        <v>0</v>
      </c>
      <c r="O432" t="s">
        <v>85</v>
      </c>
    </row>
    <row r="433" spans="1:15">
      <c r="A433" s="1" t="s">
        <v>1266</v>
      </c>
      <c r="B433">
        <f t="shared" ca="1" si="11"/>
        <v>11480611</v>
      </c>
      <c r="G433" t="b">
        <v>0</v>
      </c>
      <c r="H433" t="s">
        <v>85</v>
      </c>
      <c r="K433" s="1" t="b">
        <v>0</v>
      </c>
      <c r="M433" t="b">
        <v>0</v>
      </c>
      <c r="O433" t="s">
        <v>85</v>
      </c>
    </row>
    <row r="434" spans="1:15">
      <c r="A434" s="1" t="s">
        <v>1270</v>
      </c>
      <c r="B434">
        <f t="shared" ca="1" si="11"/>
        <v>18471546</v>
      </c>
      <c r="G434" t="b">
        <v>0</v>
      </c>
      <c r="H434" t="s">
        <v>85</v>
      </c>
      <c r="K434" s="1" t="b">
        <v>0</v>
      </c>
      <c r="M434" t="b">
        <v>0</v>
      </c>
      <c r="O434" t="s">
        <v>85</v>
      </c>
    </row>
    <row r="435" spans="1:15">
      <c r="A435" s="1" t="s">
        <v>1270</v>
      </c>
      <c r="B435">
        <f t="shared" ca="1" si="11"/>
        <v>18471546</v>
      </c>
      <c r="G435" t="b">
        <v>0</v>
      </c>
      <c r="H435" t="s">
        <v>85</v>
      </c>
      <c r="K435" s="1" t="b">
        <v>0</v>
      </c>
      <c r="M435" t="b">
        <v>0</v>
      </c>
      <c r="O435" t="s">
        <v>85</v>
      </c>
    </row>
    <row r="436" spans="1:15">
      <c r="A436" s="1" t="s">
        <v>1270</v>
      </c>
      <c r="B436">
        <f t="shared" ca="1" si="11"/>
        <v>18471546</v>
      </c>
      <c r="G436" t="b">
        <v>0</v>
      </c>
      <c r="H436" t="s">
        <v>85</v>
      </c>
      <c r="K436" s="1" t="b">
        <v>0</v>
      </c>
      <c r="M436" t="b">
        <v>0</v>
      </c>
      <c r="O436" t="s">
        <v>85</v>
      </c>
    </row>
    <row r="437" spans="1:15">
      <c r="A437" s="1" t="s">
        <v>1274</v>
      </c>
      <c r="B437">
        <f t="shared" ca="1" si="11"/>
        <v>5948928</v>
      </c>
      <c r="G437" t="b">
        <v>0</v>
      </c>
      <c r="H437" t="s">
        <v>85</v>
      </c>
      <c r="K437" s="1" t="b">
        <v>0</v>
      </c>
      <c r="M437" t="b">
        <v>0</v>
      </c>
      <c r="O437" t="s">
        <v>85</v>
      </c>
    </row>
    <row r="438" spans="1:15">
      <c r="A438" s="1" t="s">
        <v>1274</v>
      </c>
      <c r="B438">
        <f t="shared" ca="1" si="11"/>
        <v>5948928</v>
      </c>
      <c r="G438" t="b">
        <v>0</v>
      </c>
      <c r="H438" t="s">
        <v>85</v>
      </c>
      <c r="K438" s="1" t="b">
        <v>0</v>
      </c>
      <c r="M438" t="b">
        <v>0</v>
      </c>
      <c r="O438" t="s">
        <v>85</v>
      </c>
    </row>
    <row r="439" spans="1:15">
      <c r="A439" s="1" t="s">
        <v>1278</v>
      </c>
      <c r="B439">
        <f t="shared" ca="1" si="11"/>
        <v>8136681</v>
      </c>
      <c r="G439" t="b">
        <v>0</v>
      </c>
      <c r="H439" t="s">
        <v>85</v>
      </c>
      <c r="K439" s="1" t="b">
        <v>0</v>
      </c>
      <c r="M439" t="b">
        <v>0</v>
      </c>
      <c r="O439" t="s">
        <v>85</v>
      </c>
    </row>
    <row r="440" spans="1:15">
      <c r="A440" s="1" t="s">
        <v>1278</v>
      </c>
      <c r="B440">
        <f t="shared" ca="1" si="11"/>
        <v>8136681</v>
      </c>
      <c r="G440" t="b">
        <v>0</v>
      </c>
      <c r="H440" t="s">
        <v>85</v>
      </c>
      <c r="K440" s="1" t="b">
        <v>0</v>
      </c>
      <c r="M440" t="b">
        <v>0</v>
      </c>
      <c r="O440" t="s">
        <v>85</v>
      </c>
    </row>
    <row r="441" spans="1:15">
      <c r="A441" s="1" t="s">
        <v>1284</v>
      </c>
      <c r="B441">
        <f t="shared" ca="1" si="11"/>
        <v>15536716</v>
      </c>
      <c r="G441" t="b">
        <v>0</v>
      </c>
      <c r="H441" t="s">
        <v>85</v>
      </c>
      <c r="K441" s="1" t="b">
        <v>0</v>
      </c>
      <c r="M441" t="b">
        <v>0</v>
      </c>
      <c r="O441" t="s">
        <v>85</v>
      </c>
    </row>
    <row r="442" spans="1:15">
      <c r="A442" s="1" t="s">
        <v>1284</v>
      </c>
      <c r="B442">
        <f t="shared" ca="1" si="11"/>
        <v>15536716</v>
      </c>
      <c r="G442" t="b">
        <v>0</v>
      </c>
      <c r="H442" t="s">
        <v>85</v>
      </c>
      <c r="K442" s="1" t="b">
        <v>0</v>
      </c>
      <c r="M442" t="b">
        <v>0</v>
      </c>
      <c r="O442" t="s">
        <v>85</v>
      </c>
    </row>
    <row r="443" spans="1:15">
      <c r="A443" s="1" t="s">
        <v>1284</v>
      </c>
      <c r="B443">
        <f t="shared" ca="1" si="11"/>
        <v>15536716</v>
      </c>
      <c r="G443" t="b">
        <v>1</v>
      </c>
      <c r="H443" t="s">
        <v>87</v>
      </c>
      <c r="K443" s="1" t="b">
        <v>0</v>
      </c>
      <c r="M443" t="b">
        <v>0</v>
      </c>
      <c r="O443" t="s">
        <v>85</v>
      </c>
    </row>
    <row r="444" spans="1:15">
      <c r="A444" s="1" t="s">
        <v>1288</v>
      </c>
      <c r="B444">
        <f t="shared" ca="1" si="11"/>
        <v>9536643</v>
      </c>
      <c r="G444" t="b">
        <v>0</v>
      </c>
      <c r="H444" t="s">
        <v>85</v>
      </c>
      <c r="K444" s="1" t="b">
        <v>0</v>
      </c>
      <c r="M444" t="b">
        <v>0</v>
      </c>
      <c r="O444" t="s">
        <v>85</v>
      </c>
    </row>
    <row r="445" spans="1:15">
      <c r="A445" s="1" t="s">
        <v>1288</v>
      </c>
      <c r="B445">
        <f t="shared" ca="1" si="11"/>
        <v>9536643</v>
      </c>
      <c r="G445" t="b">
        <v>0</v>
      </c>
      <c r="H445" t="s">
        <v>85</v>
      </c>
      <c r="K445" s="1" t="b">
        <v>0</v>
      </c>
      <c r="M445" t="b">
        <v>0</v>
      </c>
      <c r="O445" t="s">
        <v>85</v>
      </c>
    </row>
    <row r="446" spans="1:15">
      <c r="A446" s="1" t="s">
        <v>1288</v>
      </c>
      <c r="B446">
        <f t="shared" ca="1" si="11"/>
        <v>9536643</v>
      </c>
      <c r="G446" t="b">
        <v>0</v>
      </c>
      <c r="H446" t="s">
        <v>85</v>
      </c>
      <c r="K446" s="1" t="b">
        <v>0</v>
      </c>
      <c r="M446" t="b">
        <v>0</v>
      </c>
      <c r="O446" t="s">
        <v>85</v>
      </c>
    </row>
    <row r="447" spans="1:15">
      <c r="A447" s="1" t="s">
        <v>1296</v>
      </c>
      <c r="B447">
        <f t="shared" ca="1" si="11"/>
        <v>6789690</v>
      </c>
      <c r="G447" t="b">
        <v>0</v>
      </c>
      <c r="H447" t="s">
        <v>85</v>
      </c>
      <c r="K447" s="1" t="b">
        <v>0</v>
      </c>
      <c r="M447" t="b">
        <v>0</v>
      </c>
      <c r="O447" t="s">
        <v>85</v>
      </c>
    </row>
    <row r="448" spans="1:15">
      <c r="A448" s="1" t="s">
        <v>1296</v>
      </c>
      <c r="B448">
        <f t="shared" ca="1" si="11"/>
        <v>6789690</v>
      </c>
      <c r="G448" t="b">
        <v>0</v>
      </c>
      <c r="H448" t="s">
        <v>85</v>
      </c>
      <c r="K448" s="1" t="b">
        <v>0</v>
      </c>
      <c r="M448" t="b">
        <v>0</v>
      </c>
      <c r="O448" t="s">
        <v>85</v>
      </c>
    </row>
    <row r="449" spans="1:15">
      <c r="A449" s="1" t="s">
        <v>1296</v>
      </c>
      <c r="B449">
        <f t="shared" ca="1" si="11"/>
        <v>6789690</v>
      </c>
      <c r="G449" t="b">
        <v>0</v>
      </c>
      <c r="H449" t="s">
        <v>85</v>
      </c>
      <c r="K449" s="1" t="b">
        <v>0</v>
      </c>
      <c r="M449" t="b">
        <v>0</v>
      </c>
      <c r="O449" t="s">
        <v>85</v>
      </c>
    </row>
    <row r="450" spans="1:15">
      <c r="A450" s="1" t="s">
        <v>1300</v>
      </c>
      <c r="B450">
        <f t="shared" ca="1" si="11"/>
        <v>21662759</v>
      </c>
      <c r="G450" t="b">
        <v>0</v>
      </c>
      <c r="H450" t="s">
        <v>85</v>
      </c>
      <c r="K450" s="1" t="b">
        <v>0</v>
      </c>
      <c r="M450" t="b">
        <v>0</v>
      </c>
      <c r="O450" t="s">
        <v>85</v>
      </c>
    </row>
    <row r="451" spans="1:15">
      <c r="A451" s="1" t="s">
        <v>1300</v>
      </c>
      <c r="B451">
        <f t="shared" ca="1" si="11"/>
        <v>21662759</v>
      </c>
      <c r="G451" t="b">
        <v>0</v>
      </c>
      <c r="H451" t="s">
        <v>85</v>
      </c>
      <c r="K451" s="1" t="b">
        <v>0</v>
      </c>
      <c r="M451" t="b">
        <v>0</v>
      </c>
      <c r="O451" t="s">
        <v>85</v>
      </c>
    </row>
    <row r="452" spans="1:15">
      <c r="A452" s="1" t="s">
        <v>1305</v>
      </c>
      <c r="B452">
        <f t="shared" ca="1" si="11"/>
        <v>26336016</v>
      </c>
      <c r="G452" t="b">
        <v>0</v>
      </c>
      <c r="H452" t="s">
        <v>85</v>
      </c>
      <c r="K452" s="1" t="b">
        <v>0</v>
      </c>
      <c r="M452" t="b">
        <v>0</v>
      </c>
      <c r="O452" t="s">
        <v>85</v>
      </c>
    </row>
    <row r="453" spans="1:15">
      <c r="A453" s="1" t="s">
        <v>1305</v>
      </c>
      <c r="B453">
        <f t="shared" ca="1" si="11"/>
        <v>26336016</v>
      </c>
      <c r="G453" t="b">
        <v>0</v>
      </c>
      <c r="H453" t="s">
        <v>85</v>
      </c>
      <c r="K453" s="1" t="b">
        <v>0</v>
      </c>
      <c r="M453" t="b">
        <v>0</v>
      </c>
      <c r="O453" t="s">
        <v>85</v>
      </c>
    </row>
    <row r="454" spans="1:15">
      <c r="A454" s="1" t="s">
        <v>1305</v>
      </c>
      <c r="B454">
        <f t="shared" ca="1" si="11"/>
        <v>26336016</v>
      </c>
      <c r="G454" t="b">
        <v>0</v>
      </c>
      <c r="H454" t="s">
        <v>85</v>
      </c>
      <c r="K454" s="1" t="b">
        <v>0</v>
      </c>
      <c r="M454" t="b">
        <v>0</v>
      </c>
      <c r="O454" t="s">
        <v>85</v>
      </c>
    </row>
    <row r="455" spans="1:15">
      <c r="A455" s="1" t="s">
        <v>1309</v>
      </c>
      <c r="B455">
        <f t="shared" ref="B455:B518" ca="1" si="12">VLOOKUP(A455,$C$6:$D$208,2,FALSE)</f>
        <v>25459939</v>
      </c>
      <c r="G455" t="b">
        <v>0</v>
      </c>
      <c r="H455" t="s">
        <v>85</v>
      </c>
      <c r="K455" s="1" t="b">
        <v>0</v>
      </c>
      <c r="M455" t="b">
        <v>0</v>
      </c>
      <c r="O455" t="s">
        <v>85</v>
      </c>
    </row>
    <row r="456" spans="1:15">
      <c r="A456" s="1" t="s">
        <v>1309</v>
      </c>
      <c r="B456">
        <f t="shared" ca="1" si="12"/>
        <v>25459939</v>
      </c>
      <c r="G456" t="b">
        <v>0</v>
      </c>
      <c r="H456" t="s">
        <v>85</v>
      </c>
      <c r="K456" s="1" t="b">
        <v>0</v>
      </c>
      <c r="M456" t="b">
        <v>0</v>
      </c>
      <c r="O456" t="s">
        <v>85</v>
      </c>
    </row>
    <row r="457" spans="1:15">
      <c r="A457" s="1" t="s">
        <v>1309</v>
      </c>
      <c r="B457">
        <f t="shared" ca="1" si="12"/>
        <v>25459939</v>
      </c>
      <c r="G457" t="b">
        <v>0</v>
      </c>
      <c r="H457" t="s">
        <v>85</v>
      </c>
      <c r="K457" s="1" t="b">
        <v>0</v>
      </c>
      <c r="M457" t="b">
        <v>0</v>
      </c>
      <c r="O457" t="s">
        <v>85</v>
      </c>
    </row>
    <row r="458" spans="1:15">
      <c r="A458" s="1" t="s">
        <v>1315</v>
      </c>
      <c r="B458">
        <f t="shared" ca="1" si="12"/>
        <v>22332618</v>
      </c>
      <c r="G458" t="b">
        <v>0</v>
      </c>
      <c r="H458" t="s">
        <v>85</v>
      </c>
      <c r="K458" s="1" t="b">
        <v>0</v>
      </c>
      <c r="M458" t="b">
        <v>0</v>
      </c>
      <c r="O458" t="s">
        <v>85</v>
      </c>
    </row>
    <row r="459" spans="1:15">
      <c r="A459" s="1" t="s">
        <v>1315</v>
      </c>
      <c r="B459">
        <f t="shared" ca="1" si="12"/>
        <v>22332618</v>
      </c>
      <c r="G459" t="b">
        <v>0</v>
      </c>
      <c r="H459" t="s">
        <v>85</v>
      </c>
      <c r="K459" s="1" t="b">
        <v>0</v>
      </c>
      <c r="M459" t="b">
        <v>0</v>
      </c>
      <c r="O459" t="s">
        <v>85</v>
      </c>
    </row>
    <row r="460" spans="1:15">
      <c r="A460" s="1" t="s">
        <v>1315</v>
      </c>
      <c r="B460">
        <f t="shared" ca="1" si="12"/>
        <v>22332618</v>
      </c>
      <c r="G460" t="b">
        <v>1</v>
      </c>
      <c r="H460" t="s">
        <v>87</v>
      </c>
      <c r="K460" s="1" t="b">
        <v>0</v>
      </c>
      <c r="M460" t="b">
        <v>0</v>
      </c>
      <c r="O460" t="s">
        <v>85</v>
      </c>
    </row>
    <row r="461" spans="1:15">
      <c r="A461" s="1" t="s">
        <v>1319</v>
      </c>
      <c r="B461">
        <f t="shared" ca="1" si="12"/>
        <v>37210095</v>
      </c>
      <c r="G461" t="b">
        <v>0</v>
      </c>
      <c r="H461" t="s">
        <v>85</v>
      </c>
      <c r="K461" s="1" t="b">
        <v>0</v>
      </c>
      <c r="M461" t="b">
        <v>0</v>
      </c>
      <c r="O461" t="s">
        <v>85</v>
      </c>
    </row>
    <row r="462" spans="1:15">
      <c r="A462" s="1" t="s">
        <v>1319</v>
      </c>
      <c r="B462">
        <f t="shared" ca="1" si="12"/>
        <v>37210095</v>
      </c>
      <c r="G462" t="b">
        <v>0</v>
      </c>
      <c r="H462" t="s">
        <v>85</v>
      </c>
      <c r="K462" s="1" t="b">
        <v>0</v>
      </c>
      <c r="M462" t="b">
        <v>0</v>
      </c>
      <c r="O462" t="s">
        <v>85</v>
      </c>
    </row>
    <row r="463" spans="1:15">
      <c r="A463" s="1" t="s">
        <v>1319</v>
      </c>
      <c r="B463">
        <f t="shared" ca="1" si="12"/>
        <v>37210095</v>
      </c>
      <c r="G463" t="b">
        <v>0</v>
      </c>
      <c r="H463" t="s">
        <v>85</v>
      </c>
      <c r="K463" s="1" t="b">
        <v>0</v>
      </c>
      <c r="M463" t="b">
        <v>0</v>
      </c>
      <c r="O463" t="s">
        <v>85</v>
      </c>
    </row>
    <row r="464" spans="1:15">
      <c r="A464" s="1" t="s">
        <v>1326</v>
      </c>
      <c r="B464">
        <f t="shared" ca="1" si="12"/>
        <v>895918</v>
      </c>
      <c r="G464" t="b">
        <v>0</v>
      </c>
      <c r="H464" t="s">
        <v>85</v>
      </c>
      <c r="K464" s="1" t="b">
        <v>0</v>
      </c>
      <c r="M464" t="b">
        <v>0</v>
      </c>
      <c r="O464" t="s">
        <v>85</v>
      </c>
    </row>
    <row r="465" spans="1:15">
      <c r="A465" s="1" t="s">
        <v>1326</v>
      </c>
      <c r="B465">
        <f t="shared" ca="1" si="12"/>
        <v>895918</v>
      </c>
      <c r="G465" t="b">
        <v>0</v>
      </c>
      <c r="H465" t="s">
        <v>85</v>
      </c>
      <c r="K465" s="1" t="b">
        <v>0</v>
      </c>
      <c r="M465" t="b">
        <v>0</v>
      </c>
      <c r="O465" t="s">
        <v>85</v>
      </c>
    </row>
    <row r="466" spans="1:15">
      <c r="A466" s="1" t="s">
        <v>1331</v>
      </c>
      <c r="B466">
        <f t="shared" ca="1" si="12"/>
        <v>26375423</v>
      </c>
      <c r="G466" t="b">
        <v>0</v>
      </c>
      <c r="H466" t="s">
        <v>85</v>
      </c>
      <c r="K466" s="1" t="b">
        <v>0</v>
      </c>
      <c r="M466" t="b">
        <v>0</v>
      </c>
      <c r="O466" t="s">
        <v>85</v>
      </c>
    </row>
    <row r="467" spans="1:15">
      <c r="A467" s="1" t="s">
        <v>1331</v>
      </c>
      <c r="B467">
        <f t="shared" ca="1" si="12"/>
        <v>26375423</v>
      </c>
      <c r="G467" t="b">
        <v>0</v>
      </c>
      <c r="H467" t="s">
        <v>85</v>
      </c>
      <c r="K467" s="1" t="b">
        <v>0</v>
      </c>
      <c r="M467" t="b">
        <v>0</v>
      </c>
      <c r="O467" t="s">
        <v>85</v>
      </c>
    </row>
    <row r="468" spans="1:15">
      <c r="A468" s="1" t="s">
        <v>1331</v>
      </c>
      <c r="B468">
        <f t="shared" ca="1" si="12"/>
        <v>26375423</v>
      </c>
      <c r="G468" t="b">
        <v>0</v>
      </c>
      <c r="H468" t="s">
        <v>85</v>
      </c>
      <c r="K468" s="1" t="b">
        <v>0</v>
      </c>
      <c r="M468" t="b">
        <v>0</v>
      </c>
      <c r="O468" t="s">
        <v>85</v>
      </c>
    </row>
    <row r="469" spans="1:15">
      <c r="A469" s="1" t="s">
        <v>1336</v>
      </c>
      <c r="B469">
        <f t="shared" ca="1" si="12"/>
        <v>11964452</v>
      </c>
      <c r="G469" t="b">
        <v>0</v>
      </c>
      <c r="H469" t="s">
        <v>85</v>
      </c>
      <c r="K469" s="1" t="b">
        <v>0</v>
      </c>
      <c r="M469" t="b">
        <v>0</v>
      </c>
      <c r="O469" t="s">
        <v>85</v>
      </c>
    </row>
    <row r="470" spans="1:15">
      <c r="A470" s="1" t="s">
        <v>1336</v>
      </c>
      <c r="B470">
        <f t="shared" ca="1" si="12"/>
        <v>11964452</v>
      </c>
      <c r="G470" t="b">
        <v>0</v>
      </c>
      <c r="H470" t="s">
        <v>85</v>
      </c>
      <c r="K470" s="1" t="b">
        <v>0</v>
      </c>
      <c r="M470" t="b">
        <v>0</v>
      </c>
      <c r="O470" t="s">
        <v>85</v>
      </c>
    </row>
    <row r="471" spans="1:15">
      <c r="A471" s="1" t="s">
        <v>1336</v>
      </c>
      <c r="B471">
        <f t="shared" ca="1" si="12"/>
        <v>11964452</v>
      </c>
      <c r="G471" t="b">
        <v>0</v>
      </c>
      <c r="H471" t="s">
        <v>85</v>
      </c>
      <c r="K471" s="1" t="b">
        <v>0</v>
      </c>
      <c r="M471" t="b">
        <v>0</v>
      </c>
      <c r="O471" t="s">
        <v>85</v>
      </c>
    </row>
    <row r="472" spans="1:15">
      <c r="A472" s="1" t="s">
        <v>1342</v>
      </c>
      <c r="B472">
        <f t="shared" ca="1" si="12"/>
        <v>22618880</v>
      </c>
      <c r="G472" t="b">
        <v>0</v>
      </c>
      <c r="H472" t="s">
        <v>85</v>
      </c>
      <c r="K472" s="1" t="b">
        <v>0</v>
      </c>
      <c r="M472" t="b">
        <v>0</v>
      </c>
      <c r="O472" t="s">
        <v>85</v>
      </c>
    </row>
    <row r="473" spans="1:15">
      <c r="A473" s="1" t="s">
        <v>1342</v>
      </c>
      <c r="B473">
        <f t="shared" ca="1" si="12"/>
        <v>22618880</v>
      </c>
      <c r="G473" t="b">
        <v>0</v>
      </c>
      <c r="H473" t="s">
        <v>85</v>
      </c>
      <c r="K473" s="1" t="b">
        <v>0</v>
      </c>
      <c r="M473" t="b">
        <v>0</v>
      </c>
      <c r="O473" t="s">
        <v>85</v>
      </c>
    </row>
    <row r="474" spans="1:15">
      <c r="A474" s="1" t="s">
        <v>1349</v>
      </c>
      <c r="B474">
        <f t="shared" ca="1" si="12"/>
        <v>29280984</v>
      </c>
      <c r="G474" t="b">
        <v>0</v>
      </c>
      <c r="H474" t="s">
        <v>85</v>
      </c>
      <c r="K474" s="1" t="b">
        <v>0</v>
      </c>
      <c r="M474" t="b">
        <v>0</v>
      </c>
      <c r="O474" t="s">
        <v>85</v>
      </c>
    </row>
    <row r="475" spans="1:15">
      <c r="A475" s="1" t="s">
        <v>1349</v>
      </c>
      <c r="B475">
        <f t="shared" ca="1" si="12"/>
        <v>29280984</v>
      </c>
      <c r="G475" t="b">
        <v>0</v>
      </c>
      <c r="H475" t="s">
        <v>85</v>
      </c>
      <c r="K475" s="1" t="b">
        <v>0</v>
      </c>
      <c r="M475" t="b">
        <v>0</v>
      </c>
      <c r="O475" t="s">
        <v>85</v>
      </c>
    </row>
    <row r="476" spans="1:15">
      <c r="A476" s="1" t="s">
        <v>1349</v>
      </c>
      <c r="B476">
        <f t="shared" ca="1" si="12"/>
        <v>29280984</v>
      </c>
      <c r="G476" t="b">
        <v>0</v>
      </c>
      <c r="H476" t="s">
        <v>85</v>
      </c>
      <c r="K476" s="1" t="b">
        <v>0</v>
      </c>
      <c r="M476" t="b">
        <v>0</v>
      </c>
      <c r="O476" t="s">
        <v>85</v>
      </c>
    </row>
    <row r="477" spans="1:15">
      <c r="A477" s="1" t="s">
        <v>1353</v>
      </c>
      <c r="B477">
        <f t="shared" ca="1" si="12"/>
        <v>29480752</v>
      </c>
      <c r="G477" t="b">
        <v>0</v>
      </c>
      <c r="H477" t="s">
        <v>85</v>
      </c>
      <c r="K477" s="1" t="b">
        <v>0</v>
      </c>
      <c r="M477" t="b">
        <v>0</v>
      </c>
      <c r="O477" t="s">
        <v>85</v>
      </c>
    </row>
    <row r="478" spans="1:15">
      <c r="A478" s="1" t="s">
        <v>1353</v>
      </c>
      <c r="B478">
        <f t="shared" ca="1" si="12"/>
        <v>29480752</v>
      </c>
      <c r="G478" t="b">
        <v>0</v>
      </c>
      <c r="H478" t="s">
        <v>85</v>
      </c>
      <c r="K478" s="1" t="b">
        <v>0</v>
      </c>
      <c r="M478" t="b">
        <v>0</v>
      </c>
      <c r="O478" t="s">
        <v>85</v>
      </c>
    </row>
    <row r="479" spans="1:15">
      <c r="A479" s="1" t="s">
        <v>1353</v>
      </c>
      <c r="B479">
        <f t="shared" ca="1" si="12"/>
        <v>29480752</v>
      </c>
      <c r="G479" t="b">
        <v>0</v>
      </c>
      <c r="H479" t="s">
        <v>85</v>
      </c>
      <c r="K479" s="1" t="b">
        <v>0</v>
      </c>
      <c r="M479" t="b">
        <v>0</v>
      </c>
      <c r="O479" t="s">
        <v>85</v>
      </c>
    </row>
    <row r="480" spans="1:15">
      <c r="A480" s="1" t="s">
        <v>1358</v>
      </c>
      <c r="B480">
        <f t="shared" ca="1" si="12"/>
        <v>26245233</v>
      </c>
      <c r="G480" t="b">
        <v>0</v>
      </c>
      <c r="H480" t="s">
        <v>85</v>
      </c>
      <c r="K480" s="1" t="b">
        <v>0</v>
      </c>
      <c r="M480" t="b">
        <v>0</v>
      </c>
      <c r="O480" t="s">
        <v>85</v>
      </c>
    </row>
    <row r="481" spans="1:15">
      <c r="A481" s="1" t="s">
        <v>1358</v>
      </c>
      <c r="B481">
        <f t="shared" ca="1" si="12"/>
        <v>26245233</v>
      </c>
      <c r="G481" t="b">
        <v>0</v>
      </c>
      <c r="H481" t="s">
        <v>85</v>
      </c>
      <c r="K481" s="1" t="b">
        <v>0</v>
      </c>
      <c r="M481" t="b">
        <v>0</v>
      </c>
      <c r="O481" t="s">
        <v>85</v>
      </c>
    </row>
    <row r="482" spans="1:15">
      <c r="A482" s="1" t="s">
        <v>1358</v>
      </c>
      <c r="B482">
        <f t="shared" ca="1" si="12"/>
        <v>26245233</v>
      </c>
      <c r="G482" t="b">
        <v>0</v>
      </c>
      <c r="H482" t="s">
        <v>85</v>
      </c>
      <c r="K482" s="1" t="b">
        <v>0</v>
      </c>
      <c r="M482" t="b">
        <v>0</v>
      </c>
      <c r="O482" t="s">
        <v>85</v>
      </c>
    </row>
    <row r="483" spans="1:15">
      <c r="A483" s="1" t="s">
        <v>1364</v>
      </c>
      <c r="B483">
        <f t="shared" ca="1" si="12"/>
        <v>3228124</v>
      </c>
      <c r="G483" t="b">
        <v>0</v>
      </c>
      <c r="H483" t="s">
        <v>85</v>
      </c>
      <c r="K483" s="1" t="b">
        <v>0</v>
      </c>
      <c r="M483" t="b">
        <v>0</v>
      </c>
      <c r="O483" t="s">
        <v>85</v>
      </c>
    </row>
    <row r="484" spans="1:15">
      <c r="A484" s="1" t="s">
        <v>1364</v>
      </c>
      <c r="B484">
        <f t="shared" ca="1" si="12"/>
        <v>3228124</v>
      </c>
      <c r="G484" t="b">
        <v>0</v>
      </c>
      <c r="H484" t="s">
        <v>85</v>
      </c>
      <c r="K484" s="1" t="b">
        <v>0</v>
      </c>
      <c r="M484" t="b">
        <v>0</v>
      </c>
      <c r="O484" t="s">
        <v>85</v>
      </c>
    </row>
    <row r="485" spans="1:15">
      <c r="A485" s="1" t="s">
        <v>1364</v>
      </c>
      <c r="B485">
        <f t="shared" ca="1" si="12"/>
        <v>3228124</v>
      </c>
      <c r="G485" t="b">
        <v>0</v>
      </c>
      <c r="H485" t="s">
        <v>85</v>
      </c>
      <c r="K485" s="1" t="b">
        <v>0</v>
      </c>
      <c r="M485" t="b">
        <v>0</v>
      </c>
      <c r="O485" t="s">
        <v>85</v>
      </c>
    </row>
    <row r="486" spans="1:15">
      <c r="A486" s="1" t="s">
        <v>1364</v>
      </c>
      <c r="B486">
        <f t="shared" ca="1" si="12"/>
        <v>3228124</v>
      </c>
      <c r="G486" t="b">
        <v>0</v>
      </c>
      <c r="H486" t="s">
        <v>85</v>
      </c>
      <c r="K486" s="1" t="b">
        <v>0</v>
      </c>
      <c r="M486" t="b">
        <v>0</v>
      </c>
      <c r="O486" t="s">
        <v>85</v>
      </c>
    </row>
    <row r="487" spans="1:15">
      <c r="A487" s="1" t="s">
        <v>1370</v>
      </c>
      <c r="B487">
        <f t="shared" ca="1" si="12"/>
        <v>32588004</v>
      </c>
      <c r="G487" t="b">
        <v>0</v>
      </c>
      <c r="H487" t="s">
        <v>85</v>
      </c>
      <c r="K487" s="1" t="b">
        <v>0</v>
      </c>
      <c r="M487" t="b">
        <v>0</v>
      </c>
      <c r="O487" t="s">
        <v>85</v>
      </c>
    </row>
    <row r="488" spans="1:15">
      <c r="A488" s="1" t="s">
        <v>1370</v>
      </c>
      <c r="B488">
        <f t="shared" ca="1" si="12"/>
        <v>32588004</v>
      </c>
      <c r="G488" t="b">
        <v>0</v>
      </c>
      <c r="H488" t="s">
        <v>85</v>
      </c>
      <c r="K488" s="1" t="b">
        <v>0</v>
      </c>
      <c r="M488" t="b">
        <v>0</v>
      </c>
      <c r="O488" t="s">
        <v>85</v>
      </c>
    </row>
    <row r="489" spans="1:15">
      <c r="A489" s="1" t="s">
        <v>1370</v>
      </c>
      <c r="B489">
        <f t="shared" ca="1" si="12"/>
        <v>32588004</v>
      </c>
      <c r="G489" t="b">
        <v>0</v>
      </c>
      <c r="H489" t="s">
        <v>85</v>
      </c>
      <c r="K489" s="1" t="b">
        <v>0</v>
      </c>
      <c r="M489" t="b">
        <v>0</v>
      </c>
      <c r="O489" t="s">
        <v>85</v>
      </c>
    </row>
    <row r="490" spans="1:15">
      <c r="A490" s="1" t="s">
        <v>1375</v>
      </c>
      <c r="B490">
        <f t="shared" ca="1" si="12"/>
        <v>25926408</v>
      </c>
      <c r="G490" t="b">
        <v>0</v>
      </c>
      <c r="H490" t="s">
        <v>85</v>
      </c>
      <c r="K490" s="1" t="b">
        <v>0</v>
      </c>
      <c r="M490" t="b">
        <v>0</v>
      </c>
      <c r="O490" t="s">
        <v>85</v>
      </c>
    </row>
    <row r="491" spans="1:15">
      <c r="A491" s="1" t="s">
        <v>1375</v>
      </c>
      <c r="B491">
        <f t="shared" ca="1" si="12"/>
        <v>25926408</v>
      </c>
      <c r="G491" t="b">
        <v>0</v>
      </c>
      <c r="H491" t="s">
        <v>85</v>
      </c>
      <c r="K491" s="1" t="b">
        <v>0</v>
      </c>
      <c r="M491" t="b">
        <v>0</v>
      </c>
      <c r="O491" t="s">
        <v>85</v>
      </c>
    </row>
    <row r="492" spans="1:15">
      <c r="A492" s="1" t="s">
        <v>1375</v>
      </c>
      <c r="B492">
        <f t="shared" ca="1" si="12"/>
        <v>25926408</v>
      </c>
      <c r="G492" t="b">
        <v>0</v>
      </c>
      <c r="H492" t="s">
        <v>85</v>
      </c>
      <c r="K492" s="1" t="b">
        <v>0</v>
      </c>
      <c r="M492" t="b">
        <v>0</v>
      </c>
      <c r="O492" t="s">
        <v>85</v>
      </c>
    </row>
    <row r="493" spans="1:15">
      <c r="A493" s="1" t="s">
        <v>1380</v>
      </c>
      <c r="B493">
        <f t="shared" ca="1" si="12"/>
        <v>9720454</v>
      </c>
      <c r="G493" t="b">
        <v>0</v>
      </c>
      <c r="H493" t="s">
        <v>85</v>
      </c>
      <c r="K493" s="1" t="b">
        <v>0</v>
      </c>
      <c r="M493" t="b">
        <v>0</v>
      </c>
      <c r="O493" t="s">
        <v>85</v>
      </c>
    </row>
    <row r="494" spans="1:15">
      <c r="A494" s="1" t="s">
        <v>1380</v>
      </c>
      <c r="B494">
        <f t="shared" ca="1" si="12"/>
        <v>9720454</v>
      </c>
      <c r="G494" t="b">
        <v>0</v>
      </c>
      <c r="H494" t="s">
        <v>85</v>
      </c>
      <c r="K494" s="1" t="b">
        <v>0</v>
      </c>
      <c r="M494" t="b">
        <v>0</v>
      </c>
      <c r="O494" t="s">
        <v>85</v>
      </c>
    </row>
    <row r="495" spans="1:15">
      <c r="A495" s="1" t="s">
        <v>1385</v>
      </c>
      <c r="B495">
        <f t="shared" ca="1" si="12"/>
        <v>39769901</v>
      </c>
      <c r="G495" t="b">
        <v>0</v>
      </c>
      <c r="H495" t="s">
        <v>85</v>
      </c>
      <c r="K495" s="1" t="b">
        <v>0</v>
      </c>
      <c r="M495" t="b">
        <v>0</v>
      </c>
      <c r="O495" t="s">
        <v>85</v>
      </c>
    </row>
    <row r="496" spans="1:15">
      <c r="A496" s="1" t="s">
        <v>1385</v>
      </c>
      <c r="B496">
        <f t="shared" ca="1" si="12"/>
        <v>39769901</v>
      </c>
      <c r="G496" t="b">
        <v>0</v>
      </c>
      <c r="H496" t="s">
        <v>85</v>
      </c>
      <c r="K496" s="1" t="b">
        <v>0</v>
      </c>
      <c r="M496" t="b">
        <v>0</v>
      </c>
      <c r="O496" t="s">
        <v>85</v>
      </c>
    </row>
    <row r="497" spans="1:15">
      <c r="A497" s="1" t="s">
        <v>1385</v>
      </c>
      <c r="B497">
        <f t="shared" ca="1" si="12"/>
        <v>39769901</v>
      </c>
      <c r="G497" t="b">
        <v>0</v>
      </c>
      <c r="H497" t="s">
        <v>85</v>
      </c>
      <c r="K497" s="1" t="b">
        <v>0</v>
      </c>
      <c r="M497" t="b">
        <v>0</v>
      </c>
      <c r="O497" t="s">
        <v>85</v>
      </c>
    </row>
    <row r="498" spans="1:15">
      <c r="A498" s="1" t="s">
        <v>1390</v>
      </c>
      <c r="B498">
        <f t="shared" ca="1" si="12"/>
        <v>7469029</v>
      </c>
      <c r="G498" t="b">
        <v>0</v>
      </c>
      <c r="H498" t="s">
        <v>85</v>
      </c>
      <c r="K498" s="1" t="b">
        <v>0</v>
      </c>
      <c r="M498" t="b">
        <v>0</v>
      </c>
      <c r="O498" t="s">
        <v>85</v>
      </c>
    </row>
    <row r="499" spans="1:15">
      <c r="A499" s="1" t="s">
        <v>1390</v>
      </c>
      <c r="B499">
        <f t="shared" ca="1" si="12"/>
        <v>7469029</v>
      </c>
      <c r="G499" t="b">
        <v>0</v>
      </c>
      <c r="H499" t="s">
        <v>85</v>
      </c>
      <c r="K499" s="1" t="b">
        <v>0</v>
      </c>
      <c r="M499" t="b">
        <v>0</v>
      </c>
      <c r="O499" t="s">
        <v>85</v>
      </c>
    </row>
    <row r="500" spans="1:15">
      <c r="A500" s="1" t="s">
        <v>1395</v>
      </c>
      <c r="B500">
        <f t="shared" ca="1" si="12"/>
        <v>37819715</v>
      </c>
      <c r="G500" t="b">
        <v>0</v>
      </c>
      <c r="H500" t="s">
        <v>85</v>
      </c>
      <c r="K500" s="1" t="b">
        <v>0</v>
      </c>
      <c r="M500" t="b">
        <v>0</v>
      </c>
      <c r="O500" t="s">
        <v>85</v>
      </c>
    </row>
    <row r="501" spans="1:15">
      <c r="A501" s="1" t="s">
        <v>1395</v>
      </c>
      <c r="B501">
        <f t="shared" ca="1" si="12"/>
        <v>37819715</v>
      </c>
      <c r="G501" t="b">
        <v>0</v>
      </c>
      <c r="H501" t="s">
        <v>85</v>
      </c>
      <c r="K501" s="1" t="b">
        <v>0</v>
      </c>
      <c r="M501" t="b">
        <v>0</v>
      </c>
      <c r="O501" t="s">
        <v>85</v>
      </c>
    </row>
    <row r="502" spans="1:15">
      <c r="A502" s="1" t="s">
        <v>1395</v>
      </c>
      <c r="B502">
        <f t="shared" ca="1" si="12"/>
        <v>37819715</v>
      </c>
      <c r="G502" t="b">
        <v>0</v>
      </c>
      <c r="H502" t="s">
        <v>85</v>
      </c>
      <c r="K502" s="1" t="b">
        <v>0</v>
      </c>
      <c r="M502" t="b">
        <v>0</v>
      </c>
      <c r="O502" t="s">
        <v>85</v>
      </c>
    </row>
    <row r="503" spans="1:15">
      <c r="A503" s="1" t="s">
        <v>1395</v>
      </c>
      <c r="B503">
        <f t="shared" ca="1" si="12"/>
        <v>37819715</v>
      </c>
      <c r="G503" t="b">
        <v>0</v>
      </c>
      <c r="H503" t="s">
        <v>85</v>
      </c>
      <c r="K503" s="1" t="b">
        <v>0</v>
      </c>
      <c r="M503" t="b">
        <v>0</v>
      </c>
      <c r="O503" t="s">
        <v>85</v>
      </c>
    </row>
    <row r="504" spans="1:15">
      <c r="A504" s="1" t="s">
        <v>1401</v>
      </c>
      <c r="B504">
        <f t="shared" ca="1" si="12"/>
        <v>31512940</v>
      </c>
      <c r="G504" t="b">
        <v>0</v>
      </c>
      <c r="H504" t="s">
        <v>85</v>
      </c>
      <c r="K504" s="1" t="b">
        <v>0</v>
      </c>
      <c r="M504" t="b">
        <v>0</v>
      </c>
      <c r="O504" t="s">
        <v>85</v>
      </c>
    </row>
    <row r="505" spans="1:15">
      <c r="A505" s="1" t="s">
        <v>1401</v>
      </c>
      <c r="B505">
        <f t="shared" ca="1" si="12"/>
        <v>31512940</v>
      </c>
      <c r="G505" t="b">
        <v>0</v>
      </c>
      <c r="H505" t="s">
        <v>85</v>
      </c>
      <c r="K505" s="1" t="b">
        <v>0</v>
      </c>
      <c r="M505" t="b">
        <v>0</v>
      </c>
      <c r="O505" t="s">
        <v>85</v>
      </c>
    </row>
    <row r="506" spans="1:15">
      <c r="A506" s="1" t="s">
        <v>1401</v>
      </c>
      <c r="B506">
        <f t="shared" ca="1" si="12"/>
        <v>31512940</v>
      </c>
      <c r="G506" t="b">
        <v>0</v>
      </c>
      <c r="H506" t="s">
        <v>85</v>
      </c>
      <c r="K506" s="1" t="b">
        <v>0</v>
      </c>
      <c r="M506" t="b">
        <v>0</v>
      </c>
      <c r="O506" t="s">
        <v>85</v>
      </c>
    </row>
    <row r="507" spans="1:15">
      <c r="A507" s="1" t="s">
        <v>1407</v>
      </c>
      <c r="B507">
        <f t="shared" ca="1" si="12"/>
        <v>7070577</v>
      </c>
      <c r="G507" t="b">
        <v>0</v>
      </c>
      <c r="H507" t="s">
        <v>85</v>
      </c>
      <c r="K507" s="1" t="b">
        <v>0</v>
      </c>
      <c r="M507" t="b">
        <v>0</v>
      </c>
      <c r="O507" t="s">
        <v>85</v>
      </c>
    </row>
    <row r="508" spans="1:15">
      <c r="A508" s="1" t="s">
        <v>1407</v>
      </c>
      <c r="B508">
        <f t="shared" ca="1" si="12"/>
        <v>7070577</v>
      </c>
      <c r="G508" t="b">
        <v>0</v>
      </c>
      <c r="H508" t="s">
        <v>85</v>
      </c>
      <c r="K508" s="1" t="b">
        <v>0</v>
      </c>
      <c r="M508" t="b">
        <v>0</v>
      </c>
      <c r="O508" t="s">
        <v>85</v>
      </c>
    </row>
    <row r="509" spans="1:15">
      <c r="A509" s="1" t="s">
        <v>1407</v>
      </c>
      <c r="B509">
        <f t="shared" ca="1" si="12"/>
        <v>7070577</v>
      </c>
      <c r="G509" t="b">
        <v>0</v>
      </c>
      <c r="H509" t="s">
        <v>85</v>
      </c>
      <c r="K509" s="1" t="b">
        <v>0</v>
      </c>
      <c r="M509" t="b">
        <v>0</v>
      </c>
      <c r="O509" t="s">
        <v>85</v>
      </c>
    </row>
    <row r="510" spans="1:15">
      <c r="A510" s="1" t="s">
        <v>1411</v>
      </c>
      <c r="B510">
        <f t="shared" ca="1" si="12"/>
        <v>23162332</v>
      </c>
      <c r="G510" t="b">
        <v>0</v>
      </c>
      <c r="H510" t="s">
        <v>85</v>
      </c>
      <c r="K510" s="1" t="b">
        <v>0</v>
      </c>
      <c r="M510" t="b">
        <v>0</v>
      </c>
      <c r="O510" t="s">
        <v>85</v>
      </c>
    </row>
    <row r="511" spans="1:15">
      <c r="A511" s="1" t="s">
        <v>1411</v>
      </c>
      <c r="B511">
        <f t="shared" ca="1" si="12"/>
        <v>23162332</v>
      </c>
      <c r="G511" t="b">
        <v>0</v>
      </c>
      <c r="H511" t="s">
        <v>85</v>
      </c>
      <c r="K511" s="1" t="b">
        <v>0</v>
      </c>
      <c r="M511" t="b">
        <v>0</v>
      </c>
      <c r="O511" t="s">
        <v>85</v>
      </c>
    </row>
    <row r="512" spans="1:15">
      <c r="A512" s="1" t="s">
        <v>1411</v>
      </c>
      <c r="B512">
        <f t="shared" ca="1" si="12"/>
        <v>23162332</v>
      </c>
      <c r="G512" t="b">
        <v>0</v>
      </c>
      <c r="H512" t="s">
        <v>85</v>
      </c>
      <c r="K512" s="1" t="b">
        <v>0</v>
      </c>
      <c r="M512" t="b">
        <v>0</v>
      </c>
      <c r="O512" t="s">
        <v>85</v>
      </c>
    </row>
    <row r="513" spans="1:15">
      <c r="A513" s="1" t="s">
        <v>1411</v>
      </c>
      <c r="B513">
        <f t="shared" ca="1" si="12"/>
        <v>23162332</v>
      </c>
      <c r="G513" t="b">
        <v>0</v>
      </c>
      <c r="H513" t="s">
        <v>85</v>
      </c>
      <c r="K513" s="1" t="b">
        <v>0</v>
      </c>
      <c r="M513" t="b">
        <v>0</v>
      </c>
      <c r="O513" t="s">
        <v>85</v>
      </c>
    </row>
    <row r="514" spans="1:15">
      <c r="A514" s="1" t="s">
        <v>1415</v>
      </c>
      <c r="B514">
        <f t="shared" ca="1" si="12"/>
        <v>21076519</v>
      </c>
      <c r="G514" t="b">
        <v>0</v>
      </c>
      <c r="H514" t="s">
        <v>85</v>
      </c>
      <c r="K514" s="1" t="b">
        <v>0</v>
      </c>
      <c r="M514" t="b">
        <v>0</v>
      </c>
      <c r="O514" t="s">
        <v>85</v>
      </c>
    </row>
    <row r="515" spans="1:15">
      <c r="A515" s="1" t="s">
        <v>1415</v>
      </c>
      <c r="B515">
        <f t="shared" ca="1" si="12"/>
        <v>21076519</v>
      </c>
      <c r="G515" t="b">
        <v>0</v>
      </c>
      <c r="H515" t="s">
        <v>85</v>
      </c>
      <c r="K515" s="1" t="b">
        <v>0</v>
      </c>
      <c r="M515" t="b">
        <v>0</v>
      </c>
      <c r="O515" t="s">
        <v>85</v>
      </c>
    </row>
    <row r="516" spans="1:15">
      <c r="A516" s="1" t="s">
        <v>1415</v>
      </c>
      <c r="B516">
        <f t="shared" ca="1" si="12"/>
        <v>21076519</v>
      </c>
      <c r="G516" t="b">
        <v>0</v>
      </c>
      <c r="H516" t="s">
        <v>85</v>
      </c>
      <c r="K516" s="1" t="b">
        <v>0</v>
      </c>
      <c r="M516" t="b">
        <v>0</v>
      </c>
      <c r="O516" t="s">
        <v>85</v>
      </c>
    </row>
    <row r="517" spans="1:15">
      <c r="A517" s="1" t="s">
        <v>1415</v>
      </c>
      <c r="B517">
        <f t="shared" ca="1" si="12"/>
        <v>21076519</v>
      </c>
      <c r="G517" t="b">
        <v>0</v>
      </c>
      <c r="H517" t="s">
        <v>85</v>
      </c>
      <c r="K517" s="1" t="b">
        <v>0</v>
      </c>
      <c r="M517" t="b">
        <v>0</v>
      </c>
      <c r="O517" t="s">
        <v>85</v>
      </c>
    </row>
    <row r="518" spans="1:15">
      <c r="A518" s="1" t="s">
        <v>1415</v>
      </c>
      <c r="B518">
        <f t="shared" ca="1" si="12"/>
        <v>21076519</v>
      </c>
      <c r="G518" t="b">
        <v>0</v>
      </c>
      <c r="H518" t="s">
        <v>85</v>
      </c>
      <c r="K518" s="1" t="b">
        <v>0</v>
      </c>
      <c r="M518" t="b">
        <v>0</v>
      </c>
      <c r="O518" t="s">
        <v>85</v>
      </c>
    </row>
    <row r="519" spans="1:15">
      <c r="A519" s="1" t="s">
        <v>1415</v>
      </c>
      <c r="B519">
        <f t="shared" ref="B519:B582" ca="1" si="13">VLOOKUP(A519,$C$6:$D$208,2,FALSE)</f>
        <v>21076519</v>
      </c>
      <c r="G519" t="b">
        <v>0</v>
      </c>
      <c r="H519" t="s">
        <v>85</v>
      </c>
      <c r="K519" s="1" t="b">
        <v>0</v>
      </c>
      <c r="M519" t="b">
        <v>0</v>
      </c>
      <c r="O519" t="s">
        <v>85</v>
      </c>
    </row>
    <row r="520" spans="1:15">
      <c r="A520" s="1" t="s">
        <v>1421</v>
      </c>
      <c r="B520">
        <f t="shared" ca="1" si="13"/>
        <v>33182401</v>
      </c>
      <c r="G520" t="b">
        <v>0</v>
      </c>
      <c r="H520" t="s">
        <v>85</v>
      </c>
      <c r="K520" s="1" t="b">
        <v>0</v>
      </c>
      <c r="M520" t="b">
        <v>0</v>
      </c>
      <c r="O520" t="s">
        <v>85</v>
      </c>
    </row>
    <row r="521" spans="1:15">
      <c r="A521" s="1" t="s">
        <v>1421</v>
      </c>
      <c r="B521">
        <f t="shared" ca="1" si="13"/>
        <v>33182401</v>
      </c>
      <c r="G521" t="b">
        <v>0</v>
      </c>
      <c r="H521" t="s">
        <v>85</v>
      </c>
      <c r="K521" s="1" t="b">
        <v>0</v>
      </c>
      <c r="M521" t="b">
        <v>0</v>
      </c>
      <c r="O521" t="s">
        <v>85</v>
      </c>
    </row>
    <row r="522" spans="1:15">
      <c r="A522" s="1" t="s">
        <v>1421</v>
      </c>
      <c r="B522">
        <f t="shared" ca="1" si="13"/>
        <v>33182401</v>
      </c>
      <c r="G522" t="b">
        <v>0</v>
      </c>
      <c r="H522" t="s">
        <v>85</v>
      </c>
      <c r="K522" s="1" t="b">
        <v>0</v>
      </c>
      <c r="M522" t="b">
        <v>0</v>
      </c>
      <c r="O522" t="s">
        <v>85</v>
      </c>
    </row>
    <row r="523" spans="1:15">
      <c r="A523" s="1" t="s">
        <v>1426</v>
      </c>
      <c r="B523">
        <f t="shared" ca="1" si="13"/>
        <v>11729647</v>
      </c>
      <c r="G523" t="b">
        <v>0</v>
      </c>
      <c r="H523" t="s">
        <v>85</v>
      </c>
      <c r="K523" s="1" t="b">
        <v>0</v>
      </c>
      <c r="M523" t="b">
        <v>0</v>
      </c>
      <c r="O523" t="s">
        <v>85</v>
      </c>
    </row>
    <row r="524" spans="1:15">
      <c r="A524" s="1" t="s">
        <v>1426</v>
      </c>
      <c r="B524">
        <f t="shared" ca="1" si="13"/>
        <v>11729647</v>
      </c>
      <c r="G524" t="b">
        <v>0</v>
      </c>
      <c r="H524" t="s">
        <v>85</v>
      </c>
      <c r="K524" s="1" t="b">
        <v>0</v>
      </c>
      <c r="M524" t="b">
        <v>0</v>
      </c>
      <c r="O524" t="s">
        <v>85</v>
      </c>
    </row>
    <row r="525" spans="1:15">
      <c r="A525" s="1" t="s">
        <v>1426</v>
      </c>
      <c r="B525">
        <f t="shared" ca="1" si="13"/>
        <v>11729647</v>
      </c>
      <c r="G525" t="b">
        <v>0</v>
      </c>
      <c r="H525" t="s">
        <v>85</v>
      </c>
      <c r="K525" s="1" t="b">
        <v>0</v>
      </c>
      <c r="M525" t="b">
        <v>0</v>
      </c>
      <c r="O525" t="s">
        <v>85</v>
      </c>
    </row>
    <row r="526" spans="1:15">
      <c r="A526" s="1" t="s">
        <v>1426</v>
      </c>
      <c r="B526">
        <f t="shared" ca="1" si="13"/>
        <v>11729647</v>
      </c>
      <c r="G526" t="b">
        <v>0</v>
      </c>
      <c r="H526" t="s">
        <v>85</v>
      </c>
      <c r="K526" s="1" t="b">
        <v>0</v>
      </c>
      <c r="M526" t="b">
        <v>0</v>
      </c>
      <c r="O526" t="s">
        <v>85</v>
      </c>
    </row>
    <row r="527" spans="1:15">
      <c r="A527" s="1" t="s">
        <v>1426</v>
      </c>
      <c r="B527">
        <f t="shared" ca="1" si="13"/>
        <v>11729647</v>
      </c>
      <c r="G527" t="b">
        <v>0</v>
      </c>
      <c r="H527" t="s">
        <v>85</v>
      </c>
      <c r="K527" s="1" t="b">
        <v>0</v>
      </c>
      <c r="M527" t="b">
        <v>0</v>
      </c>
      <c r="O527" t="s">
        <v>85</v>
      </c>
    </row>
    <row r="528" spans="1:15">
      <c r="A528" s="1" t="s">
        <v>1426</v>
      </c>
      <c r="B528">
        <f t="shared" ca="1" si="13"/>
        <v>11729647</v>
      </c>
      <c r="G528" t="b">
        <v>0</v>
      </c>
      <c r="H528" t="s">
        <v>85</v>
      </c>
      <c r="K528" s="1" t="b">
        <v>0</v>
      </c>
      <c r="M528" t="b">
        <v>0</v>
      </c>
      <c r="O528" t="s">
        <v>85</v>
      </c>
    </row>
    <row r="529" spans="1:15">
      <c r="A529" s="1" t="s">
        <v>1426</v>
      </c>
      <c r="B529">
        <f t="shared" ca="1" si="13"/>
        <v>11729647</v>
      </c>
      <c r="G529" t="b">
        <v>0</v>
      </c>
      <c r="H529" t="s">
        <v>85</v>
      </c>
      <c r="K529" s="1" t="b">
        <v>0</v>
      </c>
      <c r="M529" t="b">
        <v>0</v>
      </c>
      <c r="O529" t="s">
        <v>85</v>
      </c>
    </row>
    <row r="530" spans="1:15">
      <c r="A530" s="1" t="s">
        <v>1437</v>
      </c>
      <c r="B530">
        <f t="shared" ca="1" si="13"/>
        <v>31886166</v>
      </c>
      <c r="G530" t="b">
        <v>0</v>
      </c>
      <c r="H530" t="s">
        <v>85</v>
      </c>
      <c r="K530" s="1" t="b">
        <v>0</v>
      </c>
      <c r="M530" t="b">
        <v>0</v>
      </c>
      <c r="O530" t="s">
        <v>85</v>
      </c>
    </row>
    <row r="531" spans="1:15">
      <c r="A531" s="1" t="s">
        <v>1437</v>
      </c>
      <c r="B531">
        <f t="shared" ca="1" si="13"/>
        <v>31886166</v>
      </c>
      <c r="G531" t="b">
        <v>0</v>
      </c>
      <c r="H531" t="s">
        <v>85</v>
      </c>
      <c r="K531" s="1" t="b">
        <v>0</v>
      </c>
      <c r="M531" t="b">
        <v>0</v>
      </c>
      <c r="O531" t="s">
        <v>85</v>
      </c>
    </row>
    <row r="532" spans="1:15">
      <c r="A532" s="1" t="s">
        <v>1437</v>
      </c>
      <c r="B532">
        <f t="shared" ca="1" si="13"/>
        <v>31886166</v>
      </c>
      <c r="G532" t="b">
        <v>0</v>
      </c>
      <c r="H532" t="s">
        <v>85</v>
      </c>
      <c r="K532" s="1" t="b">
        <v>0</v>
      </c>
      <c r="M532" t="b">
        <v>0</v>
      </c>
      <c r="O532" t="s">
        <v>85</v>
      </c>
    </row>
    <row r="533" spans="1:15">
      <c r="A533" s="1" t="s">
        <v>1442</v>
      </c>
      <c r="B533">
        <f t="shared" ca="1" si="13"/>
        <v>24869502</v>
      </c>
      <c r="G533" t="b">
        <v>0</v>
      </c>
      <c r="H533" t="s">
        <v>85</v>
      </c>
      <c r="K533" s="1" t="b">
        <v>0</v>
      </c>
      <c r="M533" t="b">
        <v>0</v>
      </c>
      <c r="O533" t="s">
        <v>85</v>
      </c>
    </row>
    <row r="534" spans="1:15">
      <c r="A534" s="1" t="s">
        <v>1442</v>
      </c>
      <c r="B534">
        <f t="shared" ca="1" si="13"/>
        <v>24869502</v>
      </c>
      <c r="G534" t="b">
        <v>0</v>
      </c>
      <c r="H534" t="s">
        <v>85</v>
      </c>
      <c r="K534" s="1" t="b">
        <v>0</v>
      </c>
      <c r="M534" t="b">
        <v>0</v>
      </c>
      <c r="O534" t="s">
        <v>85</v>
      </c>
    </row>
    <row r="535" spans="1:15">
      <c r="A535" s="1" t="s">
        <v>1448</v>
      </c>
      <c r="B535">
        <f t="shared" ca="1" si="13"/>
        <v>4770365</v>
      </c>
      <c r="G535" t="b">
        <v>0</v>
      </c>
      <c r="H535" t="s">
        <v>85</v>
      </c>
      <c r="K535" s="1" t="b">
        <v>0</v>
      </c>
      <c r="M535" t="b">
        <v>0</v>
      </c>
      <c r="O535" t="s">
        <v>85</v>
      </c>
    </row>
    <row r="536" spans="1:15">
      <c r="A536" s="1" t="s">
        <v>1448</v>
      </c>
      <c r="B536">
        <f t="shared" ca="1" si="13"/>
        <v>4770365</v>
      </c>
      <c r="G536" t="b">
        <v>0</v>
      </c>
      <c r="H536" t="s">
        <v>85</v>
      </c>
      <c r="K536" s="1" t="b">
        <v>0</v>
      </c>
      <c r="M536" t="b">
        <v>0</v>
      </c>
      <c r="O536" t="s">
        <v>85</v>
      </c>
    </row>
    <row r="537" spans="1:15">
      <c r="A537" s="1" t="s">
        <v>1448</v>
      </c>
      <c r="B537">
        <f t="shared" ca="1" si="13"/>
        <v>4770365</v>
      </c>
      <c r="G537" t="b">
        <v>0</v>
      </c>
      <c r="H537" t="s">
        <v>85</v>
      </c>
      <c r="K537" s="1" t="b">
        <v>0</v>
      </c>
      <c r="M537" t="b">
        <v>0</v>
      </c>
      <c r="O537" t="s">
        <v>85</v>
      </c>
    </row>
    <row r="538" spans="1:15">
      <c r="A538" s="1" t="s">
        <v>1453</v>
      </c>
      <c r="B538">
        <f t="shared" ca="1" si="13"/>
        <v>17100573</v>
      </c>
      <c r="G538" t="b">
        <v>0</v>
      </c>
      <c r="H538" t="s">
        <v>85</v>
      </c>
      <c r="K538" s="1" t="b">
        <v>0</v>
      </c>
      <c r="M538" t="b">
        <v>0</v>
      </c>
      <c r="O538" t="s">
        <v>85</v>
      </c>
    </row>
    <row r="539" spans="1:15">
      <c r="A539" s="1" t="s">
        <v>1453</v>
      </c>
      <c r="B539">
        <f t="shared" ca="1" si="13"/>
        <v>17100573</v>
      </c>
      <c r="G539" t="b">
        <v>0</v>
      </c>
      <c r="H539" t="s">
        <v>85</v>
      </c>
      <c r="K539" s="1" t="b">
        <v>0</v>
      </c>
      <c r="M539" t="b">
        <v>0</v>
      </c>
      <c r="O539" t="s">
        <v>85</v>
      </c>
    </row>
    <row r="540" spans="1:15">
      <c r="A540" s="1" t="s">
        <v>1453</v>
      </c>
      <c r="B540">
        <f t="shared" ca="1" si="13"/>
        <v>17100573</v>
      </c>
      <c r="G540" t="b">
        <v>0</v>
      </c>
      <c r="H540" t="s">
        <v>85</v>
      </c>
      <c r="K540" s="1" t="b">
        <v>0</v>
      </c>
      <c r="M540" t="b">
        <v>0</v>
      </c>
      <c r="O540" t="s">
        <v>85</v>
      </c>
    </row>
    <row r="541" spans="1:15">
      <c r="A541" s="1" t="s">
        <v>1458</v>
      </c>
      <c r="B541">
        <f t="shared" ca="1" si="13"/>
        <v>22312202</v>
      </c>
      <c r="G541" t="b">
        <v>0</v>
      </c>
      <c r="H541" t="s">
        <v>85</v>
      </c>
      <c r="K541" s="1" t="b">
        <v>0</v>
      </c>
      <c r="M541" t="b">
        <v>0</v>
      </c>
      <c r="O541" t="s">
        <v>85</v>
      </c>
    </row>
    <row r="542" spans="1:15">
      <c r="A542" s="1" t="s">
        <v>1458</v>
      </c>
      <c r="B542">
        <f t="shared" ca="1" si="13"/>
        <v>22312202</v>
      </c>
      <c r="G542" t="b">
        <v>0</v>
      </c>
      <c r="H542" t="s">
        <v>85</v>
      </c>
      <c r="K542" s="1" t="b">
        <v>0</v>
      </c>
      <c r="M542" t="b">
        <v>0</v>
      </c>
      <c r="O542" t="s">
        <v>85</v>
      </c>
    </row>
    <row r="543" spans="1:15">
      <c r="A543" s="1" t="s">
        <v>1463</v>
      </c>
      <c r="B543">
        <f t="shared" ca="1" si="13"/>
        <v>27097751</v>
      </c>
      <c r="G543" t="b">
        <v>0</v>
      </c>
      <c r="H543" t="s">
        <v>85</v>
      </c>
      <c r="K543" s="1" t="b">
        <v>0</v>
      </c>
      <c r="M543" t="b">
        <v>0</v>
      </c>
      <c r="O543" t="s">
        <v>85</v>
      </c>
    </row>
    <row r="544" spans="1:15">
      <c r="A544" s="1" t="s">
        <v>1463</v>
      </c>
      <c r="B544">
        <f t="shared" ca="1" si="13"/>
        <v>27097751</v>
      </c>
      <c r="G544" t="b">
        <v>0</v>
      </c>
      <c r="H544" t="s">
        <v>85</v>
      </c>
      <c r="K544" s="1" t="b">
        <v>0</v>
      </c>
      <c r="M544" t="b">
        <v>0</v>
      </c>
      <c r="O544" t="s">
        <v>85</v>
      </c>
    </row>
    <row r="545" spans="1:15">
      <c r="A545" s="1" t="s">
        <v>1463</v>
      </c>
      <c r="B545">
        <f t="shared" ca="1" si="13"/>
        <v>27097751</v>
      </c>
      <c r="G545" t="b">
        <v>0</v>
      </c>
      <c r="H545" t="s">
        <v>85</v>
      </c>
      <c r="K545" s="1" t="b">
        <v>0</v>
      </c>
      <c r="M545" t="b">
        <v>0</v>
      </c>
      <c r="O545" t="s">
        <v>85</v>
      </c>
    </row>
    <row r="546" spans="1:15">
      <c r="A546" s="1" t="s">
        <v>1463</v>
      </c>
      <c r="B546">
        <f t="shared" ca="1" si="13"/>
        <v>27097751</v>
      </c>
      <c r="G546" t="b">
        <v>0</v>
      </c>
      <c r="H546" t="s">
        <v>85</v>
      </c>
      <c r="K546" s="1" t="b">
        <v>0</v>
      </c>
      <c r="M546" t="b">
        <v>0</v>
      </c>
      <c r="O546" t="s">
        <v>85</v>
      </c>
    </row>
    <row r="547" spans="1:15">
      <c r="A547" s="1" t="s">
        <v>1471</v>
      </c>
      <c r="B547">
        <f t="shared" ca="1" si="13"/>
        <v>38727479</v>
      </c>
      <c r="G547" t="b">
        <v>0</v>
      </c>
      <c r="H547" t="s">
        <v>85</v>
      </c>
      <c r="K547" s="1" t="b">
        <v>0</v>
      </c>
      <c r="M547" t="b">
        <v>0</v>
      </c>
      <c r="O547" t="s">
        <v>85</v>
      </c>
    </row>
    <row r="548" spans="1:15">
      <c r="A548" s="1" t="s">
        <v>1471</v>
      </c>
      <c r="B548">
        <f t="shared" ca="1" si="13"/>
        <v>38727479</v>
      </c>
      <c r="G548" t="b">
        <v>0</v>
      </c>
      <c r="H548" t="s">
        <v>85</v>
      </c>
      <c r="K548" s="1" t="b">
        <v>0</v>
      </c>
      <c r="M548" t="b">
        <v>0</v>
      </c>
      <c r="O548" t="s">
        <v>85</v>
      </c>
    </row>
    <row r="549" spans="1:15">
      <c r="A549" s="1" t="s">
        <v>1471</v>
      </c>
      <c r="B549">
        <f t="shared" ca="1" si="13"/>
        <v>38727479</v>
      </c>
      <c r="G549" t="b">
        <v>0</v>
      </c>
      <c r="H549" t="s">
        <v>85</v>
      </c>
      <c r="K549" s="1" t="b">
        <v>0</v>
      </c>
      <c r="M549" t="b">
        <v>0</v>
      </c>
      <c r="O549" t="s">
        <v>85</v>
      </c>
    </row>
    <row r="550" spans="1:15">
      <c r="A550" s="1" t="s">
        <v>1480</v>
      </c>
      <c r="B550">
        <f t="shared" ca="1" si="13"/>
        <v>27663727</v>
      </c>
      <c r="G550" t="b">
        <v>0</v>
      </c>
      <c r="H550" t="s">
        <v>85</v>
      </c>
      <c r="K550" s="1" t="b">
        <v>0</v>
      </c>
      <c r="M550" t="b">
        <v>0</v>
      </c>
      <c r="O550" t="s">
        <v>85</v>
      </c>
    </row>
    <row r="551" spans="1:15">
      <c r="A551" s="1" t="s">
        <v>1480</v>
      </c>
      <c r="B551">
        <f t="shared" ca="1" si="13"/>
        <v>27663727</v>
      </c>
      <c r="G551" t="b">
        <v>0</v>
      </c>
      <c r="H551" t="s">
        <v>85</v>
      </c>
      <c r="K551" s="1" t="b">
        <v>0</v>
      </c>
      <c r="M551" t="b">
        <v>0</v>
      </c>
      <c r="O551" t="s">
        <v>85</v>
      </c>
    </row>
    <row r="552" spans="1:15">
      <c r="A552" s="1" t="s">
        <v>1486</v>
      </c>
      <c r="B552">
        <f t="shared" ca="1" si="13"/>
        <v>13369814</v>
      </c>
      <c r="G552" t="b">
        <v>0</v>
      </c>
      <c r="H552" t="s">
        <v>85</v>
      </c>
      <c r="K552" s="1" t="b">
        <v>0</v>
      </c>
      <c r="M552" t="b">
        <v>0</v>
      </c>
      <c r="O552" t="s">
        <v>85</v>
      </c>
    </row>
    <row r="553" spans="1:15">
      <c r="A553" s="1" t="s">
        <v>1486</v>
      </c>
      <c r="B553">
        <f t="shared" ca="1" si="13"/>
        <v>13369814</v>
      </c>
      <c r="G553" t="b">
        <v>0</v>
      </c>
      <c r="H553" t="s">
        <v>85</v>
      </c>
      <c r="K553" s="1" t="b">
        <v>0</v>
      </c>
      <c r="M553" t="b">
        <v>0</v>
      </c>
      <c r="O553" t="s">
        <v>85</v>
      </c>
    </row>
    <row r="554" spans="1:15">
      <c r="A554" s="1" t="s">
        <v>1491</v>
      </c>
      <c r="B554">
        <f t="shared" ca="1" si="13"/>
        <v>10875226</v>
      </c>
      <c r="G554" t="b">
        <v>0</v>
      </c>
      <c r="H554" t="s">
        <v>85</v>
      </c>
      <c r="K554" s="1" t="b">
        <v>0</v>
      </c>
      <c r="M554" t="b">
        <v>0</v>
      </c>
      <c r="O554" t="s">
        <v>85</v>
      </c>
    </row>
    <row r="555" spans="1:15">
      <c r="A555" s="1" t="s">
        <v>1491</v>
      </c>
      <c r="B555">
        <f t="shared" ca="1" si="13"/>
        <v>10875226</v>
      </c>
      <c r="G555" t="b">
        <v>0</v>
      </c>
      <c r="H555" t="s">
        <v>85</v>
      </c>
      <c r="K555" s="1" t="b">
        <v>0</v>
      </c>
      <c r="M555" t="b">
        <v>0</v>
      </c>
      <c r="O555" t="s">
        <v>85</v>
      </c>
    </row>
    <row r="556" spans="1:15">
      <c r="A556" s="1" t="s">
        <v>1491</v>
      </c>
      <c r="B556">
        <f t="shared" ca="1" si="13"/>
        <v>10875226</v>
      </c>
      <c r="G556" t="b">
        <v>0</v>
      </c>
      <c r="H556" t="s">
        <v>85</v>
      </c>
      <c r="K556" s="1" t="b">
        <v>0</v>
      </c>
      <c r="M556" t="b">
        <v>0</v>
      </c>
      <c r="O556" t="s">
        <v>85</v>
      </c>
    </row>
    <row r="557" spans="1:15">
      <c r="A557" s="1" t="s">
        <v>1500</v>
      </c>
      <c r="B557">
        <f t="shared" ca="1" si="13"/>
        <v>33005413</v>
      </c>
      <c r="G557" t="b">
        <v>0</v>
      </c>
      <c r="H557" t="s">
        <v>85</v>
      </c>
      <c r="K557" s="1" t="b">
        <v>0</v>
      </c>
      <c r="M557" t="b">
        <v>0</v>
      </c>
      <c r="O557" t="s">
        <v>85</v>
      </c>
    </row>
    <row r="558" spans="1:15">
      <c r="A558" s="1" t="s">
        <v>1500</v>
      </c>
      <c r="B558">
        <f t="shared" ca="1" si="13"/>
        <v>33005413</v>
      </c>
      <c r="G558" t="b">
        <v>1</v>
      </c>
      <c r="H558" t="s">
        <v>87</v>
      </c>
      <c r="K558" s="1" t="b">
        <v>0</v>
      </c>
      <c r="M558" t="b">
        <v>0</v>
      </c>
      <c r="O558" t="s">
        <v>85</v>
      </c>
    </row>
    <row r="559" spans="1:15">
      <c r="A559" s="1" t="s">
        <v>1500</v>
      </c>
      <c r="B559">
        <f t="shared" ca="1" si="13"/>
        <v>33005413</v>
      </c>
      <c r="G559" t="b">
        <v>0</v>
      </c>
      <c r="H559" t="s">
        <v>85</v>
      </c>
      <c r="K559" s="1" t="b">
        <v>0</v>
      </c>
      <c r="M559" t="b">
        <v>0</v>
      </c>
      <c r="O559" t="s">
        <v>85</v>
      </c>
    </row>
    <row r="560" spans="1:15">
      <c r="A560" s="1" t="s">
        <v>1508</v>
      </c>
      <c r="B560">
        <f t="shared" ca="1" si="13"/>
        <v>31175397</v>
      </c>
      <c r="G560" t="b">
        <v>0</v>
      </c>
      <c r="H560" t="s">
        <v>85</v>
      </c>
      <c r="K560" s="1" t="b">
        <v>0</v>
      </c>
      <c r="M560" t="b">
        <v>0</v>
      </c>
      <c r="O560" t="s">
        <v>85</v>
      </c>
    </row>
    <row r="561" spans="1:15">
      <c r="A561" s="1" t="s">
        <v>1508</v>
      </c>
      <c r="B561">
        <f t="shared" ca="1" si="13"/>
        <v>31175397</v>
      </c>
      <c r="G561" t="b">
        <v>0</v>
      </c>
      <c r="H561" t="s">
        <v>85</v>
      </c>
      <c r="K561" s="1" t="b">
        <v>0</v>
      </c>
      <c r="M561" t="b">
        <v>0</v>
      </c>
      <c r="O561" t="s">
        <v>85</v>
      </c>
    </row>
    <row r="562" spans="1:15">
      <c r="A562" s="1" t="s">
        <v>1508</v>
      </c>
      <c r="B562">
        <f t="shared" ca="1" si="13"/>
        <v>31175397</v>
      </c>
      <c r="G562" t="b">
        <v>0</v>
      </c>
      <c r="H562" t="s">
        <v>85</v>
      </c>
      <c r="K562" s="1" t="b">
        <v>0</v>
      </c>
      <c r="M562" t="b">
        <v>0</v>
      </c>
      <c r="O562" t="s">
        <v>85</v>
      </c>
    </row>
    <row r="563" spans="1:15">
      <c r="A563" s="1" t="s">
        <v>1508</v>
      </c>
      <c r="B563">
        <f t="shared" ca="1" si="13"/>
        <v>31175397</v>
      </c>
      <c r="G563" t="b">
        <v>0</v>
      </c>
      <c r="H563" t="s">
        <v>85</v>
      </c>
      <c r="K563" s="1" t="b">
        <v>0</v>
      </c>
      <c r="M563" t="b">
        <v>0</v>
      </c>
      <c r="O563" t="s">
        <v>85</v>
      </c>
    </row>
    <row r="564" spans="1:15">
      <c r="A564" s="1" t="s">
        <v>1508</v>
      </c>
      <c r="B564">
        <f t="shared" ca="1" si="13"/>
        <v>31175397</v>
      </c>
      <c r="G564" t="b">
        <v>0</v>
      </c>
      <c r="H564" t="s">
        <v>85</v>
      </c>
      <c r="K564" s="1" t="b">
        <v>0</v>
      </c>
      <c r="M564" t="b">
        <v>0</v>
      </c>
      <c r="O564" t="s">
        <v>85</v>
      </c>
    </row>
    <row r="565" spans="1:15">
      <c r="A565" s="1" t="s">
        <v>1513</v>
      </c>
      <c r="B565">
        <f t="shared" ca="1" si="13"/>
        <v>10500255</v>
      </c>
      <c r="G565" t="b">
        <v>0</v>
      </c>
      <c r="H565" t="s">
        <v>85</v>
      </c>
      <c r="K565" s="1" t="b">
        <v>0</v>
      </c>
      <c r="M565" t="b">
        <v>0</v>
      </c>
      <c r="O565" t="s">
        <v>85</v>
      </c>
    </row>
    <row r="566" spans="1:15">
      <c r="A566" s="1" t="s">
        <v>1513</v>
      </c>
      <c r="B566">
        <f t="shared" ca="1" si="13"/>
        <v>10500255</v>
      </c>
      <c r="G566" t="b">
        <v>0</v>
      </c>
      <c r="H566" t="s">
        <v>85</v>
      </c>
      <c r="K566" s="1" t="b">
        <v>0</v>
      </c>
      <c r="M566" t="b">
        <v>0</v>
      </c>
      <c r="O566" t="s">
        <v>85</v>
      </c>
    </row>
    <row r="567" spans="1:15">
      <c r="A567" s="1" t="s">
        <v>1517</v>
      </c>
      <c r="B567">
        <f t="shared" ca="1" si="13"/>
        <v>28486365</v>
      </c>
      <c r="G567" t="b">
        <v>0</v>
      </c>
      <c r="H567" t="s">
        <v>85</v>
      </c>
      <c r="K567" s="1" t="b">
        <v>0</v>
      </c>
      <c r="M567" t="b">
        <v>0</v>
      </c>
      <c r="O567" t="s">
        <v>85</v>
      </c>
    </row>
    <row r="568" spans="1:15">
      <c r="A568" s="1" t="s">
        <v>1517</v>
      </c>
      <c r="B568">
        <f t="shared" ca="1" si="13"/>
        <v>28486365</v>
      </c>
      <c r="G568" t="b">
        <v>0</v>
      </c>
      <c r="H568" t="s">
        <v>85</v>
      </c>
      <c r="K568" s="1" t="b">
        <v>0</v>
      </c>
      <c r="M568" t="b">
        <v>0</v>
      </c>
      <c r="O568" t="s">
        <v>85</v>
      </c>
    </row>
    <row r="569" spans="1:15">
      <c r="A569" s="1" t="s">
        <v>1517</v>
      </c>
      <c r="B569">
        <f t="shared" ca="1" si="13"/>
        <v>28486365</v>
      </c>
      <c r="G569" t="b">
        <v>0</v>
      </c>
      <c r="H569" t="s">
        <v>85</v>
      </c>
      <c r="K569" s="1" t="b">
        <v>0</v>
      </c>
      <c r="M569" t="b">
        <v>0</v>
      </c>
      <c r="O569" t="s">
        <v>85</v>
      </c>
    </row>
    <row r="570" spans="1:15">
      <c r="A570" s="1" t="s">
        <v>1523</v>
      </c>
      <c r="B570">
        <f t="shared" ca="1" si="13"/>
        <v>14498102</v>
      </c>
      <c r="G570" t="b">
        <v>0</v>
      </c>
      <c r="H570" t="s">
        <v>85</v>
      </c>
      <c r="K570" s="1" t="b">
        <v>0</v>
      </c>
      <c r="M570" t="b">
        <v>0</v>
      </c>
      <c r="O570" t="s">
        <v>85</v>
      </c>
    </row>
    <row r="571" spans="1:15">
      <c r="A571" s="1" t="s">
        <v>1523</v>
      </c>
      <c r="B571">
        <f t="shared" ca="1" si="13"/>
        <v>14498102</v>
      </c>
      <c r="G571" t="b">
        <v>0</v>
      </c>
      <c r="H571" t="s">
        <v>85</v>
      </c>
      <c r="K571" s="1" t="b">
        <v>0</v>
      </c>
      <c r="M571" t="b">
        <v>0</v>
      </c>
      <c r="O571" t="s">
        <v>85</v>
      </c>
    </row>
    <row r="572" spans="1:15">
      <c r="A572" s="1" t="s">
        <v>1523</v>
      </c>
      <c r="B572">
        <f t="shared" ca="1" si="13"/>
        <v>14498102</v>
      </c>
      <c r="G572" t="b">
        <v>0</v>
      </c>
      <c r="H572" t="s">
        <v>85</v>
      </c>
      <c r="K572" s="1" t="b">
        <v>0</v>
      </c>
      <c r="M572" t="b">
        <v>0</v>
      </c>
      <c r="O572" t="s">
        <v>85</v>
      </c>
    </row>
    <row r="573" spans="1:15">
      <c r="A573" s="1" t="s">
        <v>1531</v>
      </c>
      <c r="B573">
        <f t="shared" ca="1" si="13"/>
        <v>10452378</v>
      </c>
      <c r="G573" t="b">
        <v>0</v>
      </c>
      <c r="H573" t="s">
        <v>85</v>
      </c>
      <c r="K573" s="1" t="b">
        <v>0</v>
      </c>
      <c r="M573" t="b">
        <v>0</v>
      </c>
      <c r="O573" t="s">
        <v>85</v>
      </c>
    </row>
    <row r="574" spans="1:15">
      <c r="A574" s="1" t="s">
        <v>1531</v>
      </c>
      <c r="B574">
        <f t="shared" ca="1" si="13"/>
        <v>10452378</v>
      </c>
      <c r="G574" t="b">
        <v>1</v>
      </c>
      <c r="H574" t="s">
        <v>87</v>
      </c>
      <c r="K574" s="1" t="b">
        <v>0</v>
      </c>
      <c r="M574" t="b">
        <v>1</v>
      </c>
      <c r="O574" t="s">
        <v>87</v>
      </c>
    </row>
    <row r="575" spans="1:15">
      <c r="A575" s="1" t="s">
        <v>1531</v>
      </c>
      <c r="B575">
        <f t="shared" ca="1" si="13"/>
        <v>10452378</v>
      </c>
      <c r="G575" t="b">
        <v>0</v>
      </c>
      <c r="H575" t="s">
        <v>85</v>
      </c>
      <c r="K575" s="1" t="b">
        <v>0</v>
      </c>
      <c r="M575" t="b">
        <v>0</v>
      </c>
      <c r="O575" t="s">
        <v>85</v>
      </c>
    </row>
    <row r="576" spans="1:15">
      <c r="A576" s="1" t="s">
        <v>1538</v>
      </c>
      <c r="B576">
        <f t="shared" ca="1" si="13"/>
        <v>2190218</v>
      </c>
      <c r="G576" t="b">
        <v>0</v>
      </c>
      <c r="H576" t="s">
        <v>85</v>
      </c>
      <c r="K576" s="1" t="b">
        <v>0</v>
      </c>
      <c r="M576" t="b">
        <v>0</v>
      </c>
      <c r="O576" t="s">
        <v>85</v>
      </c>
    </row>
    <row r="577" spans="1:15">
      <c r="A577" s="1" t="s">
        <v>1538</v>
      </c>
      <c r="B577">
        <f t="shared" ca="1" si="13"/>
        <v>2190218</v>
      </c>
      <c r="G577" t="b">
        <v>0</v>
      </c>
      <c r="H577" t="s">
        <v>85</v>
      </c>
      <c r="K577" s="1" t="b">
        <v>0</v>
      </c>
      <c r="M577" t="b">
        <v>0</v>
      </c>
      <c r="O577" t="s">
        <v>85</v>
      </c>
    </row>
    <row r="578" spans="1:15">
      <c r="A578" s="1" t="s">
        <v>1538</v>
      </c>
      <c r="B578">
        <f t="shared" ca="1" si="13"/>
        <v>2190218</v>
      </c>
      <c r="G578" t="b">
        <v>0</v>
      </c>
      <c r="H578" t="s">
        <v>85</v>
      </c>
      <c r="K578" s="1" t="b">
        <v>0</v>
      </c>
      <c r="M578" t="b">
        <v>0</v>
      </c>
      <c r="O578" t="s">
        <v>85</v>
      </c>
    </row>
    <row r="579" spans="1:15">
      <c r="A579" s="1" t="s">
        <v>1544</v>
      </c>
      <c r="B579">
        <f t="shared" ca="1" si="13"/>
        <v>24037138</v>
      </c>
      <c r="G579" t="b">
        <v>0</v>
      </c>
      <c r="H579" t="s">
        <v>85</v>
      </c>
      <c r="K579" s="1" t="b">
        <v>0</v>
      </c>
      <c r="M579" t="b">
        <v>0</v>
      </c>
      <c r="O579" t="s">
        <v>85</v>
      </c>
    </row>
    <row r="580" spans="1:15">
      <c r="A580" s="1" t="s">
        <v>1544</v>
      </c>
      <c r="B580">
        <f t="shared" ca="1" si="13"/>
        <v>24037138</v>
      </c>
      <c r="G580" t="b">
        <v>0</v>
      </c>
      <c r="H580" t="s">
        <v>85</v>
      </c>
      <c r="K580" s="1" t="b">
        <v>0</v>
      </c>
      <c r="M580" t="b">
        <v>0</v>
      </c>
      <c r="O580" t="s">
        <v>85</v>
      </c>
    </row>
    <row r="581" spans="1:15">
      <c r="A581" s="1" t="s">
        <v>1544</v>
      </c>
      <c r="B581">
        <f t="shared" ca="1" si="13"/>
        <v>24037138</v>
      </c>
      <c r="G581" t="b">
        <v>0</v>
      </c>
      <c r="H581" t="s">
        <v>85</v>
      </c>
      <c r="K581" s="1" t="b">
        <v>0</v>
      </c>
      <c r="M581" t="b">
        <v>0</v>
      </c>
      <c r="O581" t="s">
        <v>85</v>
      </c>
    </row>
    <row r="582" spans="1:15">
      <c r="A582" s="1" t="s">
        <v>1544</v>
      </c>
      <c r="B582">
        <f t="shared" ca="1" si="13"/>
        <v>24037138</v>
      </c>
      <c r="G582" t="b">
        <v>0</v>
      </c>
      <c r="H582" t="s">
        <v>85</v>
      </c>
      <c r="K582" s="1" t="b">
        <v>0</v>
      </c>
      <c r="M582" t="b">
        <v>0</v>
      </c>
      <c r="O582" t="s">
        <v>85</v>
      </c>
    </row>
    <row r="583" spans="1:15">
      <c r="A583" s="1" t="s">
        <v>1544</v>
      </c>
      <c r="B583">
        <f t="shared" ref="B583:B630" ca="1" si="14">VLOOKUP(A583,$C$6:$D$208,2,FALSE)</f>
        <v>24037138</v>
      </c>
      <c r="G583" t="b">
        <v>0</v>
      </c>
      <c r="H583" t="s">
        <v>85</v>
      </c>
      <c r="K583" s="1" t="b">
        <v>0</v>
      </c>
      <c r="M583" t="b">
        <v>0</v>
      </c>
      <c r="O583" t="s">
        <v>85</v>
      </c>
    </row>
    <row r="584" spans="1:15">
      <c r="A584" s="1" t="s">
        <v>1549</v>
      </c>
      <c r="B584">
        <f t="shared" ca="1" si="14"/>
        <v>7502448</v>
      </c>
      <c r="G584" t="b">
        <v>0</v>
      </c>
      <c r="H584" t="s">
        <v>85</v>
      </c>
      <c r="K584" s="1" t="b">
        <v>0</v>
      </c>
      <c r="M584" t="b">
        <v>0</v>
      </c>
      <c r="O584" t="s">
        <v>85</v>
      </c>
    </row>
    <row r="585" spans="1:15">
      <c r="A585" s="1" t="s">
        <v>1549</v>
      </c>
      <c r="B585">
        <f t="shared" ca="1" si="14"/>
        <v>7502448</v>
      </c>
      <c r="G585" t="b">
        <v>0</v>
      </c>
      <c r="H585" t="s">
        <v>85</v>
      </c>
      <c r="K585" s="1" t="b">
        <v>0</v>
      </c>
      <c r="M585" t="b">
        <v>0</v>
      </c>
      <c r="O585" t="s">
        <v>85</v>
      </c>
    </row>
    <row r="586" spans="1:15">
      <c r="A586" s="1" t="s">
        <v>1549</v>
      </c>
      <c r="B586">
        <f t="shared" ca="1" si="14"/>
        <v>7502448</v>
      </c>
      <c r="G586" t="b">
        <v>0</v>
      </c>
      <c r="H586" t="s">
        <v>85</v>
      </c>
      <c r="K586" s="1" t="b">
        <v>0</v>
      </c>
      <c r="M586" t="b">
        <v>0</v>
      </c>
      <c r="O586" t="s">
        <v>85</v>
      </c>
    </row>
    <row r="587" spans="1:15">
      <c r="A587" s="1" t="s">
        <v>1549</v>
      </c>
      <c r="B587">
        <f t="shared" ca="1" si="14"/>
        <v>7502448</v>
      </c>
      <c r="G587" t="b">
        <v>0</v>
      </c>
      <c r="H587" t="s">
        <v>85</v>
      </c>
      <c r="K587" s="1" t="b">
        <v>0</v>
      </c>
      <c r="M587" t="b">
        <v>0</v>
      </c>
      <c r="O587" t="s">
        <v>85</v>
      </c>
    </row>
    <row r="588" spans="1:15">
      <c r="A588" s="1" t="s">
        <v>1549</v>
      </c>
      <c r="B588">
        <f t="shared" ca="1" si="14"/>
        <v>7502448</v>
      </c>
      <c r="G588" t="b">
        <v>0</v>
      </c>
      <c r="H588" t="s">
        <v>85</v>
      </c>
      <c r="K588" s="1" t="b">
        <v>0</v>
      </c>
      <c r="M588" t="b">
        <v>0</v>
      </c>
      <c r="O588" t="s">
        <v>85</v>
      </c>
    </row>
    <row r="589" spans="1:15">
      <c r="A589" s="1" t="s">
        <v>1553</v>
      </c>
      <c r="B589">
        <f t="shared" ca="1" si="14"/>
        <v>16293015</v>
      </c>
      <c r="G589" t="b">
        <v>0</v>
      </c>
      <c r="H589" t="s">
        <v>85</v>
      </c>
      <c r="K589" s="1" t="b">
        <v>0</v>
      </c>
      <c r="M589" t="b">
        <v>0</v>
      </c>
      <c r="O589" t="s">
        <v>85</v>
      </c>
    </row>
    <row r="590" spans="1:15">
      <c r="A590" s="1" t="s">
        <v>1553</v>
      </c>
      <c r="B590">
        <f t="shared" ca="1" si="14"/>
        <v>16293015</v>
      </c>
      <c r="G590" t="b">
        <v>0</v>
      </c>
      <c r="H590" t="s">
        <v>85</v>
      </c>
      <c r="K590" s="1" t="b">
        <v>0</v>
      </c>
      <c r="M590" t="b">
        <v>0</v>
      </c>
      <c r="O590" t="s">
        <v>85</v>
      </c>
    </row>
    <row r="591" spans="1:15">
      <c r="A591" s="1" t="s">
        <v>1553</v>
      </c>
      <c r="B591">
        <f t="shared" ca="1" si="14"/>
        <v>16293015</v>
      </c>
      <c r="G591" t="b">
        <v>0</v>
      </c>
      <c r="H591" t="s">
        <v>85</v>
      </c>
      <c r="K591" s="1" t="b">
        <v>0</v>
      </c>
      <c r="M591" t="b">
        <v>0</v>
      </c>
      <c r="O591" t="s">
        <v>85</v>
      </c>
    </row>
    <row r="592" spans="1:15">
      <c r="A592" s="1" t="s">
        <v>1553</v>
      </c>
      <c r="B592">
        <f t="shared" ca="1" si="14"/>
        <v>16293015</v>
      </c>
      <c r="G592" t="b">
        <v>0</v>
      </c>
      <c r="H592" t="s">
        <v>85</v>
      </c>
      <c r="K592" s="1" t="b">
        <v>0</v>
      </c>
      <c r="M592" t="b">
        <v>0</v>
      </c>
      <c r="O592" t="s">
        <v>85</v>
      </c>
    </row>
    <row r="593" spans="1:15">
      <c r="A593" s="1" t="s">
        <v>1560</v>
      </c>
      <c r="B593">
        <f t="shared" ca="1" si="14"/>
        <v>6707255</v>
      </c>
      <c r="G593" t="b">
        <v>0</v>
      </c>
      <c r="H593" t="s">
        <v>85</v>
      </c>
      <c r="K593" s="1" t="b">
        <v>0</v>
      </c>
      <c r="M593" t="b">
        <v>0</v>
      </c>
      <c r="O593" t="s">
        <v>85</v>
      </c>
    </row>
    <row r="594" spans="1:15">
      <c r="A594" s="1" t="s">
        <v>1560</v>
      </c>
      <c r="B594">
        <f t="shared" ca="1" si="14"/>
        <v>6707255</v>
      </c>
      <c r="G594" t="b">
        <v>0</v>
      </c>
      <c r="H594" t="s">
        <v>85</v>
      </c>
      <c r="K594" s="1" t="b">
        <v>0</v>
      </c>
      <c r="M594" t="b">
        <v>0</v>
      </c>
      <c r="O594" t="s">
        <v>85</v>
      </c>
    </row>
    <row r="595" spans="1:15">
      <c r="A595" s="1" t="s">
        <v>1560</v>
      </c>
      <c r="B595">
        <f t="shared" ca="1" si="14"/>
        <v>6707255</v>
      </c>
      <c r="G595" t="b">
        <v>0</v>
      </c>
      <c r="H595" t="s">
        <v>85</v>
      </c>
      <c r="K595" s="1" t="b">
        <v>0</v>
      </c>
      <c r="M595" t="b">
        <v>0</v>
      </c>
      <c r="O595" t="s">
        <v>85</v>
      </c>
    </row>
    <row r="596" spans="1:15">
      <c r="A596" s="1" t="s">
        <v>1560</v>
      </c>
      <c r="B596">
        <f t="shared" ca="1" si="14"/>
        <v>6707255</v>
      </c>
      <c r="G596" t="b">
        <v>0</v>
      </c>
      <c r="H596" t="s">
        <v>85</v>
      </c>
      <c r="K596" s="1" t="b">
        <v>0</v>
      </c>
      <c r="M596" t="b">
        <v>0</v>
      </c>
      <c r="O596" t="s">
        <v>85</v>
      </c>
    </row>
    <row r="597" spans="1:15">
      <c r="A597" s="1" t="s">
        <v>1560</v>
      </c>
      <c r="B597">
        <f t="shared" ca="1" si="14"/>
        <v>6707255</v>
      </c>
      <c r="G597" t="b">
        <v>0</v>
      </c>
      <c r="H597" t="s">
        <v>85</v>
      </c>
      <c r="K597" s="1" t="b">
        <v>0</v>
      </c>
      <c r="M597" t="b">
        <v>0</v>
      </c>
      <c r="O597" t="s">
        <v>85</v>
      </c>
    </row>
    <row r="598" spans="1:15">
      <c r="A598" s="1" t="s">
        <v>1566</v>
      </c>
      <c r="B598">
        <f t="shared" ca="1" si="14"/>
        <v>34302054</v>
      </c>
      <c r="G598" t="b">
        <v>0</v>
      </c>
      <c r="H598" t="s">
        <v>85</v>
      </c>
      <c r="K598" s="1" t="b">
        <v>0</v>
      </c>
      <c r="M598" t="b">
        <v>0</v>
      </c>
      <c r="O598" t="s">
        <v>85</v>
      </c>
    </row>
    <row r="599" spans="1:15">
      <c r="A599" s="1" t="s">
        <v>1566</v>
      </c>
      <c r="B599">
        <f t="shared" ca="1" si="14"/>
        <v>34302054</v>
      </c>
      <c r="G599" t="b">
        <v>0</v>
      </c>
      <c r="H599" t="s">
        <v>85</v>
      </c>
      <c r="K599" s="1" t="b">
        <v>0</v>
      </c>
      <c r="M599" t="b">
        <v>0</v>
      </c>
      <c r="O599" t="s">
        <v>85</v>
      </c>
    </row>
    <row r="600" spans="1:15">
      <c r="A600" s="1" t="s">
        <v>1566</v>
      </c>
      <c r="B600">
        <f t="shared" ca="1" si="14"/>
        <v>34302054</v>
      </c>
      <c r="G600" t="b">
        <v>0</v>
      </c>
      <c r="H600" t="s">
        <v>85</v>
      </c>
      <c r="K600" s="1" t="b">
        <v>0</v>
      </c>
      <c r="M600" t="b">
        <v>0</v>
      </c>
      <c r="O600" t="s">
        <v>85</v>
      </c>
    </row>
    <row r="601" spans="1:15">
      <c r="A601" s="1" t="s">
        <v>1566</v>
      </c>
      <c r="B601">
        <f t="shared" ca="1" si="14"/>
        <v>34302054</v>
      </c>
      <c r="G601" t="b">
        <v>0</v>
      </c>
      <c r="H601" t="s">
        <v>85</v>
      </c>
      <c r="K601" s="1" t="b">
        <v>0</v>
      </c>
      <c r="M601" t="b">
        <v>0</v>
      </c>
      <c r="O601" t="s">
        <v>85</v>
      </c>
    </row>
    <row r="602" spans="1:15">
      <c r="A602" s="1" t="s">
        <v>1572</v>
      </c>
      <c r="B602">
        <f t="shared" ca="1" si="14"/>
        <v>16584844</v>
      </c>
      <c r="G602" t="b">
        <v>0</v>
      </c>
      <c r="H602" t="s">
        <v>85</v>
      </c>
      <c r="K602" s="1" t="b">
        <v>0</v>
      </c>
      <c r="M602" t="b">
        <v>0</v>
      </c>
      <c r="O602" t="s">
        <v>85</v>
      </c>
    </row>
    <row r="603" spans="1:15">
      <c r="A603" s="1" t="s">
        <v>1572</v>
      </c>
      <c r="B603">
        <f t="shared" ca="1" si="14"/>
        <v>16584844</v>
      </c>
      <c r="G603" t="b">
        <v>0</v>
      </c>
      <c r="H603" t="s">
        <v>85</v>
      </c>
      <c r="K603" s="1" t="b">
        <v>0</v>
      </c>
      <c r="M603" t="b">
        <v>0</v>
      </c>
      <c r="O603" t="s">
        <v>85</v>
      </c>
    </row>
    <row r="604" spans="1:15">
      <c r="A604" s="1" t="s">
        <v>1572</v>
      </c>
      <c r="B604">
        <f t="shared" ca="1" si="14"/>
        <v>16584844</v>
      </c>
      <c r="G604" t="b">
        <v>0</v>
      </c>
      <c r="H604" t="s">
        <v>85</v>
      </c>
      <c r="K604" s="1" t="b">
        <v>0</v>
      </c>
      <c r="M604" t="b">
        <v>0</v>
      </c>
      <c r="O604" t="s">
        <v>85</v>
      </c>
    </row>
    <row r="605" spans="1:15">
      <c r="A605" s="1" t="s">
        <v>1578</v>
      </c>
      <c r="B605">
        <f t="shared" ca="1" si="14"/>
        <v>8639882</v>
      </c>
      <c r="G605" t="b">
        <v>0</v>
      </c>
      <c r="H605" t="s">
        <v>85</v>
      </c>
      <c r="K605" s="1" t="b">
        <v>0</v>
      </c>
      <c r="M605" t="b">
        <v>0</v>
      </c>
      <c r="O605" t="s">
        <v>85</v>
      </c>
    </row>
    <row r="606" spans="1:15">
      <c r="A606" s="1" t="s">
        <v>1578</v>
      </c>
      <c r="B606">
        <f t="shared" ca="1" si="14"/>
        <v>8639882</v>
      </c>
      <c r="G606" t="b">
        <v>0</v>
      </c>
      <c r="H606" t="s">
        <v>85</v>
      </c>
      <c r="K606" s="1" t="b">
        <v>0</v>
      </c>
      <c r="M606" t="b">
        <v>0</v>
      </c>
      <c r="O606" t="s">
        <v>85</v>
      </c>
    </row>
    <row r="607" spans="1:15">
      <c r="A607" s="1" t="s">
        <v>1578</v>
      </c>
      <c r="B607">
        <f t="shared" ca="1" si="14"/>
        <v>8639882</v>
      </c>
      <c r="G607" t="b">
        <v>0</v>
      </c>
      <c r="H607" t="s">
        <v>85</v>
      </c>
      <c r="K607" s="1" t="b">
        <v>0</v>
      </c>
      <c r="M607" t="b">
        <v>0</v>
      </c>
      <c r="O607" t="s">
        <v>85</v>
      </c>
    </row>
    <row r="608" spans="1:15">
      <c r="A608" s="1" t="s">
        <v>1584</v>
      </c>
      <c r="B608">
        <f t="shared" ca="1" si="14"/>
        <v>24852962</v>
      </c>
      <c r="G608" t="b">
        <v>0</v>
      </c>
      <c r="H608" t="s">
        <v>85</v>
      </c>
      <c r="K608" s="1" t="b">
        <v>0</v>
      </c>
      <c r="M608" t="b">
        <v>0</v>
      </c>
      <c r="O608" t="s">
        <v>85</v>
      </c>
    </row>
    <row r="609" spans="1:15">
      <c r="A609" s="1" t="s">
        <v>1584</v>
      </c>
      <c r="B609">
        <f t="shared" ca="1" si="14"/>
        <v>24852962</v>
      </c>
      <c r="G609" t="b">
        <v>0</v>
      </c>
      <c r="H609" t="s">
        <v>85</v>
      </c>
      <c r="K609" s="1" t="b">
        <v>0</v>
      </c>
      <c r="M609" t="b">
        <v>0</v>
      </c>
      <c r="O609" t="s">
        <v>85</v>
      </c>
    </row>
    <row r="610" spans="1:15">
      <c r="A610" s="1" t="s">
        <v>1584</v>
      </c>
      <c r="B610">
        <f t="shared" ca="1" si="14"/>
        <v>24852962</v>
      </c>
      <c r="G610" t="b">
        <v>0</v>
      </c>
      <c r="H610" t="s">
        <v>85</v>
      </c>
      <c r="K610" s="1" t="b">
        <v>0</v>
      </c>
      <c r="M610" t="b">
        <v>0</v>
      </c>
      <c r="O610" t="s">
        <v>85</v>
      </c>
    </row>
    <row r="611" spans="1:15">
      <c r="A611" s="1" t="s">
        <v>1590</v>
      </c>
      <c r="B611">
        <f t="shared" ca="1" si="14"/>
        <v>30666745</v>
      </c>
      <c r="G611" t="b">
        <v>0</v>
      </c>
      <c r="H611" t="s">
        <v>85</v>
      </c>
      <c r="K611" s="1" t="b">
        <v>0</v>
      </c>
      <c r="M611" t="b">
        <v>0</v>
      </c>
      <c r="O611" t="s">
        <v>85</v>
      </c>
    </row>
    <row r="612" spans="1:15">
      <c r="A612" s="1" t="s">
        <v>1590</v>
      </c>
      <c r="B612">
        <f t="shared" ca="1" si="14"/>
        <v>30666745</v>
      </c>
      <c r="G612" t="b">
        <v>0</v>
      </c>
      <c r="H612" t="s">
        <v>85</v>
      </c>
      <c r="K612" s="1" t="b">
        <v>0</v>
      </c>
      <c r="M612" t="b">
        <v>0</v>
      </c>
      <c r="O612" t="s">
        <v>85</v>
      </c>
    </row>
    <row r="613" spans="1:15">
      <c r="A613" s="1" t="s">
        <v>1590</v>
      </c>
      <c r="B613">
        <f t="shared" ca="1" si="14"/>
        <v>30666745</v>
      </c>
      <c r="G613" t="b">
        <v>0</v>
      </c>
      <c r="H613" t="s">
        <v>85</v>
      </c>
      <c r="K613" s="1" t="b">
        <v>0</v>
      </c>
      <c r="M613" t="b">
        <v>0</v>
      </c>
      <c r="O613" t="s">
        <v>85</v>
      </c>
    </row>
    <row r="614" spans="1:15">
      <c r="A614" s="1" t="s">
        <v>1595</v>
      </c>
      <c r="B614">
        <f t="shared" ca="1" si="14"/>
        <v>30378937</v>
      </c>
      <c r="G614" t="b">
        <v>0</v>
      </c>
      <c r="H614" t="s">
        <v>85</v>
      </c>
      <c r="K614" s="1" t="b">
        <v>0</v>
      </c>
      <c r="M614" t="b">
        <v>0</v>
      </c>
      <c r="O614" t="s">
        <v>85</v>
      </c>
    </row>
    <row r="615" spans="1:15">
      <c r="A615" s="1" t="s">
        <v>1595</v>
      </c>
      <c r="B615">
        <f t="shared" ca="1" si="14"/>
        <v>30378937</v>
      </c>
      <c r="G615" t="b">
        <v>0</v>
      </c>
      <c r="H615" t="s">
        <v>85</v>
      </c>
      <c r="K615" s="1" t="b">
        <v>0</v>
      </c>
      <c r="M615" t="b">
        <v>0</v>
      </c>
      <c r="O615" t="s">
        <v>85</v>
      </c>
    </row>
    <row r="616" spans="1:15">
      <c r="A616" s="1" t="s">
        <v>1600</v>
      </c>
      <c r="B616">
        <f t="shared" ca="1" si="14"/>
        <v>2107606</v>
      </c>
      <c r="G616" t="b">
        <v>0</v>
      </c>
      <c r="H616" t="s">
        <v>85</v>
      </c>
      <c r="K616" s="1" t="b">
        <v>0</v>
      </c>
      <c r="M616" t="b">
        <v>0</v>
      </c>
      <c r="O616" t="s">
        <v>85</v>
      </c>
    </row>
    <row r="617" spans="1:15">
      <c r="A617" s="1" t="s">
        <v>1600</v>
      </c>
      <c r="B617">
        <f t="shared" ca="1" si="14"/>
        <v>2107606</v>
      </c>
      <c r="G617" t="b">
        <v>0</v>
      </c>
      <c r="H617" t="s">
        <v>85</v>
      </c>
      <c r="K617" s="1" t="b">
        <v>0</v>
      </c>
      <c r="M617" t="b">
        <v>0</v>
      </c>
      <c r="O617" t="s">
        <v>85</v>
      </c>
    </row>
    <row r="618" spans="1:15">
      <c r="A618" s="1" t="s">
        <v>1600</v>
      </c>
      <c r="B618">
        <f t="shared" ca="1" si="14"/>
        <v>2107606</v>
      </c>
      <c r="G618" t="b">
        <v>0</v>
      </c>
      <c r="H618" t="s">
        <v>85</v>
      </c>
      <c r="K618" s="1" t="b">
        <v>0</v>
      </c>
      <c r="M618" t="b">
        <v>0</v>
      </c>
      <c r="O618" t="s">
        <v>85</v>
      </c>
    </row>
    <row r="619" spans="1:15">
      <c r="A619" s="1" t="s">
        <v>1600</v>
      </c>
      <c r="B619">
        <f t="shared" ca="1" si="14"/>
        <v>2107606</v>
      </c>
      <c r="G619" t="b">
        <v>0</v>
      </c>
      <c r="H619" t="s">
        <v>85</v>
      </c>
      <c r="K619" s="1" t="b">
        <v>0</v>
      </c>
      <c r="M619" t="b">
        <v>0</v>
      </c>
      <c r="O619" t="s">
        <v>85</v>
      </c>
    </row>
    <row r="620" spans="1:15">
      <c r="A620" s="1" t="s">
        <v>1606</v>
      </c>
      <c r="B620">
        <f t="shared" ca="1" si="14"/>
        <v>21319373</v>
      </c>
      <c r="G620" t="b">
        <v>0</v>
      </c>
      <c r="H620" t="s">
        <v>85</v>
      </c>
      <c r="K620" s="1" t="b">
        <v>0</v>
      </c>
      <c r="M620" t="b">
        <v>0</v>
      </c>
      <c r="O620" t="s">
        <v>85</v>
      </c>
    </row>
    <row r="621" spans="1:15">
      <c r="A621" s="1" t="s">
        <v>1606</v>
      </c>
      <c r="B621">
        <f t="shared" ca="1" si="14"/>
        <v>21319373</v>
      </c>
      <c r="G621" t="b">
        <v>0</v>
      </c>
      <c r="H621" t="s">
        <v>85</v>
      </c>
      <c r="K621" s="1" t="b">
        <v>0</v>
      </c>
      <c r="M621" t="b">
        <v>0</v>
      </c>
      <c r="O621" t="s">
        <v>85</v>
      </c>
    </row>
    <row r="622" spans="1:15">
      <c r="A622" s="1" t="s">
        <v>1613</v>
      </c>
      <c r="B622">
        <f t="shared" ca="1" si="14"/>
        <v>12440158</v>
      </c>
      <c r="G622" t="b">
        <v>0</v>
      </c>
      <c r="H622" t="s">
        <v>85</v>
      </c>
      <c r="K622" s="1" t="b">
        <v>0</v>
      </c>
      <c r="M622" t="b">
        <v>0</v>
      </c>
      <c r="O622" t="s">
        <v>85</v>
      </c>
    </row>
    <row r="623" spans="1:15">
      <c r="A623" s="1" t="s">
        <v>1613</v>
      </c>
      <c r="B623">
        <f t="shared" ca="1" si="14"/>
        <v>12440158</v>
      </c>
      <c r="G623" t="b">
        <v>0</v>
      </c>
      <c r="H623" t="s">
        <v>85</v>
      </c>
      <c r="K623" s="1" t="b">
        <v>0</v>
      </c>
      <c r="M623" t="b">
        <v>0</v>
      </c>
      <c r="O623" t="s">
        <v>85</v>
      </c>
    </row>
    <row r="624" spans="1:15">
      <c r="A624" s="1" t="s">
        <v>1619</v>
      </c>
      <c r="B624">
        <f t="shared" ca="1" si="14"/>
        <v>3788252</v>
      </c>
      <c r="G624" t="b">
        <v>0</v>
      </c>
      <c r="H624" t="s">
        <v>85</v>
      </c>
      <c r="K624" s="1" t="b">
        <v>0</v>
      </c>
      <c r="M624" t="b">
        <v>0</v>
      </c>
      <c r="O624" t="s">
        <v>85</v>
      </c>
    </row>
    <row r="625" spans="1:15">
      <c r="A625" s="1" t="s">
        <v>1619</v>
      </c>
      <c r="B625">
        <f t="shared" ca="1" si="14"/>
        <v>3788252</v>
      </c>
      <c r="G625" t="b">
        <v>0</v>
      </c>
      <c r="H625" t="s">
        <v>85</v>
      </c>
      <c r="K625" s="1" t="b">
        <v>0</v>
      </c>
      <c r="M625" t="b">
        <v>0</v>
      </c>
      <c r="O625" t="s">
        <v>85</v>
      </c>
    </row>
    <row r="626" spans="1:15">
      <c r="A626" s="1" t="s">
        <v>1619</v>
      </c>
      <c r="B626">
        <f t="shared" ca="1" si="14"/>
        <v>3788252</v>
      </c>
      <c r="G626" t="b">
        <v>0</v>
      </c>
      <c r="H626" t="s">
        <v>85</v>
      </c>
      <c r="K626" s="1" t="b">
        <v>0</v>
      </c>
      <c r="M626" t="b">
        <v>0</v>
      </c>
      <c r="O626" t="s">
        <v>85</v>
      </c>
    </row>
    <row r="627" spans="1:15">
      <c r="A627" s="1" t="s">
        <v>1623</v>
      </c>
      <c r="B627">
        <f t="shared" ca="1" si="14"/>
        <v>1579517</v>
      </c>
      <c r="G627" t="b">
        <v>0</v>
      </c>
      <c r="H627" t="s">
        <v>85</v>
      </c>
      <c r="K627" s="1" t="b">
        <v>0</v>
      </c>
      <c r="M627" t="b">
        <v>0</v>
      </c>
      <c r="O627" t="s">
        <v>85</v>
      </c>
    </row>
    <row r="628" spans="1:15">
      <c r="A628" s="1" t="s">
        <v>1623</v>
      </c>
      <c r="B628">
        <f t="shared" ca="1" si="14"/>
        <v>1579517</v>
      </c>
      <c r="G628" t="b">
        <v>0</v>
      </c>
      <c r="H628" t="s">
        <v>85</v>
      </c>
      <c r="K628" s="1" t="b">
        <v>0</v>
      </c>
      <c r="M628" t="b">
        <v>0</v>
      </c>
      <c r="O628" t="s">
        <v>85</v>
      </c>
    </row>
    <row r="629" spans="1:15">
      <c r="A629" s="1" t="s">
        <v>1623</v>
      </c>
      <c r="B629">
        <f t="shared" ca="1" si="14"/>
        <v>1579517</v>
      </c>
      <c r="G629" t="b">
        <v>0</v>
      </c>
      <c r="H629" t="s">
        <v>85</v>
      </c>
      <c r="K629" s="1" t="b">
        <v>0</v>
      </c>
      <c r="M629" t="b">
        <v>0</v>
      </c>
      <c r="O629" t="s">
        <v>85</v>
      </c>
    </row>
    <row r="630" spans="1:15">
      <c r="A630" s="1" t="s">
        <v>1628</v>
      </c>
      <c r="B630">
        <f t="shared" ca="1" si="14"/>
        <v>32673524</v>
      </c>
      <c r="G630" t="b">
        <v>0</v>
      </c>
      <c r="H630" t="s">
        <v>85</v>
      </c>
      <c r="K630" s="1" t="b">
        <v>0</v>
      </c>
      <c r="M630" t="b">
        <v>0</v>
      </c>
      <c r="O630"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145"/>
  <sheetViews>
    <sheetView topLeftCell="J1" workbookViewId="0">
      <selection activeCell="W5" sqref="W5"/>
    </sheetView>
  </sheetViews>
  <sheetFormatPr defaultRowHeight="15"/>
  <cols>
    <col min="1" max="1" width="20.5703125" customWidth="1"/>
    <col min="3" max="3" width="13.28515625" customWidth="1"/>
    <col min="4" max="4" width="48.42578125" customWidth="1"/>
    <col min="5" max="5" width="16.140625" customWidth="1"/>
    <col min="14" max="14" width="61.5703125" customWidth="1"/>
  </cols>
  <sheetData>
    <row r="1" spans="1:16" ht="18.75">
      <c r="A1" s="18"/>
      <c r="B1" t="s">
        <v>2653</v>
      </c>
    </row>
    <row r="2" spans="1:16">
      <c r="A2" s="17" t="s">
        <v>33</v>
      </c>
    </row>
    <row r="3" spans="1:16">
      <c r="A3" s="1"/>
      <c r="N3" s="10"/>
    </row>
    <row r="4" spans="1:16" ht="15.75" thickBot="1">
      <c r="A4" s="1"/>
      <c r="N4" s="10"/>
    </row>
    <row r="5" spans="1:16">
      <c r="A5" s="1"/>
      <c r="B5" s="44" t="s">
        <v>2654</v>
      </c>
      <c r="C5" s="45" t="s">
        <v>2655</v>
      </c>
      <c r="N5" s="10"/>
    </row>
    <row r="6" spans="1:16">
      <c r="A6" s="1">
        <v>76985</v>
      </c>
      <c r="B6" s="46">
        <v>90851</v>
      </c>
      <c r="C6" s="24">
        <v>845293</v>
      </c>
      <c r="D6" t="s">
        <v>88</v>
      </c>
      <c r="E6" t="str">
        <f ca="1">CONCATENATE(I6,J6,K6,L6,M6,N6,O6,P6)</f>
        <v>5L22IRPINOLEVILLE POMO NATION GHWIC PROJECT-95</v>
      </c>
      <c r="I6">
        <f ca="1">RANDBETWEEN(1,9)</f>
        <v>5</v>
      </c>
      <c r="J6" t="s">
        <v>322</v>
      </c>
      <c r="K6">
        <f ca="1">RANDBETWEEN(10,99)</f>
        <v>22</v>
      </c>
      <c r="L6" t="s">
        <v>304</v>
      </c>
      <c r="M6" t="s">
        <v>1920</v>
      </c>
      <c r="N6" s="63" t="s">
        <v>1900</v>
      </c>
      <c r="O6" s="49" t="s">
        <v>2656</v>
      </c>
      <c r="P6">
        <f ca="1">RANDBETWEEN(10,99)</f>
        <v>95</v>
      </c>
    </row>
    <row r="7" spans="1:16">
      <c r="A7" s="1">
        <v>76984</v>
      </c>
      <c r="B7" s="46">
        <v>90850</v>
      </c>
      <c r="C7" s="24">
        <v>845293</v>
      </c>
      <c r="D7" t="s">
        <v>88</v>
      </c>
      <c r="E7" t="str">
        <f ca="1">CONCATENATE(I7,J7,K7,L7,M7,N7,O7,P7)</f>
        <v>5M35BSTHE EPIDEMIOLOGY OF INTERSTITIAL CYSTITIS IN A NATIONWIDE MULTIETHNIC VA COHORT-17</v>
      </c>
      <c r="I7">
        <f t="shared" ref="I7:I70" ca="1" si="0">RANDBETWEEN(1,9)</f>
        <v>5</v>
      </c>
      <c r="J7" t="s">
        <v>1895</v>
      </c>
      <c r="K7">
        <f t="shared" ref="K7:K70" ca="1" si="1">RANDBETWEEN(10,99)</f>
        <v>35</v>
      </c>
      <c r="L7" t="s">
        <v>954</v>
      </c>
      <c r="M7" t="s">
        <v>2350</v>
      </c>
      <c r="N7" s="52" t="s">
        <v>1901</v>
      </c>
      <c r="O7" s="49" t="s">
        <v>2656</v>
      </c>
      <c r="P7">
        <f t="shared" ref="P7:P70" ca="1" si="2">RANDBETWEEN(10,99)</f>
        <v>17</v>
      </c>
    </row>
    <row r="8" spans="1:16">
      <c r="A8" s="1">
        <v>76986</v>
      </c>
      <c r="B8" s="46">
        <v>89329</v>
      </c>
      <c r="C8" s="24">
        <v>843858</v>
      </c>
      <c r="D8" t="s">
        <v>118</v>
      </c>
      <c r="E8" t="str">
        <f t="shared" ref="E8:E70" ca="1" si="3">CONCATENATE(I8,J8,K8,L8,M8,N8,O8,P8)</f>
        <v>9T49BTCATEGORY B: PUBLIC HEALTH LAWYERS AND THEIR CLIENTS-98</v>
      </c>
      <c r="I8">
        <f t="shared" ca="1" si="0"/>
        <v>9</v>
      </c>
      <c r="J8" t="s">
        <v>2657</v>
      </c>
      <c r="K8">
        <f t="shared" ca="1" si="1"/>
        <v>49</v>
      </c>
      <c r="L8" t="s">
        <v>954</v>
      </c>
      <c r="M8" t="s">
        <v>2657</v>
      </c>
      <c r="N8" s="53" t="s">
        <v>1846</v>
      </c>
      <c r="O8" s="49" t="s">
        <v>2656</v>
      </c>
      <c r="P8">
        <f t="shared" ca="1" si="2"/>
        <v>98</v>
      </c>
    </row>
    <row r="9" spans="1:16" ht="16.5">
      <c r="A9" s="1">
        <v>87296</v>
      </c>
      <c r="B9" s="46">
        <v>89330</v>
      </c>
      <c r="C9" s="24">
        <v>843858</v>
      </c>
      <c r="D9" t="s">
        <v>118</v>
      </c>
      <c r="E9" t="str">
        <f t="shared" ca="1" si="3"/>
        <v>9L93DRSUPPORTING, MAINTAINING AND IMPROVING THE SURVEILLANCE SYSTEM FOR CHRONIC KIDNEY DISEASE IN THE UNITED STATES-47</v>
      </c>
      <c r="I9">
        <f t="shared" ca="1" si="0"/>
        <v>9</v>
      </c>
      <c r="J9" t="s">
        <v>322</v>
      </c>
      <c r="K9">
        <f t="shared" ca="1" si="1"/>
        <v>93</v>
      </c>
      <c r="L9" t="s">
        <v>2658</v>
      </c>
      <c r="M9" t="s">
        <v>1920</v>
      </c>
      <c r="N9" s="57" t="s">
        <v>1862</v>
      </c>
      <c r="O9" s="49" t="s">
        <v>2656</v>
      </c>
      <c r="P9">
        <f t="shared" ca="1" si="2"/>
        <v>47</v>
      </c>
    </row>
    <row r="10" spans="1:16">
      <c r="A10" s="1">
        <v>87297</v>
      </c>
      <c r="B10" s="46">
        <v>89331</v>
      </c>
      <c r="C10" s="24">
        <v>843858</v>
      </c>
      <c r="D10" t="s">
        <v>118</v>
      </c>
      <c r="E10" t="str">
        <f t="shared" ca="1" si="3"/>
        <v>5M94GSCALIFORNIA STROKE REGISTRY/CALIFORNIA COVERDELL PROGRAM-98</v>
      </c>
      <c r="I10">
        <f t="shared" ca="1" si="0"/>
        <v>5</v>
      </c>
      <c r="J10" t="s">
        <v>1895</v>
      </c>
      <c r="K10">
        <f t="shared" ca="1" si="1"/>
        <v>94</v>
      </c>
      <c r="L10" t="s">
        <v>2659</v>
      </c>
      <c r="M10" t="s">
        <v>2350</v>
      </c>
      <c r="N10" s="53" t="s">
        <v>1902</v>
      </c>
      <c r="O10" s="49" t="s">
        <v>2656</v>
      </c>
      <c r="P10">
        <f t="shared" ca="1" si="2"/>
        <v>98</v>
      </c>
    </row>
    <row r="11" spans="1:16" ht="16.5">
      <c r="A11" s="1">
        <v>87295</v>
      </c>
      <c r="B11" s="46">
        <v>90933</v>
      </c>
      <c r="C11" s="24">
        <v>841917</v>
      </c>
      <c r="D11" t="s">
        <v>133</v>
      </c>
      <c r="E11" t="str">
        <f t="shared" ca="1" si="3"/>
        <v>3T97HTINNOVATIVE STATE AND LOCAL PUBLIC HEALTH STRATEGIES TO PREVENT AND MANAGE DIABETES AND HEART DISEASE AND STROKE-52</v>
      </c>
      <c r="I11">
        <f t="shared" ca="1" si="0"/>
        <v>3</v>
      </c>
      <c r="J11" t="s">
        <v>2657</v>
      </c>
      <c r="K11">
        <f t="shared" ca="1" si="1"/>
        <v>97</v>
      </c>
      <c r="L11" t="s">
        <v>2660</v>
      </c>
      <c r="M11" t="s">
        <v>2657</v>
      </c>
      <c r="N11" s="57" t="s">
        <v>1903</v>
      </c>
      <c r="O11" s="49" t="s">
        <v>2656</v>
      </c>
      <c r="P11">
        <f t="shared" ca="1" si="2"/>
        <v>52</v>
      </c>
    </row>
    <row r="12" spans="1:16" ht="16.5">
      <c r="A12" s="1">
        <v>87298</v>
      </c>
      <c r="B12" s="46">
        <v>90934</v>
      </c>
      <c r="C12" s="24">
        <v>841917</v>
      </c>
      <c r="D12" t="s">
        <v>133</v>
      </c>
      <c r="E12" t="str">
        <f t="shared" ca="1" si="3"/>
        <v>7L23ARCHRONIC DISEASE PREVENTION &amp; MANAGEMENT STRATEGY: INNOVATIVE SOLUTIONS FOR HEALTHIER COMMUNITIES-67</v>
      </c>
      <c r="I12">
        <f t="shared" ca="1" si="0"/>
        <v>7</v>
      </c>
      <c r="J12" t="s">
        <v>322</v>
      </c>
      <c r="K12">
        <f t="shared" ca="1" si="1"/>
        <v>23</v>
      </c>
      <c r="L12" t="s">
        <v>425</v>
      </c>
      <c r="M12" t="s">
        <v>1920</v>
      </c>
      <c r="N12" s="57" t="s">
        <v>1859</v>
      </c>
      <c r="O12" s="49" t="s">
        <v>2656</v>
      </c>
      <c r="P12">
        <f t="shared" ca="1" si="2"/>
        <v>67</v>
      </c>
    </row>
    <row r="13" spans="1:16">
      <c r="A13" s="1">
        <v>90843</v>
      </c>
      <c r="B13" s="46">
        <v>90935</v>
      </c>
      <c r="C13" s="24">
        <v>841917</v>
      </c>
      <c r="D13" t="s">
        <v>133</v>
      </c>
      <c r="E13" t="str">
        <f t="shared" ca="1" si="3"/>
        <v>4M85HSTHE LOS ANGELES COUNTY SODIUM REDUCTION INITIATIVE, 2016-2021-27</v>
      </c>
      <c r="I13">
        <f t="shared" ca="1" si="0"/>
        <v>4</v>
      </c>
      <c r="J13" t="s">
        <v>1895</v>
      </c>
      <c r="K13">
        <f t="shared" ca="1" si="1"/>
        <v>85</v>
      </c>
      <c r="L13" t="s">
        <v>2660</v>
      </c>
      <c r="M13" t="s">
        <v>2350</v>
      </c>
      <c r="N13" s="52" t="s">
        <v>1904</v>
      </c>
      <c r="O13" s="49" t="s">
        <v>2656</v>
      </c>
      <c r="P13">
        <f t="shared" ca="1" si="2"/>
        <v>27</v>
      </c>
    </row>
    <row r="14" spans="1:16" ht="16.5">
      <c r="A14" s="1">
        <v>90841</v>
      </c>
      <c r="B14" s="46">
        <v>90010</v>
      </c>
      <c r="C14" s="24">
        <v>845061</v>
      </c>
      <c r="D14" t="s">
        <v>151</v>
      </c>
      <c r="E14" t="str">
        <f t="shared" ca="1" si="3"/>
        <v>8T53HTHEALTHY WORKS: INNOVATIVE PUBLIC HEALTH
STRATEGIES TO PREVENT AND MANAGE DIABETES AND HEART DISEASE AND STROKE-23</v>
      </c>
      <c r="I14">
        <f t="shared" ca="1" si="0"/>
        <v>8</v>
      </c>
      <c r="J14" t="s">
        <v>2657</v>
      </c>
      <c r="K14">
        <f t="shared" ca="1" si="1"/>
        <v>53</v>
      </c>
      <c r="L14" t="s">
        <v>2660</v>
      </c>
      <c r="M14" t="s">
        <v>2657</v>
      </c>
      <c r="N14" s="54" t="s">
        <v>1905</v>
      </c>
      <c r="O14" s="49" t="s">
        <v>2656</v>
      </c>
      <c r="P14">
        <f t="shared" ca="1" si="2"/>
        <v>23</v>
      </c>
    </row>
    <row r="15" spans="1:16">
      <c r="A15" s="1">
        <v>90840</v>
      </c>
      <c r="B15" s="46">
        <v>90009</v>
      </c>
      <c r="C15" s="24">
        <v>845061</v>
      </c>
      <c r="D15" t="s">
        <v>151</v>
      </c>
      <c r="E15" t="str">
        <f t="shared" ca="1" si="3"/>
        <v>6L96ARPREVENTION AND SELF-MANAGEMENT OF HEART DISEASE, STROKE AND DIABETES-74</v>
      </c>
      <c r="I15">
        <f t="shared" ca="1" si="0"/>
        <v>6</v>
      </c>
      <c r="J15" t="s">
        <v>322</v>
      </c>
      <c r="K15">
        <f t="shared" ca="1" si="1"/>
        <v>96</v>
      </c>
      <c r="L15" t="s">
        <v>425</v>
      </c>
      <c r="M15" t="s">
        <v>1920</v>
      </c>
      <c r="N15" s="52" t="s">
        <v>1864</v>
      </c>
      <c r="O15" s="49" t="s">
        <v>2656</v>
      </c>
      <c r="P15">
        <f t="shared" ca="1" si="2"/>
        <v>74</v>
      </c>
    </row>
    <row r="16" spans="1:16">
      <c r="A16" s="1">
        <v>90839</v>
      </c>
      <c r="B16" s="46">
        <v>90012</v>
      </c>
      <c r="C16" s="24">
        <v>845061</v>
      </c>
      <c r="D16" t="s">
        <v>151</v>
      </c>
      <c r="E16" t="str">
        <f t="shared" ca="1" si="3"/>
        <v>8M90IS-94</v>
      </c>
      <c r="I16">
        <f t="shared" ca="1" si="0"/>
        <v>8</v>
      </c>
      <c r="J16" t="s">
        <v>1895</v>
      </c>
      <c r="K16">
        <f t="shared" ca="1" si="1"/>
        <v>90</v>
      </c>
      <c r="L16" t="s">
        <v>304</v>
      </c>
      <c r="M16" t="s">
        <v>2350</v>
      </c>
      <c r="N16" s="60"/>
      <c r="O16" s="49" t="s">
        <v>2656</v>
      </c>
      <c r="P16">
        <f t="shared" ca="1" si="2"/>
        <v>94</v>
      </c>
    </row>
    <row r="17" spans="1:16">
      <c r="A17" s="1">
        <v>90842</v>
      </c>
      <c r="B17" s="46">
        <v>90013</v>
      </c>
      <c r="C17" s="24">
        <v>845061</v>
      </c>
      <c r="D17" t="s">
        <v>151</v>
      </c>
      <c r="E17" t="str">
        <f t="shared" ca="1" si="3"/>
        <v>8T36ITADVANCING CALIFORNIA S OPPORTUNITIES TO RENEW NATIVE HEALTH SYSTEMS (ACORNS)-42</v>
      </c>
      <c r="I17">
        <f t="shared" ca="1" si="0"/>
        <v>8</v>
      </c>
      <c r="J17" t="s">
        <v>2657</v>
      </c>
      <c r="K17">
        <f t="shared" ca="1" si="1"/>
        <v>36</v>
      </c>
      <c r="L17" t="s">
        <v>304</v>
      </c>
      <c r="M17" t="s">
        <v>2657</v>
      </c>
      <c r="N17" s="61" t="s">
        <v>1865</v>
      </c>
      <c r="O17" s="49" t="s">
        <v>2656</v>
      </c>
      <c r="P17">
        <f t="shared" ca="1" si="2"/>
        <v>42</v>
      </c>
    </row>
    <row r="18" spans="1:16">
      <c r="A18" s="1">
        <v>90745</v>
      </c>
      <c r="B18" s="46">
        <v>90011</v>
      </c>
      <c r="C18" s="24">
        <v>845061</v>
      </c>
      <c r="D18" t="s">
        <v>151</v>
      </c>
      <c r="E18" t="str">
        <f t="shared" ca="1" si="3"/>
        <v>3L62CRCATEGORY B: PUBLIC HEALTH LAWYERS AND THEIR CLIENTS-42</v>
      </c>
      <c r="I18">
        <f t="shared" ca="1" si="0"/>
        <v>3</v>
      </c>
      <c r="J18" t="s">
        <v>322</v>
      </c>
      <c r="K18">
        <f t="shared" ca="1" si="1"/>
        <v>62</v>
      </c>
      <c r="L18" t="s">
        <v>689</v>
      </c>
      <c r="M18" t="s">
        <v>1920</v>
      </c>
      <c r="N18" s="53" t="s">
        <v>1846</v>
      </c>
      <c r="O18" s="49" t="s">
        <v>2656</v>
      </c>
      <c r="P18">
        <f t="shared" ca="1" si="2"/>
        <v>42</v>
      </c>
    </row>
    <row r="19" spans="1:16">
      <c r="A19" s="1">
        <v>90744</v>
      </c>
      <c r="B19" s="46">
        <v>80961</v>
      </c>
      <c r="C19" s="24">
        <v>842126</v>
      </c>
      <c r="D19" t="s">
        <v>166</v>
      </c>
      <c r="E19" t="str">
        <f t="shared" ca="1" si="3"/>
        <v>6M59CSPINOLEVILLE POMO NATION GHWIC PROJECT-52</v>
      </c>
      <c r="I19">
        <f t="shared" ca="1" si="0"/>
        <v>6</v>
      </c>
      <c r="J19" t="s">
        <v>1895</v>
      </c>
      <c r="K19">
        <f t="shared" ca="1" si="1"/>
        <v>59</v>
      </c>
      <c r="L19" t="s">
        <v>689</v>
      </c>
      <c r="M19" t="s">
        <v>2350</v>
      </c>
      <c r="N19" s="56" t="s">
        <v>1900</v>
      </c>
      <c r="O19" s="49" t="s">
        <v>2656</v>
      </c>
      <c r="P19">
        <f t="shared" ca="1" si="2"/>
        <v>52</v>
      </c>
    </row>
    <row r="20" spans="1:16">
      <c r="A20" s="1">
        <v>87393</v>
      </c>
      <c r="B20" s="46">
        <v>80959</v>
      </c>
      <c r="C20" s="24">
        <v>842126</v>
      </c>
      <c r="D20" t="s">
        <v>166</v>
      </c>
      <c r="E20" t="str">
        <f t="shared" ca="1" si="3"/>
        <v>8T62CTPACIFIC ISLANDER - DIABETES PREVENTION PROGRAM (PI-DPP)-24</v>
      </c>
      <c r="I20">
        <f t="shared" ca="1" si="0"/>
        <v>8</v>
      </c>
      <c r="J20" t="s">
        <v>2657</v>
      </c>
      <c r="K20">
        <f t="shared" ca="1" si="1"/>
        <v>62</v>
      </c>
      <c r="L20" t="s">
        <v>689</v>
      </c>
      <c r="M20" t="s">
        <v>2657</v>
      </c>
      <c r="N20" s="53" t="s">
        <v>1906</v>
      </c>
      <c r="O20" s="49" t="s">
        <v>2656</v>
      </c>
      <c r="P20">
        <f t="shared" ca="1" si="2"/>
        <v>24</v>
      </c>
    </row>
    <row r="21" spans="1:16">
      <c r="A21" s="1">
        <v>87395</v>
      </c>
      <c r="B21" s="46">
        <v>80960</v>
      </c>
      <c r="C21" s="24">
        <v>842126</v>
      </c>
      <c r="D21" t="s">
        <v>166</v>
      </c>
      <c r="E21" t="str">
        <f t="shared" ca="1" si="3"/>
        <v>3L68EREPIDEMIOLOGY OF LUPUS:  LONGITUDINAL STUDIES IN POPULATION-BASED COHORTS - 2019-27</v>
      </c>
      <c r="I21">
        <f t="shared" ca="1" si="0"/>
        <v>3</v>
      </c>
      <c r="J21" t="s">
        <v>322</v>
      </c>
      <c r="K21">
        <f t="shared" ca="1" si="1"/>
        <v>68</v>
      </c>
      <c r="L21" t="s">
        <v>804</v>
      </c>
      <c r="M21" t="s">
        <v>1920</v>
      </c>
      <c r="N21" s="52" t="s">
        <v>1907</v>
      </c>
      <c r="O21" s="49" t="s">
        <v>2656</v>
      </c>
      <c r="P21">
        <f t="shared" ca="1" si="2"/>
        <v>27</v>
      </c>
    </row>
    <row r="22" spans="1:16">
      <c r="A22" s="1">
        <v>87391</v>
      </c>
      <c r="B22" s="46">
        <v>80962</v>
      </c>
      <c r="C22" s="24">
        <v>842126</v>
      </c>
      <c r="D22" t="s">
        <v>166</v>
      </c>
      <c r="E22" t="str">
        <f t="shared" ca="1" si="3"/>
        <v>5S61ASCALIFORNIA STATE PHYSICAL ACTIVITY &amp; NUTRITION (CALSPAN) PROGRAM-24</v>
      </c>
      <c r="I22">
        <f t="shared" ca="1" si="0"/>
        <v>5</v>
      </c>
      <c r="J22" t="s">
        <v>2350</v>
      </c>
      <c r="K22">
        <f t="shared" ca="1" si="1"/>
        <v>61</v>
      </c>
      <c r="L22" t="s">
        <v>425</v>
      </c>
      <c r="M22" t="s">
        <v>2350</v>
      </c>
      <c r="N22" s="64" t="s">
        <v>1908</v>
      </c>
      <c r="O22" s="49" t="s">
        <v>2656</v>
      </c>
      <c r="P22">
        <f t="shared" ca="1" si="2"/>
        <v>24</v>
      </c>
    </row>
    <row r="23" spans="1:16" ht="24.75">
      <c r="A23" s="1">
        <v>87392</v>
      </c>
      <c r="B23" s="46">
        <v>85828</v>
      </c>
      <c r="C23" s="24">
        <v>844423</v>
      </c>
      <c r="D23" t="s">
        <v>181</v>
      </c>
      <c r="E23" t="str">
        <f t="shared" ca="1" si="3"/>
        <v>4H41ATLAUSD IS APPLYING FOR COMPONENT 1: SCHOOL- BASED SURVEILLANCE, AND COMPONENT 1: SCHOOL-BASED HIV/STD PREVENTION IN ORDER TO REDUCE HIV AND STD INFECTIONS AMONG
ADOLESCENTS AS WELL AS TEEN PREGNANCY.-23</v>
      </c>
      <c r="I23">
        <f t="shared" ca="1" si="0"/>
        <v>4</v>
      </c>
      <c r="J23" t="s">
        <v>2660</v>
      </c>
      <c r="K23">
        <f t="shared" ca="1" si="1"/>
        <v>41</v>
      </c>
      <c r="L23" t="s">
        <v>425</v>
      </c>
      <c r="M23" t="s">
        <v>2657</v>
      </c>
      <c r="N23" s="54" t="s">
        <v>1909</v>
      </c>
      <c r="O23" s="49" t="s">
        <v>2656</v>
      </c>
      <c r="P23">
        <f t="shared" ca="1" si="2"/>
        <v>23</v>
      </c>
    </row>
    <row r="24" spans="1:16">
      <c r="A24" s="1">
        <v>87394</v>
      </c>
      <c r="B24" s="46">
        <v>85827</v>
      </c>
      <c r="C24" s="24">
        <v>844423</v>
      </c>
      <c r="D24" t="s">
        <v>181</v>
      </c>
      <c r="E24" t="str">
        <f t="shared" ca="1" si="3"/>
        <v>8L63ERUCSF PREVENTION RESEARCH CENTER-84</v>
      </c>
      <c r="I24">
        <f t="shared" ca="1" si="0"/>
        <v>8</v>
      </c>
      <c r="J24" t="s">
        <v>322</v>
      </c>
      <c r="K24">
        <f t="shared" ca="1" si="1"/>
        <v>63</v>
      </c>
      <c r="L24" t="s">
        <v>804</v>
      </c>
      <c r="M24" t="s">
        <v>1920</v>
      </c>
      <c r="N24" s="56" t="s">
        <v>1910</v>
      </c>
      <c r="O24" s="49" t="s">
        <v>2656</v>
      </c>
      <c r="P24">
        <f t="shared" ca="1" si="2"/>
        <v>84</v>
      </c>
    </row>
    <row r="25" spans="1:16">
      <c r="A25" s="1">
        <v>87137</v>
      </c>
      <c r="B25" s="46">
        <v>89595</v>
      </c>
      <c r="C25" s="24">
        <v>845564</v>
      </c>
      <c r="D25" t="s">
        <v>201</v>
      </c>
      <c r="E25" t="str">
        <f t="shared" ca="1" si="3"/>
        <v>8S72HSADVANCING CALIFORNIA S OPPORTUNITIES TO RENEW NATIVE HEALTH SYSTEMS (ACORNS)-54</v>
      </c>
      <c r="I25">
        <f t="shared" ca="1" si="0"/>
        <v>8</v>
      </c>
      <c r="J25" t="s">
        <v>2350</v>
      </c>
      <c r="K25">
        <f t="shared" ca="1" si="1"/>
        <v>72</v>
      </c>
      <c r="L25" t="s">
        <v>2660</v>
      </c>
      <c r="M25" t="s">
        <v>2350</v>
      </c>
      <c r="N25" s="52" t="s">
        <v>1865</v>
      </c>
      <c r="O25" s="49" t="s">
        <v>2656</v>
      </c>
      <c r="P25">
        <f t="shared" ca="1" si="2"/>
        <v>54</v>
      </c>
    </row>
    <row r="26" spans="1:16">
      <c r="A26" s="1">
        <v>87138</v>
      </c>
      <c r="B26" s="46">
        <v>89596</v>
      </c>
      <c r="C26" s="24">
        <v>845564</v>
      </c>
      <c r="D26" t="s">
        <v>201</v>
      </c>
      <c r="E26" t="str">
        <f t="shared" ca="1" si="3"/>
        <v>7H71BT-15</v>
      </c>
      <c r="I26">
        <f t="shared" ca="1" si="0"/>
        <v>7</v>
      </c>
      <c r="J26" t="s">
        <v>2660</v>
      </c>
      <c r="K26">
        <f t="shared" ca="1" si="1"/>
        <v>71</v>
      </c>
      <c r="L26" t="s">
        <v>954</v>
      </c>
      <c r="M26" t="s">
        <v>2657</v>
      </c>
      <c r="N26" s="60"/>
      <c r="O26" s="49" t="s">
        <v>2656</v>
      </c>
      <c r="P26">
        <f t="shared" ca="1" si="2"/>
        <v>15</v>
      </c>
    </row>
    <row r="27" spans="1:16">
      <c r="A27" s="1">
        <v>87139</v>
      </c>
      <c r="B27" s="46">
        <v>89597</v>
      </c>
      <c r="C27" s="24">
        <v>845564</v>
      </c>
      <c r="D27" t="s">
        <v>201</v>
      </c>
      <c r="E27" t="str">
        <f t="shared" ca="1" si="3"/>
        <v>3L74IRPINOLEVILLE POMO NATION GHWIC PROJECT-33</v>
      </c>
      <c r="I27">
        <f t="shared" ca="1" si="0"/>
        <v>3</v>
      </c>
      <c r="J27" t="s">
        <v>322</v>
      </c>
      <c r="K27">
        <f t="shared" ca="1" si="1"/>
        <v>74</v>
      </c>
      <c r="L27" t="s">
        <v>304</v>
      </c>
      <c r="M27" t="s">
        <v>1920</v>
      </c>
      <c r="N27" s="62" t="s">
        <v>1900</v>
      </c>
      <c r="O27" s="49" t="s">
        <v>2656</v>
      </c>
      <c r="P27">
        <f t="shared" ca="1" si="2"/>
        <v>33</v>
      </c>
    </row>
    <row r="28" spans="1:16">
      <c r="A28" s="1">
        <v>87135</v>
      </c>
      <c r="B28" s="46">
        <v>87445</v>
      </c>
      <c r="C28" s="24">
        <v>843807</v>
      </c>
      <c r="D28" t="s">
        <v>217</v>
      </c>
      <c r="E28" t="str">
        <f t="shared" ca="1" si="3"/>
        <v>4S91BSUCSF PREVENTION RESEARCH CENTER-58</v>
      </c>
      <c r="I28">
        <f t="shared" ca="1" si="0"/>
        <v>4</v>
      </c>
      <c r="J28" t="s">
        <v>2350</v>
      </c>
      <c r="K28">
        <f t="shared" ca="1" si="1"/>
        <v>91</v>
      </c>
      <c r="L28" t="s">
        <v>954</v>
      </c>
      <c r="M28" t="s">
        <v>2350</v>
      </c>
      <c r="N28" s="56" t="s">
        <v>1910</v>
      </c>
      <c r="O28" s="49" t="s">
        <v>2656</v>
      </c>
      <c r="P28">
        <f t="shared" ca="1" si="2"/>
        <v>58</v>
      </c>
    </row>
    <row r="29" spans="1:16">
      <c r="A29" s="1">
        <v>87136</v>
      </c>
      <c r="B29" s="46">
        <v>87444</v>
      </c>
      <c r="C29" s="24">
        <v>843807</v>
      </c>
      <c r="D29" t="s">
        <v>217</v>
      </c>
      <c r="E29" t="str">
        <f t="shared" ca="1" si="3"/>
        <v>2H82ITTRIBAL PRACTICES FOR WELLNESS IN INDIAN COUNTRY-55</v>
      </c>
      <c r="I29">
        <f t="shared" ca="1" si="0"/>
        <v>2</v>
      </c>
      <c r="J29" t="s">
        <v>2660</v>
      </c>
      <c r="K29">
        <f t="shared" ca="1" si="1"/>
        <v>82</v>
      </c>
      <c r="L29" t="s">
        <v>304</v>
      </c>
      <c r="M29" t="s">
        <v>2657</v>
      </c>
      <c r="N29" s="53" t="s">
        <v>1911</v>
      </c>
      <c r="O29" s="49" t="s">
        <v>2656</v>
      </c>
      <c r="P29">
        <f t="shared" ca="1" si="2"/>
        <v>55</v>
      </c>
    </row>
    <row r="30" spans="1:16">
      <c r="A30" s="1">
        <v>85965</v>
      </c>
      <c r="B30" s="46">
        <v>87446</v>
      </c>
      <c r="C30" s="24">
        <v>843807</v>
      </c>
      <c r="D30" t="s">
        <v>217</v>
      </c>
      <c r="E30" t="str">
        <f t="shared" ca="1" si="3"/>
        <v>5L96ERCAPACITY BUILDING FOR PUBLIC HEALTH PARTNERSHIPS-78</v>
      </c>
      <c r="I30">
        <f t="shared" ca="1" si="0"/>
        <v>5</v>
      </c>
      <c r="J30" t="s">
        <v>322</v>
      </c>
      <c r="K30">
        <f t="shared" ca="1" si="1"/>
        <v>96</v>
      </c>
      <c r="L30" t="s">
        <v>804</v>
      </c>
      <c r="M30" t="s">
        <v>1920</v>
      </c>
      <c r="N30" s="64" t="s">
        <v>1912</v>
      </c>
      <c r="O30" s="49" t="s">
        <v>2656</v>
      </c>
      <c r="P30">
        <f t="shared" ca="1" si="2"/>
        <v>78</v>
      </c>
    </row>
    <row r="31" spans="1:16">
      <c r="A31" s="1">
        <v>85967</v>
      </c>
      <c r="B31" s="46">
        <v>82842</v>
      </c>
      <c r="C31" s="24">
        <v>842968</v>
      </c>
      <c r="D31" t="s">
        <v>227</v>
      </c>
      <c r="E31" t="str">
        <f t="shared" ca="1" si="3"/>
        <v>6S80ASCALIFORNIA RACIAL AND ETHNIC APPROACHES TO COMMUNITY HEALTH (CALREACH)PROGRAM-71</v>
      </c>
      <c r="I31">
        <f t="shared" ca="1" si="0"/>
        <v>6</v>
      </c>
      <c r="J31" t="s">
        <v>2350</v>
      </c>
      <c r="K31">
        <f t="shared" ca="1" si="1"/>
        <v>80</v>
      </c>
      <c r="L31" t="s">
        <v>425</v>
      </c>
      <c r="M31" t="s">
        <v>2350</v>
      </c>
      <c r="N31" s="52" t="s">
        <v>1913</v>
      </c>
      <c r="O31" s="49" t="s">
        <v>2656</v>
      </c>
      <c r="P31">
        <f t="shared" ca="1" si="2"/>
        <v>71</v>
      </c>
    </row>
    <row r="32" spans="1:16">
      <c r="A32" s="1">
        <v>85966</v>
      </c>
      <c r="B32" s="46">
        <v>82843</v>
      </c>
      <c r="C32" s="24">
        <v>842968</v>
      </c>
      <c r="D32" t="s">
        <v>227</v>
      </c>
      <c r="E32" t="str">
        <f t="shared" ca="1" si="3"/>
        <v>6H33ET85966-49</v>
      </c>
      <c r="I32">
        <f t="shared" ca="1" si="0"/>
        <v>6</v>
      </c>
      <c r="J32" t="s">
        <v>2660</v>
      </c>
      <c r="K32">
        <f t="shared" ca="1" si="1"/>
        <v>33</v>
      </c>
      <c r="L32" t="s">
        <v>804</v>
      </c>
      <c r="M32" t="s">
        <v>2657</v>
      </c>
      <c r="N32" s="1">
        <v>85966</v>
      </c>
      <c r="O32" s="49" t="s">
        <v>2656</v>
      </c>
      <c r="P32">
        <f t="shared" ca="1" si="2"/>
        <v>49</v>
      </c>
    </row>
    <row r="33" spans="1:16">
      <c r="A33" s="1">
        <v>85968</v>
      </c>
      <c r="B33" s="46">
        <v>86994</v>
      </c>
      <c r="C33" s="24">
        <v>844871</v>
      </c>
      <c r="D33" t="s">
        <v>242</v>
      </c>
      <c r="E33" t="str">
        <f t="shared" ca="1" si="3"/>
        <v>8R30IR85968-26</v>
      </c>
      <c r="I33">
        <f t="shared" ca="1" si="0"/>
        <v>8</v>
      </c>
      <c r="J33" t="s">
        <v>1920</v>
      </c>
      <c r="K33">
        <f t="shared" ca="1" si="1"/>
        <v>30</v>
      </c>
      <c r="L33" t="s">
        <v>304</v>
      </c>
      <c r="M33" t="s">
        <v>1920</v>
      </c>
      <c r="N33" s="1">
        <v>85968</v>
      </c>
      <c r="O33" s="49" t="s">
        <v>2656</v>
      </c>
      <c r="P33">
        <f t="shared" ca="1" si="2"/>
        <v>26</v>
      </c>
    </row>
    <row r="34" spans="1:16">
      <c r="A34" s="1">
        <v>84189</v>
      </c>
      <c r="B34" s="46">
        <v>86995</v>
      </c>
      <c r="C34" s="24">
        <v>844871</v>
      </c>
      <c r="D34" t="s">
        <v>242</v>
      </c>
      <c r="E34" t="str">
        <f t="shared" ca="1" si="3"/>
        <v>2S92AS84189-79</v>
      </c>
      <c r="I34">
        <f t="shared" ca="1" si="0"/>
        <v>2</v>
      </c>
      <c r="J34" t="s">
        <v>2350</v>
      </c>
      <c r="K34">
        <f t="shared" ca="1" si="1"/>
        <v>92</v>
      </c>
      <c r="L34" t="s">
        <v>425</v>
      </c>
      <c r="M34" t="s">
        <v>2350</v>
      </c>
      <c r="N34" s="1">
        <v>84189</v>
      </c>
      <c r="O34" s="49" t="s">
        <v>2656</v>
      </c>
      <c r="P34">
        <f t="shared" ca="1" si="2"/>
        <v>79</v>
      </c>
    </row>
    <row r="35" spans="1:16">
      <c r="A35" s="1">
        <v>84188</v>
      </c>
      <c r="B35" s="46">
        <v>86996</v>
      </c>
      <c r="C35" s="24">
        <v>844871</v>
      </c>
      <c r="D35" t="s">
        <v>242</v>
      </c>
      <c r="E35" t="str">
        <f t="shared" ca="1" si="3"/>
        <v>2H56DT84188-17</v>
      </c>
      <c r="I35">
        <f t="shared" ca="1" si="0"/>
        <v>2</v>
      </c>
      <c r="J35" t="s">
        <v>2660</v>
      </c>
      <c r="K35">
        <f t="shared" ca="1" si="1"/>
        <v>56</v>
      </c>
      <c r="L35" t="s">
        <v>2658</v>
      </c>
      <c r="M35" t="s">
        <v>2657</v>
      </c>
      <c r="N35" s="1">
        <v>84188</v>
      </c>
      <c r="O35" s="49" t="s">
        <v>2656</v>
      </c>
      <c r="P35">
        <f t="shared" ca="1" si="2"/>
        <v>17</v>
      </c>
    </row>
    <row r="36" spans="1:16">
      <c r="A36" s="1">
        <v>84190</v>
      </c>
      <c r="B36" s="46">
        <v>89179</v>
      </c>
      <c r="C36" s="24">
        <v>842877</v>
      </c>
      <c r="D36" t="s">
        <v>253</v>
      </c>
      <c r="E36" t="str">
        <f t="shared" ca="1" si="3"/>
        <v>7R57DR84190-52</v>
      </c>
      <c r="I36">
        <f t="shared" ca="1" si="0"/>
        <v>7</v>
      </c>
      <c r="J36" t="s">
        <v>1920</v>
      </c>
      <c r="K36">
        <f t="shared" ca="1" si="1"/>
        <v>57</v>
      </c>
      <c r="L36" t="s">
        <v>2658</v>
      </c>
      <c r="M36" t="s">
        <v>1920</v>
      </c>
      <c r="N36" s="1">
        <v>84190</v>
      </c>
      <c r="O36" s="49" t="s">
        <v>2656</v>
      </c>
      <c r="P36">
        <f t="shared" ca="1" si="2"/>
        <v>52</v>
      </c>
    </row>
    <row r="37" spans="1:16">
      <c r="A37" s="1">
        <v>89995</v>
      </c>
      <c r="B37" s="46">
        <v>89178</v>
      </c>
      <c r="C37" s="24">
        <v>842877</v>
      </c>
      <c r="D37" t="s">
        <v>253</v>
      </c>
      <c r="E37" t="str">
        <f t="shared" ca="1" si="3"/>
        <v>3S58ES89995-46</v>
      </c>
      <c r="I37">
        <f t="shared" ca="1" si="0"/>
        <v>3</v>
      </c>
      <c r="J37" t="s">
        <v>2350</v>
      </c>
      <c r="K37">
        <f t="shared" ca="1" si="1"/>
        <v>58</v>
      </c>
      <c r="L37" t="s">
        <v>804</v>
      </c>
      <c r="M37" t="s">
        <v>2350</v>
      </c>
      <c r="N37" s="1">
        <v>89995</v>
      </c>
      <c r="O37" s="49" t="s">
        <v>2656</v>
      </c>
      <c r="P37">
        <f t="shared" ca="1" si="2"/>
        <v>46</v>
      </c>
    </row>
    <row r="38" spans="1:16">
      <c r="A38" s="1">
        <v>89998</v>
      </c>
      <c r="B38" s="46">
        <v>90940</v>
      </c>
      <c r="C38" s="24">
        <v>845973</v>
      </c>
      <c r="D38" t="s">
        <v>263</v>
      </c>
      <c r="E38" t="str">
        <f t="shared" ca="1" si="3"/>
        <v>6H40CT89998-14</v>
      </c>
      <c r="I38">
        <f t="shared" ca="1" si="0"/>
        <v>6</v>
      </c>
      <c r="J38" t="s">
        <v>2660</v>
      </c>
      <c r="K38">
        <f t="shared" ca="1" si="1"/>
        <v>40</v>
      </c>
      <c r="L38" t="s">
        <v>689</v>
      </c>
      <c r="M38" t="s">
        <v>2657</v>
      </c>
      <c r="N38" s="1">
        <v>89998</v>
      </c>
      <c r="O38" s="49" t="s">
        <v>2656</v>
      </c>
      <c r="P38">
        <f t="shared" ca="1" si="2"/>
        <v>14</v>
      </c>
    </row>
    <row r="39" spans="1:16">
      <c r="A39" s="1">
        <v>89997</v>
      </c>
      <c r="B39" s="46">
        <v>90941</v>
      </c>
      <c r="C39" s="24">
        <v>845973</v>
      </c>
      <c r="D39" t="s">
        <v>263</v>
      </c>
      <c r="E39" t="str">
        <f t="shared" ca="1" si="3"/>
        <v>4R45DR89997-36</v>
      </c>
      <c r="I39">
        <f t="shared" ca="1" si="0"/>
        <v>4</v>
      </c>
      <c r="J39" t="s">
        <v>1920</v>
      </c>
      <c r="K39">
        <f t="shared" ca="1" si="1"/>
        <v>45</v>
      </c>
      <c r="L39" t="s">
        <v>2658</v>
      </c>
      <c r="M39" t="s">
        <v>1920</v>
      </c>
      <c r="N39" s="1">
        <v>89997</v>
      </c>
      <c r="O39" s="49" t="s">
        <v>2656</v>
      </c>
      <c r="P39">
        <f t="shared" ca="1" si="2"/>
        <v>36</v>
      </c>
    </row>
    <row r="40" spans="1:16">
      <c r="A40" s="1">
        <v>89996</v>
      </c>
      <c r="B40" s="46">
        <v>84835</v>
      </c>
      <c r="C40" s="24">
        <v>841445</v>
      </c>
      <c r="D40" t="s">
        <v>277</v>
      </c>
      <c r="E40" t="str">
        <f t="shared" ca="1" si="3"/>
        <v>5S41DS89996-86</v>
      </c>
      <c r="I40">
        <f t="shared" ca="1" si="0"/>
        <v>5</v>
      </c>
      <c r="J40" t="s">
        <v>2350</v>
      </c>
      <c r="K40">
        <f t="shared" ca="1" si="1"/>
        <v>41</v>
      </c>
      <c r="L40" t="s">
        <v>2658</v>
      </c>
      <c r="M40" t="s">
        <v>2350</v>
      </c>
      <c r="N40" s="1">
        <v>89996</v>
      </c>
      <c r="O40" s="49" t="s">
        <v>2656</v>
      </c>
      <c r="P40">
        <f t="shared" ca="1" si="2"/>
        <v>86</v>
      </c>
    </row>
    <row r="41" spans="1:16">
      <c r="A41" s="1">
        <v>84195</v>
      </c>
      <c r="B41" s="46">
        <v>84836</v>
      </c>
      <c r="C41" s="24">
        <v>841445</v>
      </c>
      <c r="D41" t="s">
        <v>277</v>
      </c>
      <c r="E41" t="str">
        <f t="shared" ca="1" si="3"/>
        <v>8H43IT84195-93</v>
      </c>
      <c r="I41">
        <f t="shared" ca="1" si="0"/>
        <v>8</v>
      </c>
      <c r="J41" t="s">
        <v>2660</v>
      </c>
      <c r="K41">
        <f t="shared" ca="1" si="1"/>
        <v>43</v>
      </c>
      <c r="L41" t="s">
        <v>304</v>
      </c>
      <c r="M41" t="s">
        <v>2657</v>
      </c>
      <c r="N41" s="1">
        <v>84195</v>
      </c>
      <c r="O41" s="49" t="s">
        <v>2656</v>
      </c>
      <c r="P41">
        <f t="shared" ca="1" si="2"/>
        <v>93</v>
      </c>
    </row>
    <row r="42" spans="1:16">
      <c r="A42" s="1">
        <v>84196</v>
      </c>
      <c r="B42" s="46">
        <v>84837</v>
      </c>
      <c r="C42" s="24">
        <v>841445</v>
      </c>
      <c r="D42" t="s">
        <v>277</v>
      </c>
      <c r="E42" t="str">
        <f t="shared" ca="1" si="3"/>
        <v>8R38AR84196-91</v>
      </c>
      <c r="I42">
        <f t="shared" ca="1" si="0"/>
        <v>8</v>
      </c>
      <c r="J42" t="s">
        <v>1920</v>
      </c>
      <c r="K42">
        <f t="shared" ca="1" si="1"/>
        <v>38</v>
      </c>
      <c r="L42" t="s">
        <v>425</v>
      </c>
      <c r="M42" t="s">
        <v>1920</v>
      </c>
      <c r="N42" s="1">
        <v>84196</v>
      </c>
      <c r="O42" s="49" t="s">
        <v>2656</v>
      </c>
      <c r="P42">
        <f t="shared" ca="1" si="2"/>
        <v>91</v>
      </c>
    </row>
    <row r="43" spans="1:16">
      <c r="A43" s="1">
        <v>84197</v>
      </c>
      <c r="B43" s="46">
        <v>84808</v>
      </c>
      <c r="C43" s="24">
        <v>841452</v>
      </c>
      <c r="D43" t="s">
        <v>287</v>
      </c>
      <c r="E43" t="str">
        <f t="shared" ca="1" si="3"/>
        <v>1S48DS84197-59</v>
      </c>
      <c r="I43">
        <f t="shared" ca="1" si="0"/>
        <v>1</v>
      </c>
      <c r="J43" t="s">
        <v>2350</v>
      </c>
      <c r="K43">
        <f t="shared" ca="1" si="1"/>
        <v>48</v>
      </c>
      <c r="L43" t="s">
        <v>2658</v>
      </c>
      <c r="M43" t="s">
        <v>2350</v>
      </c>
      <c r="N43" s="1">
        <v>84197</v>
      </c>
      <c r="O43" s="49" t="s">
        <v>2656</v>
      </c>
      <c r="P43">
        <f t="shared" ca="1" si="2"/>
        <v>59</v>
      </c>
    </row>
    <row r="44" spans="1:16">
      <c r="A44" s="1">
        <v>84194</v>
      </c>
      <c r="B44" s="46">
        <v>84810</v>
      </c>
      <c r="C44" s="24">
        <v>841452</v>
      </c>
      <c r="D44" t="s">
        <v>287</v>
      </c>
      <c r="E44" t="str">
        <f t="shared" ca="1" si="3"/>
        <v>1H68FT84194-45</v>
      </c>
      <c r="I44">
        <f t="shared" ca="1" si="0"/>
        <v>1</v>
      </c>
      <c r="J44" t="s">
        <v>2660</v>
      </c>
      <c r="K44">
        <f t="shared" ca="1" si="1"/>
        <v>68</v>
      </c>
      <c r="L44" t="s">
        <v>2661</v>
      </c>
      <c r="M44" t="s">
        <v>2657</v>
      </c>
      <c r="N44" s="1">
        <v>84194</v>
      </c>
      <c r="O44" s="49" t="s">
        <v>2656</v>
      </c>
      <c r="P44">
        <f t="shared" ca="1" si="2"/>
        <v>45</v>
      </c>
    </row>
    <row r="45" spans="1:16">
      <c r="A45" s="1">
        <v>89673</v>
      </c>
      <c r="B45" s="46">
        <v>84809</v>
      </c>
      <c r="C45" s="24">
        <v>841452</v>
      </c>
      <c r="D45" t="s">
        <v>287</v>
      </c>
      <c r="E45" t="str">
        <f t="shared" ca="1" si="3"/>
        <v>2R88DR89673-92</v>
      </c>
      <c r="I45">
        <f t="shared" ca="1" si="0"/>
        <v>2</v>
      </c>
      <c r="J45" t="s">
        <v>1920</v>
      </c>
      <c r="K45">
        <f t="shared" ca="1" si="1"/>
        <v>88</v>
      </c>
      <c r="L45" t="s">
        <v>2658</v>
      </c>
      <c r="M45" t="s">
        <v>1920</v>
      </c>
      <c r="N45" s="1">
        <v>89673</v>
      </c>
      <c r="O45" s="49" t="s">
        <v>2656</v>
      </c>
      <c r="P45">
        <f t="shared" ca="1" si="2"/>
        <v>92</v>
      </c>
    </row>
    <row r="46" spans="1:16">
      <c r="A46" s="1">
        <v>89674</v>
      </c>
      <c r="B46" s="46">
        <v>76985</v>
      </c>
      <c r="C46" s="24">
        <v>839373</v>
      </c>
      <c r="D46" t="s">
        <v>302</v>
      </c>
      <c r="E46" t="str">
        <f t="shared" ca="1" si="3"/>
        <v>3S31GS89674-60</v>
      </c>
      <c r="I46">
        <f t="shared" ca="1" si="0"/>
        <v>3</v>
      </c>
      <c r="J46" t="s">
        <v>2350</v>
      </c>
      <c r="K46">
        <f t="shared" ca="1" si="1"/>
        <v>31</v>
      </c>
      <c r="L46" t="s">
        <v>2659</v>
      </c>
      <c r="M46" t="s">
        <v>2350</v>
      </c>
      <c r="N46" s="1">
        <v>89674</v>
      </c>
      <c r="O46" s="49" t="s">
        <v>2656</v>
      </c>
      <c r="P46">
        <f t="shared" ca="1" si="2"/>
        <v>60</v>
      </c>
    </row>
    <row r="47" spans="1:16">
      <c r="A47" s="1">
        <v>89675</v>
      </c>
      <c r="B47" s="46">
        <v>76984</v>
      </c>
      <c r="C47" s="24">
        <v>839373</v>
      </c>
      <c r="D47" t="s">
        <v>302</v>
      </c>
      <c r="E47" t="str">
        <f t="shared" ca="1" si="3"/>
        <v>1H33HT89675-32</v>
      </c>
      <c r="I47">
        <f t="shared" ca="1" si="0"/>
        <v>1</v>
      </c>
      <c r="J47" t="s">
        <v>2660</v>
      </c>
      <c r="K47">
        <f t="shared" ca="1" si="1"/>
        <v>33</v>
      </c>
      <c r="L47" t="s">
        <v>2660</v>
      </c>
      <c r="M47" t="s">
        <v>2657</v>
      </c>
      <c r="N47" s="1">
        <v>89675</v>
      </c>
      <c r="O47" s="49" t="s">
        <v>2656</v>
      </c>
      <c r="P47">
        <f t="shared" ca="1" si="2"/>
        <v>32</v>
      </c>
    </row>
    <row r="48" spans="1:16">
      <c r="A48" s="1">
        <v>86504</v>
      </c>
      <c r="B48" s="46">
        <v>76986</v>
      </c>
      <c r="C48" s="24">
        <v>839373</v>
      </c>
      <c r="D48" t="s">
        <v>302</v>
      </c>
      <c r="E48" t="str">
        <f t="shared" ca="1" si="3"/>
        <v>3R99DR86504-70</v>
      </c>
      <c r="I48">
        <f t="shared" ca="1" si="0"/>
        <v>3</v>
      </c>
      <c r="J48" t="s">
        <v>1920</v>
      </c>
      <c r="K48">
        <f t="shared" ca="1" si="1"/>
        <v>99</v>
      </c>
      <c r="L48" t="s">
        <v>2658</v>
      </c>
      <c r="M48" t="s">
        <v>1920</v>
      </c>
      <c r="N48" s="1">
        <v>86504</v>
      </c>
      <c r="O48" s="49" t="s">
        <v>2656</v>
      </c>
      <c r="P48">
        <f t="shared" ca="1" si="2"/>
        <v>70</v>
      </c>
    </row>
    <row r="49" spans="1:16">
      <c r="A49" s="1">
        <v>86501</v>
      </c>
      <c r="B49" s="46">
        <v>87296</v>
      </c>
      <c r="C49" s="24">
        <v>844568</v>
      </c>
      <c r="D49" t="s">
        <v>312</v>
      </c>
      <c r="E49" t="str">
        <f t="shared" ca="1" si="3"/>
        <v>1S17CS86501-11</v>
      </c>
      <c r="I49">
        <f t="shared" ca="1" si="0"/>
        <v>1</v>
      </c>
      <c r="J49" t="s">
        <v>2350</v>
      </c>
      <c r="K49">
        <f t="shared" ca="1" si="1"/>
        <v>17</v>
      </c>
      <c r="L49" t="s">
        <v>689</v>
      </c>
      <c r="M49" t="s">
        <v>2350</v>
      </c>
      <c r="N49" s="1">
        <v>86501</v>
      </c>
      <c r="O49" s="49" t="s">
        <v>2656</v>
      </c>
      <c r="P49">
        <f t="shared" ca="1" si="2"/>
        <v>11</v>
      </c>
    </row>
    <row r="50" spans="1:16">
      <c r="A50" s="1">
        <v>86502</v>
      </c>
      <c r="B50" s="46">
        <v>87297</v>
      </c>
      <c r="C50" s="24">
        <v>844568</v>
      </c>
      <c r="D50" t="s">
        <v>312</v>
      </c>
      <c r="E50" t="str">
        <f t="shared" ca="1" si="3"/>
        <v>6H43FT86502-31</v>
      </c>
      <c r="I50">
        <f t="shared" ca="1" si="0"/>
        <v>6</v>
      </c>
      <c r="J50" t="s">
        <v>2660</v>
      </c>
      <c r="K50">
        <f t="shared" ca="1" si="1"/>
        <v>43</v>
      </c>
      <c r="L50" t="s">
        <v>2661</v>
      </c>
      <c r="M50" t="s">
        <v>2657</v>
      </c>
      <c r="N50" s="1">
        <v>86502</v>
      </c>
      <c r="O50" s="49" t="s">
        <v>2656</v>
      </c>
      <c r="P50">
        <f t="shared" ca="1" si="2"/>
        <v>31</v>
      </c>
    </row>
    <row r="51" spans="1:16">
      <c r="A51" s="1">
        <v>86503</v>
      </c>
      <c r="B51" s="46">
        <v>87295</v>
      </c>
      <c r="C51" s="24">
        <v>844568</v>
      </c>
      <c r="D51" t="s">
        <v>312</v>
      </c>
      <c r="E51" t="str">
        <f t="shared" ca="1" si="3"/>
        <v>5R41DR86503-71</v>
      </c>
      <c r="I51">
        <f t="shared" ca="1" si="0"/>
        <v>5</v>
      </c>
      <c r="J51" t="s">
        <v>1920</v>
      </c>
      <c r="K51">
        <f t="shared" ca="1" si="1"/>
        <v>41</v>
      </c>
      <c r="L51" t="s">
        <v>2658</v>
      </c>
      <c r="M51" t="s">
        <v>1920</v>
      </c>
      <c r="N51" s="1">
        <v>86503</v>
      </c>
      <c r="O51" s="49" t="s">
        <v>2656</v>
      </c>
      <c r="P51">
        <f t="shared" ca="1" si="2"/>
        <v>71</v>
      </c>
    </row>
    <row r="52" spans="1:16">
      <c r="A52" s="1">
        <v>76659</v>
      </c>
      <c r="B52" s="46">
        <v>87298</v>
      </c>
      <c r="C52" s="24">
        <v>844568</v>
      </c>
      <c r="D52" t="s">
        <v>312</v>
      </c>
      <c r="E52" t="str">
        <f t="shared" ca="1" si="3"/>
        <v>2S55BS76659-50</v>
      </c>
      <c r="I52">
        <f t="shared" ca="1" si="0"/>
        <v>2</v>
      </c>
      <c r="J52" t="s">
        <v>2350</v>
      </c>
      <c r="K52">
        <f t="shared" ca="1" si="1"/>
        <v>55</v>
      </c>
      <c r="L52" t="s">
        <v>954</v>
      </c>
      <c r="M52" t="s">
        <v>2350</v>
      </c>
      <c r="N52" s="1">
        <v>76659</v>
      </c>
      <c r="O52" s="49" t="s">
        <v>2656</v>
      </c>
      <c r="P52">
        <f t="shared" ca="1" si="2"/>
        <v>50</v>
      </c>
    </row>
    <row r="53" spans="1:16">
      <c r="A53" s="1">
        <v>76658</v>
      </c>
      <c r="B53" s="46">
        <v>90843</v>
      </c>
      <c r="C53" s="24">
        <v>844634</v>
      </c>
      <c r="D53" t="s">
        <v>320</v>
      </c>
      <c r="E53" t="str">
        <f t="shared" ca="1" si="3"/>
        <v>3H30IT76658-30</v>
      </c>
      <c r="I53">
        <f t="shared" ca="1" si="0"/>
        <v>3</v>
      </c>
      <c r="J53" t="s">
        <v>2660</v>
      </c>
      <c r="K53">
        <f t="shared" ca="1" si="1"/>
        <v>30</v>
      </c>
      <c r="L53" t="s">
        <v>304</v>
      </c>
      <c r="M53" t="s">
        <v>2657</v>
      </c>
      <c r="N53" s="1">
        <v>76658</v>
      </c>
      <c r="O53" s="49" t="s">
        <v>2656</v>
      </c>
      <c r="P53">
        <f t="shared" ca="1" si="2"/>
        <v>30</v>
      </c>
    </row>
    <row r="54" spans="1:16">
      <c r="A54" s="1">
        <v>76660</v>
      </c>
      <c r="B54" s="46">
        <v>90841</v>
      </c>
      <c r="C54" s="24">
        <v>844634</v>
      </c>
      <c r="D54" t="s">
        <v>320</v>
      </c>
      <c r="E54" t="str">
        <f t="shared" ca="1" si="3"/>
        <v>2R69CR76660-42</v>
      </c>
      <c r="I54">
        <f t="shared" ca="1" si="0"/>
        <v>2</v>
      </c>
      <c r="J54" t="s">
        <v>1920</v>
      </c>
      <c r="K54">
        <f t="shared" ca="1" si="1"/>
        <v>69</v>
      </c>
      <c r="L54" t="s">
        <v>689</v>
      </c>
      <c r="M54" t="s">
        <v>1920</v>
      </c>
      <c r="N54" s="1">
        <v>76660</v>
      </c>
      <c r="O54" s="49" t="s">
        <v>2656</v>
      </c>
      <c r="P54">
        <f t="shared" ca="1" si="2"/>
        <v>42</v>
      </c>
    </row>
    <row r="55" spans="1:16">
      <c r="A55" s="1">
        <v>77762</v>
      </c>
      <c r="B55" s="46">
        <v>90840</v>
      </c>
      <c r="C55" s="24">
        <v>844634</v>
      </c>
      <c r="D55" t="s">
        <v>320</v>
      </c>
      <c r="E55" t="str">
        <f t="shared" ca="1" si="3"/>
        <v>5S37FS77762-69</v>
      </c>
      <c r="I55">
        <f t="shared" ca="1" si="0"/>
        <v>5</v>
      </c>
      <c r="J55" t="s">
        <v>2350</v>
      </c>
      <c r="K55">
        <f t="shared" ca="1" si="1"/>
        <v>37</v>
      </c>
      <c r="L55" t="s">
        <v>2661</v>
      </c>
      <c r="M55" t="s">
        <v>2350</v>
      </c>
      <c r="N55" s="1">
        <v>77762</v>
      </c>
      <c r="O55" s="49" t="s">
        <v>2656</v>
      </c>
      <c r="P55">
        <f t="shared" ca="1" si="2"/>
        <v>69</v>
      </c>
    </row>
    <row r="56" spans="1:16">
      <c r="A56" s="1">
        <v>77759</v>
      </c>
      <c r="B56" s="46">
        <v>90839</v>
      </c>
      <c r="C56" s="24">
        <v>844634</v>
      </c>
      <c r="D56" t="s">
        <v>320</v>
      </c>
      <c r="E56" t="str">
        <f t="shared" ca="1" si="3"/>
        <v>3H65BT77759-67</v>
      </c>
      <c r="I56">
        <f t="shared" ca="1" si="0"/>
        <v>3</v>
      </c>
      <c r="J56" t="s">
        <v>2660</v>
      </c>
      <c r="K56">
        <f t="shared" ca="1" si="1"/>
        <v>65</v>
      </c>
      <c r="L56" t="s">
        <v>954</v>
      </c>
      <c r="M56" t="s">
        <v>2657</v>
      </c>
      <c r="N56" s="1">
        <v>77759</v>
      </c>
      <c r="O56" s="49" t="s">
        <v>2656</v>
      </c>
      <c r="P56">
        <f t="shared" ca="1" si="2"/>
        <v>67</v>
      </c>
    </row>
    <row r="57" spans="1:16">
      <c r="A57" s="1">
        <v>77760</v>
      </c>
      <c r="B57" s="46">
        <v>90842</v>
      </c>
      <c r="C57" s="24">
        <v>844634</v>
      </c>
      <c r="D57" t="s">
        <v>320</v>
      </c>
      <c r="E57" t="str">
        <f t="shared" ca="1" si="3"/>
        <v>7R31BR77760-86</v>
      </c>
      <c r="I57">
        <f t="shared" ca="1" si="0"/>
        <v>7</v>
      </c>
      <c r="J57" t="s">
        <v>1920</v>
      </c>
      <c r="K57">
        <f t="shared" ca="1" si="1"/>
        <v>31</v>
      </c>
      <c r="L57" t="s">
        <v>954</v>
      </c>
      <c r="M57" t="s">
        <v>1920</v>
      </c>
      <c r="N57" s="1">
        <v>77760</v>
      </c>
      <c r="O57" s="49" t="s">
        <v>2656</v>
      </c>
      <c r="P57">
        <f t="shared" ca="1" si="2"/>
        <v>86</v>
      </c>
    </row>
    <row r="58" spans="1:16">
      <c r="A58" s="1">
        <v>77761</v>
      </c>
      <c r="B58" s="46">
        <v>90745</v>
      </c>
      <c r="C58" s="24">
        <v>845697</v>
      </c>
      <c r="D58" t="s">
        <v>332</v>
      </c>
      <c r="E58" t="str">
        <f t="shared" ca="1" si="3"/>
        <v>9S50GS77761-51</v>
      </c>
      <c r="I58">
        <f t="shared" ca="1" si="0"/>
        <v>9</v>
      </c>
      <c r="J58" t="s">
        <v>2350</v>
      </c>
      <c r="K58">
        <f t="shared" ca="1" si="1"/>
        <v>50</v>
      </c>
      <c r="L58" t="s">
        <v>2659</v>
      </c>
      <c r="M58" t="s">
        <v>2350</v>
      </c>
      <c r="N58" s="1">
        <v>77761</v>
      </c>
      <c r="O58" s="49" t="s">
        <v>2656</v>
      </c>
      <c r="P58">
        <f t="shared" ca="1" si="2"/>
        <v>51</v>
      </c>
    </row>
    <row r="59" spans="1:16">
      <c r="A59" s="1">
        <v>83942</v>
      </c>
      <c r="B59" s="46">
        <v>90744</v>
      </c>
      <c r="C59" s="24">
        <v>845697</v>
      </c>
      <c r="D59" t="s">
        <v>332</v>
      </c>
      <c r="E59" t="str">
        <f t="shared" ca="1" si="3"/>
        <v>2H87HT83942-61</v>
      </c>
      <c r="I59">
        <f t="shared" ca="1" si="0"/>
        <v>2</v>
      </c>
      <c r="J59" t="s">
        <v>2660</v>
      </c>
      <c r="K59">
        <f t="shared" ca="1" si="1"/>
        <v>87</v>
      </c>
      <c r="L59" t="s">
        <v>2660</v>
      </c>
      <c r="M59" t="s">
        <v>2657</v>
      </c>
      <c r="N59" s="1">
        <v>83942</v>
      </c>
      <c r="O59" s="49" t="s">
        <v>2656</v>
      </c>
      <c r="P59">
        <f t="shared" ca="1" si="2"/>
        <v>61</v>
      </c>
    </row>
    <row r="60" spans="1:16">
      <c r="A60" s="1">
        <v>83941</v>
      </c>
      <c r="B60" s="46">
        <v>87393</v>
      </c>
      <c r="C60" s="24">
        <v>844409</v>
      </c>
      <c r="D60" t="s">
        <v>339</v>
      </c>
      <c r="E60" t="str">
        <f t="shared" ca="1" si="3"/>
        <v>2R18HR83941-98</v>
      </c>
      <c r="I60">
        <f t="shared" ca="1" si="0"/>
        <v>2</v>
      </c>
      <c r="J60" t="s">
        <v>1920</v>
      </c>
      <c r="K60">
        <f t="shared" ca="1" si="1"/>
        <v>18</v>
      </c>
      <c r="L60" t="s">
        <v>2660</v>
      </c>
      <c r="M60" t="s">
        <v>1920</v>
      </c>
      <c r="N60" s="1">
        <v>83941</v>
      </c>
      <c r="O60" s="49" t="s">
        <v>2656</v>
      </c>
      <c r="P60">
        <f t="shared" ca="1" si="2"/>
        <v>98</v>
      </c>
    </row>
    <row r="61" spans="1:16">
      <c r="A61" s="1">
        <v>86288</v>
      </c>
      <c r="B61" s="46">
        <v>87395</v>
      </c>
      <c r="C61" s="24">
        <v>844409</v>
      </c>
      <c r="D61" t="s">
        <v>339</v>
      </c>
      <c r="E61" t="str">
        <f t="shared" ca="1" si="3"/>
        <v>1S17BS86288-25</v>
      </c>
      <c r="I61">
        <f t="shared" ca="1" si="0"/>
        <v>1</v>
      </c>
      <c r="J61" t="s">
        <v>2350</v>
      </c>
      <c r="K61">
        <f t="shared" ca="1" si="1"/>
        <v>17</v>
      </c>
      <c r="L61" t="s">
        <v>954</v>
      </c>
      <c r="M61" t="s">
        <v>2350</v>
      </c>
      <c r="N61" s="1">
        <v>86288</v>
      </c>
      <c r="O61" s="49" t="s">
        <v>2656</v>
      </c>
      <c r="P61">
        <f t="shared" ca="1" si="2"/>
        <v>25</v>
      </c>
    </row>
    <row r="62" spans="1:16">
      <c r="A62" s="1">
        <v>86287</v>
      </c>
      <c r="B62" s="46">
        <v>87391</v>
      </c>
      <c r="C62" s="24">
        <v>844409</v>
      </c>
      <c r="D62" t="s">
        <v>339</v>
      </c>
      <c r="E62" t="str">
        <f t="shared" ca="1" si="3"/>
        <v>7H51GT86287-35</v>
      </c>
      <c r="I62">
        <f t="shared" ca="1" si="0"/>
        <v>7</v>
      </c>
      <c r="J62" t="s">
        <v>2660</v>
      </c>
      <c r="K62">
        <f t="shared" ca="1" si="1"/>
        <v>51</v>
      </c>
      <c r="L62" t="s">
        <v>2659</v>
      </c>
      <c r="M62" t="s">
        <v>2657</v>
      </c>
      <c r="N62" s="1">
        <v>86287</v>
      </c>
      <c r="O62" s="49" t="s">
        <v>2656</v>
      </c>
      <c r="P62">
        <f t="shared" ca="1" si="2"/>
        <v>35</v>
      </c>
    </row>
    <row r="63" spans="1:16">
      <c r="A63" s="1">
        <v>83249</v>
      </c>
      <c r="B63" s="46">
        <v>87392</v>
      </c>
      <c r="C63" s="24">
        <v>844409</v>
      </c>
      <c r="D63" t="s">
        <v>339</v>
      </c>
      <c r="E63" t="str">
        <f t="shared" ca="1" si="3"/>
        <v>3R33IR83249-44</v>
      </c>
      <c r="I63">
        <f t="shared" ca="1" si="0"/>
        <v>3</v>
      </c>
      <c r="J63" t="s">
        <v>1920</v>
      </c>
      <c r="K63">
        <f t="shared" ca="1" si="1"/>
        <v>33</v>
      </c>
      <c r="L63" t="s">
        <v>304</v>
      </c>
      <c r="M63" t="s">
        <v>1920</v>
      </c>
      <c r="N63" s="1">
        <v>83249</v>
      </c>
      <c r="O63" s="49" t="s">
        <v>2656</v>
      </c>
      <c r="P63">
        <f t="shared" ca="1" si="2"/>
        <v>44</v>
      </c>
    </row>
    <row r="64" spans="1:16">
      <c r="A64" s="1">
        <v>83250</v>
      </c>
      <c r="B64" s="46">
        <v>87394</v>
      </c>
      <c r="C64" s="24">
        <v>844409</v>
      </c>
      <c r="D64" t="s">
        <v>339</v>
      </c>
      <c r="E64" t="str">
        <f t="shared" ca="1" si="3"/>
        <v>1S71IS83250-52</v>
      </c>
      <c r="I64">
        <f t="shared" ca="1" si="0"/>
        <v>1</v>
      </c>
      <c r="J64" t="s">
        <v>2350</v>
      </c>
      <c r="K64">
        <f t="shared" ca="1" si="1"/>
        <v>71</v>
      </c>
      <c r="L64" t="s">
        <v>304</v>
      </c>
      <c r="M64" t="s">
        <v>2350</v>
      </c>
      <c r="N64" s="1">
        <v>83250</v>
      </c>
      <c r="O64" s="49" t="s">
        <v>2656</v>
      </c>
      <c r="P64">
        <f t="shared" ca="1" si="2"/>
        <v>52</v>
      </c>
    </row>
    <row r="65" spans="1:16">
      <c r="A65" s="1">
        <v>82253</v>
      </c>
      <c r="B65" s="46">
        <v>87137</v>
      </c>
      <c r="C65" s="24">
        <v>841099</v>
      </c>
      <c r="D65" t="s">
        <v>351</v>
      </c>
      <c r="E65" t="str">
        <f t="shared" ca="1" si="3"/>
        <v>4H37FT82253-63</v>
      </c>
      <c r="I65">
        <f t="shared" ca="1" si="0"/>
        <v>4</v>
      </c>
      <c r="J65" t="s">
        <v>2660</v>
      </c>
      <c r="K65">
        <f t="shared" ca="1" si="1"/>
        <v>37</v>
      </c>
      <c r="L65" t="s">
        <v>2661</v>
      </c>
      <c r="M65" t="s">
        <v>2657</v>
      </c>
      <c r="N65" s="1">
        <v>82253</v>
      </c>
      <c r="O65" s="49" t="s">
        <v>2656</v>
      </c>
      <c r="P65">
        <f t="shared" ca="1" si="2"/>
        <v>63</v>
      </c>
    </row>
    <row r="66" spans="1:16">
      <c r="A66" s="1">
        <v>82254</v>
      </c>
      <c r="B66" s="46">
        <v>87138</v>
      </c>
      <c r="C66" s="24">
        <v>841099</v>
      </c>
      <c r="D66" t="s">
        <v>351</v>
      </c>
      <c r="E66" t="str">
        <f t="shared" ca="1" si="3"/>
        <v>1R73IR82254-84</v>
      </c>
      <c r="I66">
        <f t="shared" ca="1" si="0"/>
        <v>1</v>
      </c>
      <c r="J66" t="s">
        <v>1920</v>
      </c>
      <c r="K66">
        <f t="shared" ca="1" si="1"/>
        <v>73</v>
      </c>
      <c r="L66" t="s">
        <v>304</v>
      </c>
      <c r="M66" t="s">
        <v>1920</v>
      </c>
      <c r="N66" s="1">
        <v>82254</v>
      </c>
      <c r="O66" s="49" t="s">
        <v>2656</v>
      </c>
      <c r="P66">
        <f t="shared" ca="1" si="2"/>
        <v>84</v>
      </c>
    </row>
    <row r="67" spans="1:16">
      <c r="A67" s="1">
        <v>86001</v>
      </c>
      <c r="B67" s="46">
        <v>87139</v>
      </c>
      <c r="C67" s="24">
        <v>841099</v>
      </c>
      <c r="D67" t="s">
        <v>351</v>
      </c>
      <c r="E67" t="str">
        <f t="shared" ca="1" si="3"/>
        <v>6S25IS86001-79</v>
      </c>
      <c r="I67">
        <f t="shared" ca="1" si="0"/>
        <v>6</v>
      </c>
      <c r="J67" t="s">
        <v>2350</v>
      </c>
      <c r="K67">
        <f t="shared" ca="1" si="1"/>
        <v>25</v>
      </c>
      <c r="L67" t="s">
        <v>304</v>
      </c>
      <c r="M67" t="s">
        <v>2350</v>
      </c>
      <c r="N67" s="1">
        <v>86001</v>
      </c>
      <c r="O67" s="49" t="s">
        <v>2656</v>
      </c>
      <c r="P67">
        <f t="shared" ca="1" si="2"/>
        <v>79</v>
      </c>
    </row>
    <row r="68" spans="1:16">
      <c r="A68" s="1">
        <v>86002</v>
      </c>
      <c r="B68" s="46">
        <v>87135</v>
      </c>
      <c r="C68" s="24">
        <v>841099</v>
      </c>
      <c r="D68" t="s">
        <v>351</v>
      </c>
      <c r="E68" t="str">
        <f t="shared" ca="1" si="3"/>
        <v>9H94IT86002-44</v>
      </c>
      <c r="I68">
        <f t="shared" ca="1" si="0"/>
        <v>9</v>
      </c>
      <c r="J68" t="s">
        <v>2660</v>
      </c>
      <c r="K68">
        <f t="shared" ca="1" si="1"/>
        <v>94</v>
      </c>
      <c r="L68" t="s">
        <v>304</v>
      </c>
      <c r="M68" t="s">
        <v>2657</v>
      </c>
      <c r="N68" s="1">
        <v>86002</v>
      </c>
      <c r="O68" s="49" t="s">
        <v>2656</v>
      </c>
      <c r="P68">
        <f t="shared" ca="1" si="2"/>
        <v>44</v>
      </c>
    </row>
    <row r="69" spans="1:16">
      <c r="A69" s="1">
        <v>86004</v>
      </c>
      <c r="B69" s="46">
        <v>87136</v>
      </c>
      <c r="C69" s="24">
        <v>841099</v>
      </c>
      <c r="D69" t="s">
        <v>351</v>
      </c>
      <c r="E69" t="str">
        <f t="shared" ca="1" si="3"/>
        <v>7R89BR86004-14</v>
      </c>
      <c r="I69">
        <f t="shared" ca="1" si="0"/>
        <v>7</v>
      </c>
      <c r="J69" t="s">
        <v>1920</v>
      </c>
      <c r="K69">
        <f t="shared" ca="1" si="1"/>
        <v>89</v>
      </c>
      <c r="L69" t="s">
        <v>954</v>
      </c>
      <c r="M69" t="s">
        <v>1920</v>
      </c>
      <c r="N69" s="1">
        <v>86004</v>
      </c>
      <c r="O69" s="49" t="s">
        <v>2656</v>
      </c>
      <c r="P69">
        <f t="shared" ca="1" si="2"/>
        <v>14</v>
      </c>
    </row>
    <row r="70" spans="1:16">
      <c r="A70" s="1">
        <v>86003</v>
      </c>
      <c r="B70" s="46">
        <v>85965</v>
      </c>
      <c r="C70" s="24">
        <v>842052</v>
      </c>
      <c r="D70" t="s">
        <v>358</v>
      </c>
      <c r="E70" t="str">
        <f t="shared" ca="1" si="3"/>
        <v>2S52FS86003-52</v>
      </c>
      <c r="I70">
        <f t="shared" ca="1" si="0"/>
        <v>2</v>
      </c>
      <c r="J70" t="s">
        <v>2350</v>
      </c>
      <c r="K70">
        <f t="shared" ca="1" si="1"/>
        <v>52</v>
      </c>
      <c r="L70" t="s">
        <v>2661</v>
      </c>
      <c r="M70" t="s">
        <v>2350</v>
      </c>
      <c r="N70" s="1">
        <v>86003</v>
      </c>
      <c r="O70" s="49" t="s">
        <v>2656</v>
      </c>
      <c r="P70">
        <f t="shared" ca="1" si="2"/>
        <v>52</v>
      </c>
    </row>
    <row r="71" spans="1:16">
      <c r="A71" s="1">
        <v>89959</v>
      </c>
      <c r="B71" s="46">
        <v>85967</v>
      </c>
      <c r="C71" s="24">
        <v>842052</v>
      </c>
      <c r="D71" t="s">
        <v>358</v>
      </c>
      <c r="E71" t="str">
        <f t="shared" ref="E71:E134" ca="1" si="4">CONCATENATE(I71,J71,K71,L71,M71,N71,O71,P71)</f>
        <v>6H53BT89959-67</v>
      </c>
      <c r="I71">
        <f t="shared" ref="I71:I134" ca="1" si="5">RANDBETWEEN(1,9)</f>
        <v>6</v>
      </c>
      <c r="J71" t="s">
        <v>2660</v>
      </c>
      <c r="K71">
        <f t="shared" ref="K71:K134" ca="1" si="6">RANDBETWEEN(10,99)</f>
        <v>53</v>
      </c>
      <c r="L71" t="s">
        <v>954</v>
      </c>
      <c r="M71" t="s">
        <v>2657</v>
      </c>
      <c r="N71" s="1">
        <v>89959</v>
      </c>
      <c r="O71" s="49" t="s">
        <v>2656</v>
      </c>
      <c r="P71">
        <f t="shared" ref="P71:P134" ca="1" si="7">RANDBETWEEN(10,99)</f>
        <v>67</v>
      </c>
    </row>
    <row r="72" spans="1:16">
      <c r="A72" s="1">
        <v>89960</v>
      </c>
      <c r="B72" s="46">
        <v>85966</v>
      </c>
      <c r="C72" s="24">
        <v>842052</v>
      </c>
      <c r="D72" t="s">
        <v>358</v>
      </c>
      <c r="E72" t="str">
        <f t="shared" ca="1" si="4"/>
        <v>2R49DR89960-36</v>
      </c>
      <c r="I72">
        <f t="shared" ca="1" si="5"/>
        <v>2</v>
      </c>
      <c r="J72" t="s">
        <v>1920</v>
      </c>
      <c r="K72">
        <f t="shared" ca="1" si="6"/>
        <v>49</v>
      </c>
      <c r="L72" t="s">
        <v>2658</v>
      </c>
      <c r="M72" t="s">
        <v>1920</v>
      </c>
      <c r="N72" s="1">
        <v>89960</v>
      </c>
      <c r="O72" s="49" t="s">
        <v>2656</v>
      </c>
      <c r="P72">
        <f t="shared" ca="1" si="7"/>
        <v>36</v>
      </c>
    </row>
    <row r="73" spans="1:16">
      <c r="A73" s="1">
        <v>88660</v>
      </c>
      <c r="B73" s="46">
        <v>85968</v>
      </c>
      <c r="C73" s="24">
        <v>842052</v>
      </c>
      <c r="D73" t="s">
        <v>358</v>
      </c>
      <c r="E73" t="str">
        <f t="shared" ca="1" si="4"/>
        <v>6S69GS88660-83</v>
      </c>
      <c r="I73">
        <f t="shared" ca="1" si="5"/>
        <v>6</v>
      </c>
      <c r="J73" t="s">
        <v>2350</v>
      </c>
      <c r="K73">
        <f t="shared" ca="1" si="6"/>
        <v>69</v>
      </c>
      <c r="L73" t="s">
        <v>2659</v>
      </c>
      <c r="M73" t="s">
        <v>2350</v>
      </c>
      <c r="N73" s="1">
        <v>88660</v>
      </c>
      <c r="O73" s="49" t="s">
        <v>2656</v>
      </c>
      <c r="P73">
        <f t="shared" ca="1" si="7"/>
        <v>83</v>
      </c>
    </row>
    <row r="74" spans="1:16">
      <c r="A74" s="1">
        <v>88661</v>
      </c>
      <c r="B74" s="46">
        <v>84189</v>
      </c>
      <c r="C74" s="24">
        <v>838836</v>
      </c>
      <c r="D74" t="s">
        <v>371</v>
      </c>
      <c r="E74" t="str">
        <f t="shared" ca="1" si="4"/>
        <v>1H24ET88661-96</v>
      </c>
      <c r="I74">
        <f t="shared" ca="1" si="5"/>
        <v>1</v>
      </c>
      <c r="J74" t="s">
        <v>2660</v>
      </c>
      <c r="K74">
        <f t="shared" ca="1" si="6"/>
        <v>24</v>
      </c>
      <c r="L74" t="s">
        <v>804</v>
      </c>
      <c r="M74" t="s">
        <v>2657</v>
      </c>
      <c r="N74" s="1">
        <v>88661</v>
      </c>
      <c r="O74" s="49" t="s">
        <v>2656</v>
      </c>
      <c r="P74">
        <f t="shared" ca="1" si="7"/>
        <v>96</v>
      </c>
    </row>
    <row r="75" spans="1:16">
      <c r="A75" s="1">
        <v>88659</v>
      </c>
      <c r="B75" s="46">
        <v>84188</v>
      </c>
      <c r="C75" s="24">
        <v>838836</v>
      </c>
      <c r="D75" t="s">
        <v>371</v>
      </c>
      <c r="E75" t="str">
        <f t="shared" ca="1" si="4"/>
        <v>7R16AR88659-99</v>
      </c>
      <c r="I75">
        <f t="shared" ca="1" si="5"/>
        <v>7</v>
      </c>
      <c r="J75" t="s">
        <v>1920</v>
      </c>
      <c r="K75">
        <f t="shared" ca="1" si="6"/>
        <v>16</v>
      </c>
      <c r="L75" t="s">
        <v>425</v>
      </c>
      <c r="M75" t="s">
        <v>1920</v>
      </c>
      <c r="N75" s="1">
        <v>88659</v>
      </c>
      <c r="O75" s="49" t="s">
        <v>2656</v>
      </c>
      <c r="P75">
        <f t="shared" ca="1" si="7"/>
        <v>99</v>
      </c>
    </row>
    <row r="76" spans="1:16">
      <c r="A76" s="1">
        <v>88662</v>
      </c>
      <c r="B76" s="46">
        <v>84190</v>
      </c>
      <c r="C76" s="24">
        <v>838836</v>
      </c>
      <c r="D76" t="s">
        <v>371</v>
      </c>
      <c r="E76" t="str">
        <f t="shared" ca="1" si="4"/>
        <v>7S83FS88662-57</v>
      </c>
      <c r="I76">
        <f t="shared" ca="1" si="5"/>
        <v>7</v>
      </c>
      <c r="J76" t="s">
        <v>2350</v>
      </c>
      <c r="K76">
        <f t="shared" ca="1" si="6"/>
        <v>83</v>
      </c>
      <c r="L76" t="s">
        <v>2661</v>
      </c>
      <c r="M76" t="s">
        <v>2350</v>
      </c>
      <c r="N76" s="1">
        <v>88662</v>
      </c>
      <c r="O76" s="49" t="s">
        <v>2656</v>
      </c>
      <c r="P76">
        <f t="shared" ca="1" si="7"/>
        <v>57</v>
      </c>
    </row>
    <row r="77" spans="1:16">
      <c r="A77" s="1">
        <v>82681</v>
      </c>
      <c r="B77" s="46">
        <v>89995</v>
      </c>
      <c r="C77" s="24">
        <v>842357</v>
      </c>
      <c r="D77" t="s">
        <v>379</v>
      </c>
      <c r="E77" t="str">
        <f t="shared" ca="1" si="4"/>
        <v>8H52AT82681-41</v>
      </c>
      <c r="I77">
        <f t="shared" ca="1" si="5"/>
        <v>8</v>
      </c>
      <c r="J77" t="s">
        <v>2660</v>
      </c>
      <c r="K77">
        <f t="shared" ca="1" si="6"/>
        <v>52</v>
      </c>
      <c r="L77" t="s">
        <v>425</v>
      </c>
      <c r="M77" t="s">
        <v>2657</v>
      </c>
      <c r="N77" s="1">
        <v>82681</v>
      </c>
      <c r="O77" s="49" t="s">
        <v>2656</v>
      </c>
      <c r="P77">
        <f t="shared" ca="1" si="7"/>
        <v>41</v>
      </c>
    </row>
    <row r="78" spans="1:16">
      <c r="A78" s="1">
        <v>82680</v>
      </c>
      <c r="B78" s="46">
        <v>89998</v>
      </c>
      <c r="C78" s="24">
        <v>842357</v>
      </c>
      <c r="D78" t="s">
        <v>379</v>
      </c>
      <c r="E78" t="str">
        <f t="shared" ca="1" si="4"/>
        <v>6R24CR82680-17</v>
      </c>
      <c r="I78">
        <f t="shared" ca="1" si="5"/>
        <v>6</v>
      </c>
      <c r="J78" t="s">
        <v>1920</v>
      </c>
      <c r="K78">
        <f t="shared" ca="1" si="6"/>
        <v>24</v>
      </c>
      <c r="L78" t="s">
        <v>689</v>
      </c>
      <c r="M78" t="s">
        <v>1920</v>
      </c>
      <c r="N78" s="1">
        <v>82680</v>
      </c>
      <c r="O78" s="49" t="s">
        <v>2656</v>
      </c>
      <c r="P78">
        <f t="shared" ca="1" si="7"/>
        <v>17</v>
      </c>
    </row>
    <row r="79" spans="1:16">
      <c r="A79" s="1">
        <v>78097</v>
      </c>
      <c r="B79" s="46">
        <v>89997</v>
      </c>
      <c r="C79" s="24">
        <v>842357</v>
      </c>
      <c r="D79" t="s">
        <v>379</v>
      </c>
      <c r="E79" t="str">
        <f t="shared" ca="1" si="4"/>
        <v>3S72DS78097-49</v>
      </c>
      <c r="I79">
        <f t="shared" ca="1" si="5"/>
        <v>3</v>
      </c>
      <c r="J79" t="s">
        <v>2350</v>
      </c>
      <c r="K79">
        <f t="shared" ca="1" si="6"/>
        <v>72</v>
      </c>
      <c r="L79" t="s">
        <v>2658</v>
      </c>
      <c r="M79" t="s">
        <v>2350</v>
      </c>
      <c r="N79" s="1">
        <v>78097</v>
      </c>
      <c r="O79" s="49" t="s">
        <v>2656</v>
      </c>
      <c r="P79">
        <f t="shared" ca="1" si="7"/>
        <v>49</v>
      </c>
    </row>
    <row r="80" spans="1:16">
      <c r="A80" s="1">
        <v>78098</v>
      </c>
      <c r="B80" s="46">
        <v>89996</v>
      </c>
      <c r="C80" s="24">
        <v>842357</v>
      </c>
      <c r="D80" t="s">
        <v>379</v>
      </c>
      <c r="E80" t="str">
        <f t="shared" ca="1" si="4"/>
        <v>5H19AT78098-81</v>
      </c>
      <c r="I80">
        <f t="shared" ca="1" si="5"/>
        <v>5</v>
      </c>
      <c r="J80" t="s">
        <v>2660</v>
      </c>
      <c r="K80">
        <f t="shared" ca="1" si="6"/>
        <v>19</v>
      </c>
      <c r="L80" t="s">
        <v>425</v>
      </c>
      <c r="M80" t="s">
        <v>2657</v>
      </c>
      <c r="N80" s="1">
        <v>78098</v>
      </c>
      <c r="O80" s="49" t="s">
        <v>2656</v>
      </c>
      <c r="P80">
        <f t="shared" ca="1" si="7"/>
        <v>81</v>
      </c>
    </row>
    <row r="81" spans="1:16">
      <c r="A81" s="1">
        <v>90422</v>
      </c>
      <c r="B81" s="46">
        <v>84195</v>
      </c>
      <c r="C81" s="24">
        <v>842599</v>
      </c>
      <c r="D81" t="s">
        <v>386</v>
      </c>
      <c r="E81" t="str">
        <f t="shared" ca="1" si="4"/>
        <v>7R29GR90422-82</v>
      </c>
      <c r="I81">
        <f t="shared" ca="1" si="5"/>
        <v>7</v>
      </c>
      <c r="J81" t="s">
        <v>1920</v>
      </c>
      <c r="K81">
        <f t="shared" ca="1" si="6"/>
        <v>29</v>
      </c>
      <c r="L81" t="s">
        <v>2659</v>
      </c>
      <c r="M81" t="s">
        <v>1920</v>
      </c>
      <c r="N81" s="1">
        <v>90422</v>
      </c>
      <c r="O81" s="49" t="s">
        <v>2656</v>
      </c>
      <c r="P81">
        <f t="shared" ca="1" si="7"/>
        <v>82</v>
      </c>
    </row>
    <row r="82" spans="1:16">
      <c r="A82" s="1">
        <v>90420</v>
      </c>
      <c r="B82" s="46">
        <v>84196</v>
      </c>
      <c r="C82" s="24">
        <v>842599</v>
      </c>
      <c r="D82" t="s">
        <v>386</v>
      </c>
      <c r="E82" t="str">
        <f t="shared" ca="1" si="4"/>
        <v>7S68IS90420-90</v>
      </c>
      <c r="I82">
        <f t="shared" ca="1" si="5"/>
        <v>7</v>
      </c>
      <c r="J82" t="s">
        <v>2350</v>
      </c>
      <c r="K82">
        <f t="shared" ca="1" si="6"/>
        <v>68</v>
      </c>
      <c r="L82" t="s">
        <v>304</v>
      </c>
      <c r="M82" t="s">
        <v>2350</v>
      </c>
      <c r="N82" s="1">
        <v>90420</v>
      </c>
      <c r="O82" s="49" t="s">
        <v>2656</v>
      </c>
      <c r="P82">
        <f t="shared" ca="1" si="7"/>
        <v>90</v>
      </c>
    </row>
    <row r="83" spans="1:16">
      <c r="A83" s="1">
        <v>90423</v>
      </c>
      <c r="B83" s="46">
        <v>84197</v>
      </c>
      <c r="C83" s="24">
        <v>842599</v>
      </c>
      <c r="D83" t="s">
        <v>386</v>
      </c>
      <c r="E83" t="str">
        <f t="shared" ca="1" si="4"/>
        <v>3H24CT90423-82</v>
      </c>
      <c r="I83">
        <f t="shared" ca="1" si="5"/>
        <v>3</v>
      </c>
      <c r="J83" t="s">
        <v>2660</v>
      </c>
      <c r="K83">
        <f t="shared" ca="1" si="6"/>
        <v>24</v>
      </c>
      <c r="L83" t="s">
        <v>689</v>
      </c>
      <c r="M83" t="s">
        <v>2657</v>
      </c>
      <c r="N83" s="1">
        <v>90423</v>
      </c>
      <c r="O83" s="49" t="s">
        <v>2656</v>
      </c>
      <c r="P83">
        <f t="shared" ca="1" si="7"/>
        <v>82</v>
      </c>
    </row>
    <row r="84" spans="1:16">
      <c r="A84" s="1">
        <v>90424</v>
      </c>
      <c r="B84" s="46">
        <v>84194</v>
      </c>
      <c r="C84" s="24">
        <v>842599</v>
      </c>
      <c r="D84" t="s">
        <v>386</v>
      </c>
      <c r="E84" t="str">
        <f t="shared" ca="1" si="4"/>
        <v>5R91ER90424-39</v>
      </c>
      <c r="I84">
        <f t="shared" ca="1" si="5"/>
        <v>5</v>
      </c>
      <c r="J84" t="s">
        <v>1920</v>
      </c>
      <c r="K84">
        <f t="shared" ca="1" si="6"/>
        <v>91</v>
      </c>
      <c r="L84" t="s">
        <v>804</v>
      </c>
      <c r="M84" t="s">
        <v>1920</v>
      </c>
      <c r="N84" s="1">
        <v>90424</v>
      </c>
      <c r="O84" s="49" t="s">
        <v>2656</v>
      </c>
      <c r="P84">
        <f t="shared" ca="1" si="7"/>
        <v>39</v>
      </c>
    </row>
    <row r="85" spans="1:16">
      <c r="A85" s="1">
        <v>90421</v>
      </c>
      <c r="B85" s="46">
        <v>89673</v>
      </c>
      <c r="C85" s="24">
        <v>844985</v>
      </c>
      <c r="D85" t="s">
        <v>402</v>
      </c>
      <c r="E85" t="str">
        <f t="shared" ca="1" si="4"/>
        <v>7S65BS90421-63</v>
      </c>
      <c r="I85">
        <f t="shared" ca="1" si="5"/>
        <v>7</v>
      </c>
      <c r="J85" t="s">
        <v>2350</v>
      </c>
      <c r="K85">
        <f t="shared" ca="1" si="6"/>
        <v>65</v>
      </c>
      <c r="L85" t="s">
        <v>954</v>
      </c>
      <c r="M85" t="s">
        <v>2350</v>
      </c>
      <c r="N85" s="1">
        <v>90421</v>
      </c>
      <c r="O85" s="49" t="s">
        <v>2656</v>
      </c>
      <c r="P85">
        <f t="shared" ca="1" si="7"/>
        <v>63</v>
      </c>
    </row>
    <row r="86" spans="1:16">
      <c r="A86" s="1">
        <v>90937</v>
      </c>
      <c r="B86" s="46">
        <v>89674</v>
      </c>
      <c r="C86" s="24">
        <v>844985</v>
      </c>
      <c r="D86" t="s">
        <v>402</v>
      </c>
      <c r="E86" t="str">
        <f t="shared" ca="1" si="4"/>
        <v>5H88HT90937-15</v>
      </c>
      <c r="I86">
        <f t="shared" ca="1" si="5"/>
        <v>5</v>
      </c>
      <c r="J86" t="s">
        <v>2660</v>
      </c>
      <c r="K86">
        <f t="shared" ca="1" si="6"/>
        <v>88</v>
      </c>
      <c r="L86" t="s">
        <v>2660</v>
      </c>
      <c r="M86" t="s">
        <v>2657</v>
      </c>
      <c r="N86" s="1">
        <v>90937</v>
      </c>
      <c r="O86" s="49" t="s">
        <v>2656</v>
      </c>
      <c r="P86">
        <f t="shared" ca="1" si="7"/>
        <v>15</v>
      </c>
    </row>
    <row r="87" spans="1:16">
      <c r="A87" s="1">
        <v>90936</v>
      </c>
      <c r="B87" s="46">
        <v>89675</v>
      </c>
      <c r="C87" s="24">
        <v>844985</v>
      </c>
      <c r="D87" t="s">
        <v>402</v>
      </c>
      <c r="E87" t="str">
        <f t="shared" ca="1" si="4"/>
        <v>8R58BR90936-90</v>
      </c>
      <c r="I87">
        <f t="shared" ca="1" si="5"/>
        <v>8</v>
      </c>
      <c r="J87" t="s">
        <v>1920</v>
      </c>
      <c r="K87">
        <f t="shared" ca="1" si="6"/>
        <v>58</v>
      </c>
      <c r="L87" t="s">
        <v>954</v>
      </c>
      <c r="M87" t="s">
        <v>1920</v>
      </c>
      <c r="N87" s="1">
        <v>90936</v>
      </c>
      <c r="O87" s="49" t="s">
        <v>2656</v>
      </c>
      <c r="P87">
        <f t="shared" ca="1" si="7"/>
        <v>90</v>
      </c>
    </row>
    <row r="88" spans="1:16">
      <c r="A88" s="1">
        <v>90958</v>
      </c>
      <c r="B88" s="46">
        <v>86504</v>
      </c>
      <c r="C88" s="24">
        <v>844051</v>
      </c>
      <c r="D88" t="s">
        <v>409</v>
      </c>
      <c r="E88" t="str">
        <f t="shared" ca="1" si="4"/>
        <v>7S94ES90958-67</v>
      </c>
      <c r="I88">
        <f t="shared" ca="1" si="5"/>
        <v>7</v>
      </c>
      <c r="J88" t="s">
        <v>2350</v>
      </c>
      <c r="K88">
        <f t="shared" ca="1" si="6"/>
        <v>94</v>
      </c>
      <c r="L88" t="s">
        <v>804</v>
      </c>
      <c r="M88" t="s">
        <v>2350</v>
      </c>
      <c r="N88" s="1">
        <v>90958</v>
      </c>
      <c r="O88" s="49" t="s">
        <v>2656</v>
      </c>
      <c r="P88">
        <f t="shared" ca="1" si="7"/>
        <v>67</v>
      </c>
    </row>
    <row r="89" spans="1:16">
      <c r="A89" s="1">
        <v>90959</v>
      </c>
      <c r="B89" s="46">
        <v>86501</v>
      </c>
      <c r="C89" s="24">
        <v>844051</v>
      </c>
      <c r="D89" t="s">
        <v>409</v>
      </c>
      <c r="E89" t="str">
        <f t="shared" ca="1" si="4"/>
        <v>1H43AT90959-63</v>
      </c>
      <c r="I89">
        <f t="shared" ca="1" si="5"/>
        <v>1</v>
      </c>
      <c r="J89" t="s">
        <v>2660</v>
      </c>
      <c r="K89">
        <f t="shared" ca="1" si="6"/>
        <v>43</v>
      </c>
      <c r="L89" t="s">
        <v>425</v>
      </c>
      <c r="M89" t="s">
        <v>2657</v>
      </c>
      <c r="N89" s="1">
        <v>90959</v>
      </c>
      <c r="O89" s="49" t="s">
        <v>2656</v>
      </c>
      <c r="P89">
        <f t="shared" ca="1" si="7"/>
        <v>63</v>
      </c>
    </row>
    <row r="90" spans="1:16">
      <c r="A90" s="1">
        <v>76244</v>
      </c>
      <c r="B90" s="46">
        <v>86502</v>
      </c>
      <c r="C90" s="24">
        <v>844051</v>
      </c>
      <c r="D90" t="s">
        <v>409</v>
      </c>
      <c r="E90" t="str">
        <f t="shared" ca="1" si="4"/>
        <v>9R88AR76244-88</v>
      </c>
      <c r="I90">
        <f t="shared" ca="1" si="5"/>
        <v>9</v>
      </c>
      <c r="J90" t="s">
        <v>1920</v>
      </c>
      <c r="K90">
        <f t="shared" ca="1" si="6"/>
        <v>88</v>
      </c>
      <c r="L90" t="s">
        <v>425</v>
      </c>
      <c r="M90" t="s">
        <v>1920</v>
      </c>
      <c r="N90" s="1">
        <v>76244</v>
      </c>
      <c r="O90" s="49" t="s">
        <v>2656</v>
      </c>
      <c r="P90">
        <f t="shared" ca="1" si="7"/>
        <v>88</v>
      </c>
    </row>
    <row r="91" spans="1:16">
      <c r="A91" s="1">
        <v>76243</v>
      </c>
      <c r="B91" s="46">
        <v>86503</v>
      </c>
      <c r="C91" s="24">
        <v>844051</v>
      </c>
      <c r="D91" t="s">
        <v>409</v>
      </c>
      <c r="E91" t="str">
        <f t="shared" ca="1" si="4"/>
        <v>4S82BS76243-10</v>
      </c>
      <c r="I91">
        <f t="shared" ca="1" si="5"/>
        <v>4</v>
      </c>
      <c r="J91" t="s">
        <v>2350</v>
      </c>
      <c r="K91">
        <f t="shared" ca="1" si="6"/>
        <v>82</v>
      </c>
      <c r="L91" t="s">
        <v>954</v>
      </c>
      <c r="M91" t="s">
        <v>2350</v>
      </c>
      <c r="N91" s="1">
        <v>76243</v>
      </c>
      <c r="O91" s="49" t="s">
        <v>2656</v>
      </c>
      <c r="P91">
        <f t="shared" ca="1" si="7"/>
        <v>10</v>
      </c>
    </row>
    <row r="92" spans="1:16">
      <c r="A92" s="1">
        <v>87666</v>
      </c>
      <c r="B92" s="46">
        <v>76659</v>
      </c>
      <c r="C92" s="24">
        <v>840413</v>
      </c>
      <c r="D92" t="s">
        <v>416</v>
      </c>
      <c r="E92" t="str">
        <f t="shared" ca="1" si="4"/>
        <v>5H38FT87666-96</v>
      </c>
      <c r="I92">
        <f t="shared" ca="1" si="5"/>
        <v>5</v>
      </c>
      <c r="J92" t="s">
        <v>2660</v>
      </c>
      <c r="K92">
        <f t="shared" ca="1" si="6"/>
        <v>38</v>
      </c>
      <c r="L92" t="s">
        <v>2661</v>
      </c>
      <c r="M92" t="s">
        <v>2657</v>
      </c>
      <c r="N92" s="1">
        <v>87666</v>
      </c>
      <c r="O92" s="49" t="s">
        <v>2656</v>
      </c>
      <c r="P92">
        <f t="shared" ca="1" si="7"/>
        <v>96</v>
      </c>
    </row>
    <row r="93" spans="1:16">
      <c r="A93" s="1">
        <v>87667</v>
      </c>
      <c r="B93" s="46">
        <v>76658</v>
      </c>
      <c r="C93" s="24">
        <v>840413</v>
      </c>
      <c r="D93" t="s">
        <v>416</v>
      </c>
      <c r="E93" t="str">
        <f t="shared" ca="1" si="4"/>
        <v>2R22IR87667-88</v>
      </c>
      <c r="I93">
        <f t="shared" ca="1" si="5"/>
        <v>2</v>
      </c>
      <c r="J93" t="s">
        <v>1920</v>
      </c>
      <c r="K93">
        <f t="shared" ca="1" si="6"/>
        <v>22</v>
      </c>
      <c r="L93" t="s">
        <v>304</v>
      </c>
      <c r="M93" t="s">
        <v>1920</v>
      </c>
      <c r="N93" s="1">
        <v>87667</v>
      </c>
      <c r="O93" s="49" t="s">
        <v>2656</v>
      </c>
      <c r="P93">
        <f t="shared" ca="1" si="7"/>
        <v>88</v>
      </c>
    </row>
    <row r="94" spans="1:16">
      <c r="A94" s="1">
        <v>82590</v>
      </c>
      <c r="B94" s="46">
        <v>76660</v>
      </c>
      <c r="C94" s="24">
        <v>840413</v>
      </c>
      <c r="D94" t="s">
        <v>416</v>
      </c>
      <c r="E94" t="str">
        <f t="shared" ca="1" si="4"/>
        <v>5S14HS82590-38</v>
      </c>
      <c r="I94">
        <f t="shared" ca="1" si="5"/>
        <v>5</v>
      </c>
      <c r="J94" t="s">
        <v>2350</v>
      </c>
      <c r="K94">
        <f t="shared" ca="1" si="6"/>
        <v>14</v>
      </c>
      <c r="L94" t="s">
        <v>2660</v>
      </c>
      <c r="M94" t="s">
        <v>2350</v>
      </c>
      <c r="N94" s="1">
        <v>82590</v>
      </c>
      <c r="O94" s="49" t="s">
        <v>2656</v>
      </c>
      <c r="P94">
        <f t="shared" ca="1" si="7"/>
        <v>38</v>
      </c>
    </row>
    <row r="95" spans="1:16">
      <c r="A95" s="1">
        <v>82592</v>
      </c>
      <c r="B95" s="46">
        <v>77762</v>
      </c>
      <c r="C95" s="24">
        <v>834303</v>
      </c>
      <c r="D95" t="s">
        <v>423</v>
      </c>
      <c r="E95" t="str">
        <f t="shared" ca="1" si="4"/>
        <v>4H32ET82592-61</v>
      </c>
      <c r="I95">
        <f t="shared" ca="1" si="5"/>
        <v>4</v>
      </c>
      <c r="J95" t="s">
        <v>2660</v>
      </c>
      <c r="K95">
        <f t="shared" ca="1" si="6"/>
        <v>32</v>
      </c>
      <c r="L95" t="s">
        <v>804</v>
      </c>
      <c r="M95" t="s">
        <v>2657</v>
      </c>
      <c r="N95" s="1">
        <v>82592</v>
      </c>
      <c r="O95" s="49" t="s">
        <v>2656</v>
      </c>
      <c r="P95">
        <f t="shared" ca="1" si="7"/>
        <v>61</v>
      </c>
    </row>
    <row r="96" spans="1:16">
      <c r="A96" s="1">
        <v>82591</v>
      </c>
      <c r="B96" s="46">
        <v>77759</v>
      </c>
      <c r="C96" s="24">
        <v>834303</v>
      </c>
      <c r="D96" t="s">
        <v>423</v>
      </c>
      <c r="E96" t="str">
        <f t="shared" ca="1" si="4"/>
        <v>4R38BR82591-59</v>
      </c>
      <c r="I96">
        <f t="shared" ca="1" si="5"/>
        <v>4</v>
      </c>
      <c r="J96" t="s">
        <v>1920</v>
      </c>
      <c r="K96">
        <f t="shared" ca="1" si="6"/>
        <v>38</v>
      </c>
      <c r="L96" t="s">
        <v>954</v>
      </c>
      <c r="M96" t="s">
        <v>1920</v>
      </c>
      <c r="N96" s="1">
        <v>82591</v>
      </c>
      <c r="O96" s="49" t="s">
        <v>2656</v>
      </c>
      <c r="P96">
        <f t="shared" ca="1" si="7"/>
        <v>59</v>
      </c>
    </row>
    <row r="97" spans="1:16">
      <c r="A97" s="1">
        <v>90198</v>
      </c>
      <c r="B97" s="46">
        <v>77760</v>
      </c>
      <c r="C97" s="24">
        <v>834303</v>
      </c>
      <c r="D97" t="s">
        <v>423</v>
      </c>
      <c r="E97" t="str">
        <f t="shared" ca="1" si="4"/>
        <v>5S63CS90198-15</v>
      </c>
      <c r="I97">
        <f t="shared" ca="1" si="5"/>
        <v>5</v>
      </c>
      <c r="J97" t="s">
        <v>2350</v>
      </c>
      <c r="K97">
        <f t="shared" ca="1" si="6"/>
        <v>63</v>
      </c>
      <c r="L97" t="s">
        <v>689</v>
      </c>
      <c r="M97" t="s">
        <v>2350</v>
      </c>
      <c r="N97" s="1">
        <v>90198</v>
      </c>
      <c r="O97" s="49" t="s">
        <v>2656</v>
      </c>
      <c r="P97">
        <f t="shared" ca="1" si="7"/>
        <v>15</v>
      </c>
    </row>
    <row r="98" spans="1:16">
      <c r="A98" s="1">
        <v>90200</v>
      </c>
      <c r="B98" s="46">
        <v>77761</v>
      </c>
      <c r="C98" s="24">
        <v>834303</v>
      </c>
      <c r="D98" t="s">
        <v>423</v>
      </c>
      <c r="E98" t="str">
        <f t="shared" ca="1" si="4"/>
        <v>5H29AT90200-17</v>
      </c>
      <c r="I98">
        <f t="shared" ca="1" si="5"/>
        <v>5</v>
      </c>
      <c r="J98" t="s">
        <v>2660</v>
      </c>
      <c r="K98">
        <f t="shared" ca="1" si="6"/>
        <v>29</v>
      </c>
      <c r="L98" t="s">
        <v>425</v>
      </c>
      <c r="M98" t="s">
        <v>2657</v>
      </c>
      <c r="N98" s="1">
        <v>90200</v>
      </c>
      <c r="O98" s="49" t="s">
        <v>2656</v>
      </c>
      <c r="P98">
        <f t="shared" ca="1" si="7"/>
        <v>17</v>
      </c>
    </row>
    <row r="99" spans="1:16">
      <c r="A99" s="1">
        <v>90199</v>
      </c>
      <c r="B99" s="46">
        <v>83942</v>
      </c>
      <c r="C99" s="24">
        <v>843230</v>
      </c>
      <c r="D99" t="s">
        <v>434</v>
      </c>
      <c r="E99" t="str">
        <f t="shared" ca="1" si="4"/>
        <v>7R37GR90199-38</v>
      </c>
      <c r="I99">
        <f t="shared" ca="1" si="5"/>
        <v>7</v>
      </c>
      <c r="J99" t="s">
        <v>1920</v>
      </c>
      <c r="K99">
        <f t="shared" ca="1" si="6"/>
        <v>37</v>
      </c>
      <c r="L99" t="s">
        <v>2659</v>
      </c>
      <c r="M99" t="s">
        <v>1920</v>
      </c>
      <c r="N99" s="1">
        <v>90199</v>
      </c>
      <c r="O99" s="49" t="s">
        <v>2656</v>
      </c>
      <c r="P99">
        <f t="shared" ca="1" si="7"/>
        <v>38</v>
      </c>
    </row>
    <row r="100" spans="1:16">
      <c r="A100" s="1">
        <v>90193</v>
      </c>
      <c r="B100" s="46">
        <v>83941</v>
      </c>
      <c r="C100" s="24">
        <v>843230</v>
      </c>
      <c r="D100" t="s">
        <v>434</v>
      </c>
      <c r="E100" t="str">
        <f t="shared" ca="1" si="4"/>
        <v>1S13HS90193-26</v>
      </c>
      <c r="I100">
        <f t="shared" ca="1" si="5"/>
        <v>1</v>
      </c>
      <c r="J100" t="s">
        <v>2350</v>
      </c>
      <c r="K100">
        <f t="shared" ca="1" si="6"/>
        <v>13</v>
      </c>
      <c r="L100" t="s">
        <v>2660</v>
      </c>
      <c r="M100" t="s">
        <v>2350</v>
      </c>
      <c r="N100" s="1">
        <v>90193</v>
      </c>
      <c r="O100" s="49" t="s">
        <v>2656</v>
      </c>
      <c r="P100">
        <f t="shared" ca="1" si="7"/>
        <v>26</v>
      </c>
    </row>
    <row r="101" spans="1:16">
      <c r="A101" s="1">
        <v>90194</v>
      </c>
      <c r="B101" s="46">
        <v>86288</v>
      </c>
      <c r="C101" s="24">
        <v>844406</v>
      </c>
      <c r="D101" t="s">
        <v>443</v>
      </c>
      <c r="E101" t="str">
        <f t="shared" ca="1" si="4"/>
        <v>1H56AT90194-65</v>
      </c>
      <c r="I101">
        <f t="shared" ca="1" si="5"/>
        <v>1</v>
      </c>
      <c r="J101" t="s">
        <v>2660</v>
      </c>
      <c r="K101">
        <f t="shared" ca="1" si="6"/>
        <v>56</v>
      </c>
      <c r="L101" t="s">
        <v>425</v>
      </c>
      <c r="M101" t="s">
        <v>2657</v>
      </c>
      <c r="N101" s="1">
        <v>90194</v>
      </c>
      <c r="O101" s="49" t="s">
        <v>2656</v>
      </c>
      <c r="P101">
        <f t="shared" ca="1" si="7"/>
        <v>65</v>
      </c>
    </row>
    <row r="102" spans="1:16">
      <c r="A102" s="1">
        <v>90195</v>
      </c>
      <c r="B102" s="46">
        <v>86287</v>
      </c>
      <c r="C102" s="24">
        <v>844406</v>
      </c>
      <c r="D102" t="s">
        <v>443</v>
      </c>
      <c r="E102" t="str">
        <f t="shared" ca="1" si="4"/>
        <v>2R29IR90195-79</v>
      </c>
      <c r="I102">
        <f t="shared" ca="1" si="5"/>
        <v>2</v>
      </c>
      <c r="J102" t="s">
        <v>1920</v>
      </c>
      <c r="K102">
        <f t="shared" ca="1" si="6"/>
        <v>29</v>
      </c>
      <c r="L102" t="s">
        <v>304</v>
      </c>
      <c r="M102" t="s">
        <v>1920</v>
      </c>
      <c r="N102" s="1">
        <v>90195</v>
      </c>
      <c r="O102" s="49" t="s">
        <v>2656</v>
      </c>
      <c r="P102">
        <f t="shared" ca="1" si="7"/>
        <v>79</v>
      </c>
    </row>
    <row r="103" spans="1:16">
      <c r="A103" s="1">
        <v>90893</v>
      </c>
      <c r="B103" s="46">
        <v>83249</v>
      </c>
      <c r="C103" s="24">
        <v>842359</v>
      </c>
      <c r="D103" t="s">
        <v>455</v>
      </c>
      <c r="E103" t="str">
        <f t="shared" ca="1" si="4"/>
        <v>7S34HS90893-94</v>
      </c>
      <c r="I103">
        <f t="shared" ca="1" si="5"/>
        <v>7</v>
      </c>
      <c r="J103" t="s">
        <v>2350</v>
      </c>
      <c r="K103">
        <f t="shared" ca="1" si="6"/>
        <v>34</v>
      </c>
      <c r="L103" t="s">
        <v>2660</v>
      </c>
      <c r="M103" t="s">
        <v>2350</v>
      </c>
      <c r="N103" s="1">
        <v>90893</v>
      </c>
      <c r="O103" s="49" t="s">
        <v>2656</v>
      </c>
      <c r="P103">
        <f t="shared" ca="1" si="7"/>
        <v>94</v>
      </c>
    </row>
    <row r="104" spans="1:16">
      <c r="A104" s="1">
        <v>90892</v>
      </c>
      <c r="B104" s="46">
        <v>83250</v>
      </c>
      <c r="C104" s="24">
        <v>842359</v>
      </c>
      <c r="D104" t="s">
        <v>455</v>
      </c>
      <c r="E104" t="str">
        <f t="shared" ca="1" si="4"/>
        <v>8H33AT90892-66</v>
      </c>
      <c r="I104">
        <f t="shared" ca="1" si="5"/>
        <v>8</v>
      </c>
      <c r="J104" t="s">
        <v>2660</v>
      </c>
      <c r="K104">
        <f t="shared" ca="1" si="6"/>
        <v>33</v>
      </c>
      <c r="L104" t="s">
        <v>425</v>
      </c>
      <c r="M104" t="s">
        <v>2657</v>
      </c>
      <c r="N104" s="1">
        <v>90892</v>
      </c>
      <c r="O104" s="49" t="s">
        <v>2656</v>
      </c>
      <c r="P104">
        <f t="shared" ca="1" si="7"/>
        <v>66</v>
      </c>
    </row>
    <row r="105" spans="1:16">
      <c r="A105" s="1">
        <v>90891</v>
      </c>
      <c r="B105" s="46">
        <v>82253</v>
      </c>
      <c r="C105" s="24">
        <v>842360</v>
      </c>
      <c r="D105" t="s">
        <v>466</v>
      </c>
      <c r="E105" t="str">
        <f t="shared" ca="1" si="4"/>
        <v>3R61CR90891-64</v>
      </c>
      <c r="I105">
        <f t="shared" ca="1" si="5"/>
        <v>3</v>
      </c>
      <c r="J105" t="s">
        <v>1920</v>
      </c>
      <c r="K105">
        <f t="shared" ca="1" si="6"/>
        <v>61</v>
      </c>
      <c r="L105" t="s">
        <v>689</v>
      </c>
      <c r="M105" t="s">
        <v>1920</v>
      </c>
      <c r="N105" s="1">
        <v>90891</v>
      </c>
      <c r="O105" s="49" t="s">
        <v>2656</v>
      </c>
      <c r="P105">
        <f t="shared" ca="1" si="7"/>
        <v>64</v>
      </c>
    </row>
    <row r="106" spans="1:16">
      <c r="A106" s="1">
        <v>90894</v>
      </c>
      <c r="B106" s="46">
        <v>82254</v>
      </c>
      <c r="C106" s="24">
        <v>842360</v>
      </c>
      <c r="D106" t="s">
        <v>478</v>
      </c>
      <c r="E106" t="str">
        <f t="shared" ca="1" si="4"/>
        <v>4S19HS90894-23</v>
      </c>
      <c r="I106">
        <f t="shared" ca="1" si="5"/>
        <v>4</v>
      </c>
      <c r="J106" t="s">
        <v>2350</v>
      </c>
      <c r="K106">
        <f t="shared" ca="1" si="6"/>
        <v>19</v>
      </c>
      <c r="L106" t="s">
        <v>2660</v>
      </c>
      <c r="M106" t="s">
        <v>2350</v>
      </c>
      <c r="N106" s="1">
        <v>90894</v>
      </c>
      <c r="O106" s="49" t="s">
        <v>2656</v>
      </c>
      <c r="P106">
        <f t="shared" ca="1" si="7"/>
        <v>23</v>
      </c>
    </row>
    <row r="107" spans="1:16">
      <c r="A107" s="1">
        <v>86452</v>
      </c>
      <c r="B107" s="46">
        <v>86001</v>
      </c>
      <c r="C107" s="24">
        <v>844176</v>
      </c>
      <c r="D107" t="s">
        <v>490</v>
      </c>
      <c r="E107" t="str">
        <f t="shared" ca="1" si="4"/>
        <v>8H68FT86452-55</v>
      </c>
      <c r="I107">
        <f t="shared" ca="1" si="5"/>
        <v>8</v>
      </c>
      <c r="J107" t="s">
        <v>2660</v>
      </c>
      <c r="K107">
        <f t="shared" ca="1" si="6"/>
        <v>68</v>
      </c>
      <c r="L107" t="s">
        <v>2661</v>
      </c>
      <c r="M107" t="s">
        <v>2657</v>
      </c>
      <c r="N107" s="1">
        <v>86452</v>
      </c>
      <c r="O107" s="49" t="s">
        <v>2656</v>
      </c>
      <c r="P107">
        <f t="shared" ca="1" si="7"/>
        <v>55</v>
      </c>
    </row>
    <row r="108" spans="1:16">
      <c r="A108" s="1">
        <v>86455</v>
      </c>
      <c r="B108" s="46">
        <v>86002</v>
      </c>
      <c r="C108" s="24">
        <v>844176</v>
      </c>
      <c r="D108" t="s">
        <v>490</v>
      </c>
      <c r="E108" t="str">
        <f t="shared" ca="1" si="4"/>
        <v>2R16CR86455-22</v>
      </c>
      <c r="I108">
        <f t="shared" ca="1" si="5"/>
        <v>2</v>
      </c>
      <c r="J108" t="s">
        <v>1920</v>
      </c>
      <c r="K108">
        <f t="shared" ca="1" si="6"/>
        <v>16</v>
      </c>
      <c r="L108" t="s">
        <v>689</v>
      </c>
      <c r="M108" t="s">
        <v>1920</v>
      </c>
      <c r="N108" s="1">
        <v>86455</v>
      </c>
      <c r="O108" s="49" t="s">
        <v>2656</v>
      </c>
      <c r="P108">
        <f t="shared" ca="1" si="7"/>
        <v>22</v>
      </c>
    </row>
    <row r="109" spans="1:16">
      <c r="A109" s="1">
        <v>86454</v>
      </c>
      <c r="B109" s="46">
        <v>86004</v>
      </c>
      <c r="C109" s="24">
        <v>844176</v>
      </c>
      <c r="D109" t="s">
        <v>490</v>
      </c>
      <c r="E109" t="str">
        <f t="shared" ca="1" si="4"/>
        <v>2S16GS86454-16</v>
      </c>
      <c r="I109">
        <f t="shared" ca="1" si="5"/>
        <v>2</v>
      </c>
      <c r="J109" t="s">
        <v>2350</v>
      </c>
      <c r="K109">
        <f t="shared" ca="1" si="6"/>
        <v>16</v>
      </c>
      <c r="L109" t="s">
        <v>2659</v>
      </c>
      <c r="M109" t="s">
        <v>2350</v>
      </c>
      <c r="N109" s="1">
        <v>86454</v>
      </c>
      <c r="O109" s="49" t="s">
        <v>2656</v>
      </c>
      <c r="P109">
        <f t="shared" ca="1" si="7"/>
        <v>16</v>
      </c>
    </row>
    <row r="110" spans="1:16">
      <c r="A110" s="1">
        <v>86453</v>
      </c>
      <c r="B110" s="46">
        <v>86003</v>
      </c>
      <c r="C110" s="24">
        <v>844176</v>
      </c>
      <c r="D110" t="s">
        <v>490</v>
      </c>
      <c r="E110" t="str">
        <f t="shared" ca="1" si="4"/>
        <v>1H40AT86453-48</v>
      </c>
      <c r="I110">
        <f t="shared" ca="1" si="5"/>
        <v>1</v>
      </c>
      <c r="J110" t="s">
        <v>2660</v>
      </c>
      <c r="K110">
        <f t="shared" ca="1" si="6"/>
        <v>40</v>
      </c>
      <c r="L110" t="s">
        <v>425</v>
      </c>
      <c r="M110" t="s">
        <v>2657</v>
      </c>
      <c r="N110" s="1">
        <v>86453</v>
      </c>
      <c r="O110" s="49" t="s">
        <v>2656</v>
      </c>
      <c r="P110">
        <f t="shared" ca="1" si="7"/>
        <v>48</v>
      </c>
    </row>
    <row r="111" spans="1:16">
      <c r="A111" s="1">
        <v>85032</v>
      </c>
      <c r="B111" s="46">
        <v>89959</v>
      </c>
      <c r="C111" s="24">
        <v>845625</v>
      </c>
      <c r="D111" t="s">
        <v>499</v>
      </c>
      <c r="E111" t="str">
        <f t="shared" ca="1" si="4"/>
        <v>6R63CR85032-85</v>
      </c>
      <c r="I111">
        <f t="shared" ca="1" si="5"/>
        <v>6</v>
      </c>
      <c r="J111" t="s">
        <v>1920</v>
      </c>
      <c r="K111">
        <f t="shared" ca="1" si="6"/>
        <v>63</v>
      </c>
      <c r="L111" t="s">
        <v>689</v>
      </c>
      <c r="M111" t="s">
        <v>1920</v>
      </c>
      <c r="N111" s="1">
        <v>85032</v>
      </c>
      <c r="O111" s="49" t="s">
        <v>2656</v>
      </c>
      <c r="P111">
        <f t="shared" ca="1" si="7"/>
        <v>85</v>
      </c>
    </row>
    <row r="112" spans="1:16">
      <c r="A112" s="1">
        <v>85031</v>
      </c>
      <c r="B112" s="46">
        <v>89960</v>
      </c>
      <c r="C112" s="24">
        <v>845625</v>
      </c>
      <c r="D112" t="s">
        <v>499</v>
      </c>
      <c r="E112" t="str">
        <f t="shared" ca="1" si="4"/>
        <v>2S18DS85031-42</v>
      </c>
      <c r="I112">
        <f t="shared" ca="1" si="5"/>
        <v>2</v>
      </c>
      <c r="J112" t="s">
        <v>2350</v>
      </c>
      <c r="K112">
        <f t="shared" ca="1" si="6"/>
        <v>18</v>
      </c>
      <c r="L112" t="s">
        <v>2658</v>
      </c>
      <c r="M112" t="s">
        <v>2350</v>
      </c>
      <c r="N112" s="1">
        <v>85031</v>
      </c>
      <c r="O112" s="49" t="s">
        <v>2656</v>
      </c>
      <c r="P112">
        <f t="shared" ca="1" si="7"/>
        <v>42</v>
      </c>
    </row>
    <row r="113" spans="1:16">
      <c r="A113" s="1">
        <v>85033</v>
      </c>
      <c r="B113" s="46">
        <v>88660</v>
      </c>
      <c r="C113" s="24">
        <v>845369</v>
      </c>
      <c r="D113" t="s">
        <v>507</v>
      </c>
      <c r="E113" t="str">
        <f t="shared" ca="1" si="4"/>
        <v>5H74HT85033-64</v>
      </c>
      <c r="I113">
        <f t="shared" ca="1" si="5"/>
        <v>5</v>
      </c>
      <c r="J113" t="s">
        <v>2660</v>
      </c>
      <c r="K113">
        <f t="shared" ca="1" si="6"/>
        <v>74</v>
      </c>
      <c r="L113" t="s">
        <v>2660</v>
      </c>
      <c r="M113" t="s">
        <v>2657</v>
      </c>
      <c r="N113" s="1">
        <v>85033</v>
      </c>
      <c r="O113" s="49" t="s">
        <v>2656</v>
      </c>
      <c r="P113">
        <f t="shared" ca="1" si="7"/>
        <v>64</v>
      </c>
    </row>
    <row r="114" spans="1:16">
      <c r="A114" s="1">
        <v>84829</v>
      </c>
      <c r="B114" s="46">
        <v>88661</v>
      </c>
      <c r="C114" s="24">
        <v>845369</v>
      </c>
      <c r="D114" t="s">
        <v>507</v>
      </c>
      <c r="E114" t="str">
        <f t="shared" ca="1" si="4"/>
        <v>8R84BR84829-85</v>
      </c>
      <c r="I114">
        <f t="shared" ca="1" si="5"/>
        <v>8</v>
      </c>
      <c r="J114" t="s">
        <v>1920</v>
      </c>
      <c r="K114">
        <f t="shared" ca="1" si="6"/>
        <v>84</v>
      </c>
      <c r="L114" t="s">
        <v>954</v>
      </c>
      <c r="M114" t="s">
        <v>1920</v>
      </c>
      <c r="N114" s="1">
        <v>84829</v>
      </c>
      <c r="O114" s="49" t="s">
        <v>2656</v>
      </c>
      <c r="P114">
        <f t="shared" ca="1" si="7"/>
        <v>85</v>
      </c>
    </row>
    <row r="115" spans="1:16">
      <c r="A115" s="1">
        <v>84830</v>
      </c>
      <c r="B115" s="46">
        <v>88659</v>
      </c>
      <c r="C115" s="24">
        <v>845369</v>
      </c>
      <c r="D115" t="s">
        <v>507</v>
      </c>
      <c r="E115" t="str">
        <f t="shared" ca="1" si="4"/>
        <v>4S27AS84830-82</v>
      </c>
      <c r="I115">
        <f t="shared" ca="1" si="5"/>
        <v>4</v>
      </c>
      <c r="J115" t="s">
        <v>2350</v>
      </c>
      <c r="K115">
        <f t="shared" ca="1" si="6"/>
        <v>27</v>
      </c>
      <c r="L115" t="s">
        <v>425</v>
      </c>
      <c r="M115" t="s">
        <v>2350</v>
      </c>
      <c r="N115" s="1">
        <v>84830</v>
      </c>
      <c r="O115" s="49" t="s">
        <v>2656</v>
      </c>
      <c r="P115">
        <f t="shared" ca="1" si="7"/>
        <v>82</v>
      </c>
    </row>
    <row r="116" spans="1:16">
      <c r="A116" s="1">
        <v>84828</v>
      </c>
      <c r="B116" s="46">
        <v>88662</v>
      </c>
      <c r="C116" s="24">
        <v>845369</v>
      </c>
      <c r="D116" t="s">
        <v>507</v>
      </c>
      <c r="E116" t="str">
        <f t="shared" ca="1" si="4"/>
        <v>4H68BT84828-48</v>
      </c>
      <c r="I116">
        <f t="shared" ca="1" si="5"/>
        <v>4</v>
      </c>
      <c r="J116" t="s">
        <v>2660</v>
      </c>
      <c r="K116">
        <f t="shared" ca="1" si="6"/>
        <v>68</v>
      </c>
      <c r="L116" t="s">
        <v>954</v>
      </c>
      <c r="M116" t="s">
        <v>2657</v>
      </c>
      <c r="N116" s="1">
        <v>84828</v>
      </c>
      <c r="O116" s="49" t="s">
        <v>2656</v>
      </c>
      <c r="P116">
        <f t="shared" ca="1" si="7"/>
        <v>48</v>
      </c>
    </row>
    <row r="117" spans="1:16">
      <c r="A117" s="1">
        <v>85718</v>
      </c>
      <c r="B117" s="46">
        <v>82681</v>
      </c>
      <c r="C117" s="24">
        <v>842592</v>
      </c>
      <c r="D117" t="s">
        <v>516</v>
      </c>
      <c r="E117" t="str">
        <f t="shared" ca="1" si="4"/>
        <v>9R84IR85718-92</v>
      </c>
      <c r="I117">
        <f t="shared" ca="1" si="5"/>
        <v>9</v>
      </c>
      <c r="J117" t="s">
        <v>1920</v>
      </c>
      <c r="K117">
        <f t="shared" ca="1" si="6"/>
        <v>84</v>
      </c>
      <c r="L117" t="s">
        <v>304</v>
      </c>
      <c r="M117" t="s">
        <v>1920</v>
      </c>
      <c r="N117" s="1">
        <v>85718</v>
      </c>
      <c r="O117" s="49" t="s">
        <v>2656</v>
      </c>
      <c r="P117">
        <f t="shared" ca="1" si="7"/>
        <v>92</v>
      </c>
    </row>
    <row r="118" spans="1:16">
      <c r="A118" s="1">
        <v>85716</v>
      </c>
      <c r="B118" s="46">
        <v>82680</v>
      </c>
      <c r="C118" s="24">
        <v>842592</v>
      </c>
      <c r="D118" t="s">
        <v>516</v>
      </c>
      <c r="E118" t="str">
        <f t="shared" ca="1" si="4"/>
        <v>2S12BS85716-42</v>
      </c>
      <c r="I118">
        <f t="shared" ca="1" si="5"/>
        <v>2</v>
      </c>
      <c r="J118" t="s">
        <v>2350</v>
      </c>
      <c r="K118">
        <f t="shared" ca="1" si="6"/>
        <v>12</v>
      </c>
      <c r="L118" t="s">
        <v>954</v>
      </c>
      <c r="M118" t="s">
        <v>2350</v>
      </c>
      <c r="N118" s="1">
        <v>85716</v>
      </c>
      <c r="O118" s="49" t="s">
        <v>2656</v>
      </c>
      <c r="P118">
        <f t="shared" ca="1" si="7"/>
        <v>42</v>
      </c>
    </row>
    <row r="119" spans="1:16">
      <c r="A119" s="1">
        <v>85717</v>
      </c>
      <c r="B119" s="46">
        <v>78097</v>
      </c>
      <c r="C119" s="24">
        <v>840617</v>
      </c>
      <c r="D119" t="s">
        <v>525</v>
      </c>
      <c r="E119" t="str">
        <f t="shared" ca="1" si="4"/>
        <v>4H54ET85717-74</v>
      </c>
      <c r="I119">
        <f t="shared" ca="1" si="5"/>
        <v>4</v>
      </c>
      <c r="J119" t="s">
        <v>2660</v>
      </c>
      <c r="K119">
        <f t="shared" ca="1" si="6"/>
        <v>54</v>
      </c>
      <c r="L119" t="s">
        <v>804</v>
      </c>
      <c r="M119" t="s">
        <v>2657</v>
      </c>
      <c r="N119" s="1">
        <v>85717</v>
      </c>
      <c r="O119" s="49" t="s">
        <v>2656</v>
      </c>
      <c r="P119">
        <f t="shared" ca="1" si="7"/>
        <v>74</v>
      </c>
    </row>
    <row r="120" spans="1:16">
      <c r="A120" s="1">
        <v>90238</v>
      </c>
      <c r="B120" s="46">
        <v>78098</v>
      </c>
      <c r="C120" s="24">
        <v>840617</v>
      </c>
      <c r="D120" t="s">
        <v>525</v>
      </c>
      <c r="E120" t="str">
        <f t="shared" ca="1" si="4"/>
        <v>3R30AR90238-80</v>
      </c>
      <c r="I120">
        <f t="shared" ca="1" si="5"/>
        <v>3</v>
      </c>
      <c r="J120" t="s">
        <v>1920</v>
      </c>
      <c r="K120">
        <f t="shared" ca="1" si="6"/>
        <v>30</v>
      </c>
      <c r="L120" t="s">
        <v>425</v>
      </c>
      <c r="M120" t="s">
        <v>1920</v>
      </c>
      <c r="N120" s="1">
        <v>90238</v>
      </c>
      <c r="O120" s="49" t="s">
        <v>2656</v>
      </c>
      <c r="P120">
        <f t="shared" ca="1" si="7"/>
        <v>80</v>
      </c>
    </row>
    <row r="121" spans="1:16">
      <c r="A121" s="1">
        <v>90239</v>
      </c>
      <c r="B121" s="46">
        <v>90422</v>
      </c>
      <c r="C121" s="24">
        <v>844483</v>
      </c>
      <c r="D121" t="s">
        <v>532</v>
      </c>
      <c r="E121" t="str">
        <f t="shared" ca="1" si="4"/>
        <v>8S51ES90239-35</v>
      </c>
      <c r="I121">
        <f t="shared" ca="1" si="5"/>
        <v>8</v>
      </c>
      <c r="J121" t="s">
        <v>2350</v>
      </c>
      <c r="K121">
        <f t="shared" ca="1" si="6"/>
        <v>51</v>
      </c>
      <c r="L121" t="s">
        <v>804</v>
      </c>
      <c r="M121" t="s">
        <v>2350</v>
      </c>
      <c r="N121" s="1">
        <v>90239</v>
      </c>
      <c r="O121" s="49" t="s">
        <v>2656</v>
      </c>
      <c r="P121">
        <f t="shared" ca="1" si="7"/>
        <v>35</v>
      </c>
    </row>
    <row r="122" spans="1:16">
      <c r="A122" s="1">
        <v>90240</v>
      </c>
      <c r="B122" s="46">
        <v>90420</v>
      </c>
      <c r="C122" s="24">
        <v>844483</v>
      </c>
      <c r="D122" t="s">
        <v>532</v>
      </c>
      <c r="E122" t="str">
        <f t="shared" ca="1" si="4"/>
        <v>7H99FT90240-15</v>
      </c>
      <c r="I122">
        <f t="shared" ca="1" si="5"/>
        <v>7</v>
      </c>
      <c r="J122" t="s">
        <v>2660</v>
      </c>
      <c r="K122">
        <f t="shared" ca="1" si="6"/>
        <v>99</v>
      </c>
      <c r="L122" t="s">
        <v>2661</v>
      </c>
      <c r="M122" t="s">
        <v>2657</v>
      </c>
      <c r="N122" s="1">
        <v>90240</v>
      </c>
      <c r="O122" s="49" t="s">
        <v>2656</v>
      </c>
      <c r="P122">
        <f t="shared" ca="1" si="7"/>
        <v>15</v>
      </c>
    </row>
    <row r="123" spans="1:16">
      <c r="A123" s="1">
        <v>88653</v>
      </c>
      <c r="B123" s="46">
        <v>90423</v>
      </c>
      <c r="C123" s="24">
        <v>844483</v>
      </c>
      <c r="D123" t="s">
        <v>532</v>
      </c>
      <c r="E123" t="str">
        <f t="shared" ca="1" si="4"/>
        <v>6R40GR88653-44</v>
      </c>
      <c r="I123">
        <f t="shared" ca="1" si="5"/>
        <v>6</v>
      </c>
      <c r="J123" t="s">
        <v>1920</v>
      </c>
      <c r="K123">
        <f t="shared" ca="1" si="6"/>
        <v>40</v>
      </c>
      <c r="L123" t="s">
        <v>2659</v>
      </c>
      <c r="M123" t="s">
        <v>1920</v>
      </c>
      <c r="N123" s="1">
        <v>88653</v>
      </c>
      <c r="O123" s="49" t="s">
        <v>2656</v>
      </c>
      <c r="P123">
        <f t="shared" ca="1" si="7"/>
        <v>44</v>
      </c>
    </row>
    <row r="124" spans="1:16">
      <c r="A124" s="1">
        <v>88654</v>
      </c>
      <c r="B124" s="46">
        <v>90424</v>
      </c>
      <c r="C124" s="24">
        <v>844483</v>
      </c>
      <c r="D124" t="s">
        <v>532</v>
      </c>
      <c r="E124" t="str">
        <f t="shared" ca="1" si="4"/>
        <v>5S62DS88654-26</v>
      </c>
      <c r="I124">
        <f t="shared" ca="1" si="5"/>
        <v>5</v>
      </c>
      <c r="J124" t="s">
        <v>2350</v>
      </c>
      <c r="K124">
        <f t="shared" ca="1" si="6"/>
        <v>62</v>
      </c>
      <c r="L124" t="s">
        <v>2658</v>
      </c>
      <c r="M124" t="s">
        <v>2350</v>
      </c>
      <c r="N124" s="1">
        <v>88654</v>
      </c>
      <c r="O124" s="49" t="s">
        <v>2656</v>
      </c>
      <c r="P124">
        <f t="shared" ca="1" si="7"/>
        <v>26</v>
      </c>
    </row>
    <row r="125" spans="1:16">
      <c r="A125" s="1">
        <v>86978</v>
      </c>
      <c r="B125" s="46">
        <v>90421</v>
      </c>
      <c r="C125" s="24">
        <v>844483</v>
      </c>
      <c r="D125" t="s">
        <v>532</v>
      </c>
      <c r="E125" t="str">
        <f t="shared" ca="1" si="4"/>
        <v>7H70ET86978-68</v>
      </c>
      <c r="I125">
        <f t="shared" ca="1" si="5"/>
        <v>7</v>
      </c>
      <c r="J125" t="s">
        <v>2660</v>
      </c>
      <c r="K125">
        <f t="shared" ca="1" si="6"/>
        <v>70</v>
      </c>
      <c r="L125" t="s">
        <v>804</v>
      </c>
      <c r="M125" t="s">
        <v>2657</v>
      </c>
      <c r="N125" s="1">
        <v>86978</v>
      </c>
      <c r="O125" s="49" t="s">
        <v>2656</v>
      </c>
      <c r="P125">
        <f t="shared" ca="1" si="7"/>
        <v>68</v>
      </c>
    </row>
    <row r="126" spans="1:16">
      <c r="A126" s="1">
        <v>86979</v>
      </c>
      <c r="B126" s="46">
        <v>90937</v>
      </c>
      <c r="C126" s="24">
        <v>845320</v>
      </c>
      <c r="D126" t="s">
        <v>547</v>
      </c>
      <c r="E126" t="str">
        <f t="shared" ca="1" si="4"/>
        <v>7R93AR86979-44</v>
      </c>
      <c r="I126">
        <f t="shared" ca="1" si="5"/>
        <v>7</v>
      </c>
      <c r="J126" t="s">
        <v>1920</v>
      </c>
      <c r="K126">
        <f t="shared" ca="1" si="6"/>
        <v>93</v>
      </c>
      <c r="L126" t="s">
        <v>425</v>
      </c>
      <c r="M126" t="s">
        <v>1920</v>
      </c>
      <c r="N126" s="1">
        <v>86979</v>
      </c>
      <c r="O126" s="49" t="s">
        <v>2656</v>
      </c>
      <c r="P126">
        <f t="shared" ca="1" si="7"/>
        <v>44</v>
      </c>
    </row>
    <row r="127" spans="1:16">
      <c r="A127" s="1">
        <v>86975</v>
      </c>
      <c r="B127" s="46">
        <v>90936</v>
      </c>
      <c r="C127" s="24">
        <v>845320</v>
      </c>
      <c r="D127" t="s">
        <v>547</v>
      </c>
      <c r="E127" t="str">
        <f t="shared" ca="1" si="4"/>
        <v>7S89ES86975-89</v>
      </c>
      <c r="I127">
        <f t="shared" ca="1" si="5"/>
        <v>7</v>
      </c>
      <c r="J127" t="s">
        <v>2350</v>
      </c>
      <c r="K127">
        <f t="shared" ca="1" si="6"/>
        <v>89</v>
      </c>
      <c r="L127" t="s">
        <v>804</v>
      </c>
      <c r="M127" t="s">
        <v>2350</v>
      </c>
      <c r="N127" s="1">
        <v>86975</v>
      </c>
      <c r="O127" s="49" t="s">
        <v>2656</v>
      </c>
      <c r="P127">
        <f t="shared" ca="1" si="7"/>
        <v>89</v>
      </c>
    </row>
    <row r="128" spans="1:16">
      <c r="A128" s="1">
        <v>86977</v>
      </c>
      <c r="B128" s="46">
        <v>90958</v>
      </c>
      <c r="C128" s="24">
        <v>845643</v>
      </c>
      <c r="D128" t="s">
        <v>562</v>
      </c>
      <c r="E128" t="str">
        <f t="shared" ca="1" si="4"/>
        <v>1H35HT86977-67</v>
      </c>
      <c r="I128">
        <f t="shared" ca="1" si="5"/>
        <v>1</v>
      </c>
      <c r="J128" t="s">
        <v>2660</v>
      </c>
      <c r="K128">
        <f t="shared" ca="1" si="6"/>
        <v>35</v>
      </c>
      <c r="L128" t="s">
        <v>2660</v>
      </c>
      <c r="M128" t="s">
        <v>2657</v>
      </c>
      <c r="N128" s="1">
        <v>86977</v>
      </c>
      <c r="O128" s="49" t="s">
        <v>2656</v>
      </c>
      <c r="P128">
        <f t="shared" ca="1" si="7"/>
        <v>67</v>
      </c>
    </row>
    <row r="129" spans="1:16">
      <c r="A129" s="1">
        <v>86976</v>
      </c>
      <c r="B129" s="46">
        <v>90959</v>
      </c>
      <c r="C129" s="24">
        <v>845643</v>
      </c>
      <c r="D129" t="s">
        <v>562</v>
      </c>
      <c r="E129" t="str">
        <f t="shared" ca="1" si="4"/>
        <v>5R98ER86976-97</v>
      </c>
      <c r="I129">
        <f t="shared" ca="1" si="5"/>
        <v>5</v>
      </c>
      <c r="J129" t="s">
        <v>1920</v>
      </c>
      <c r="K129">
        <f t="shared" ca="1" si="6"/>
        <v>98</v>
      </c>
      <c r="L129" t="s">
        <v>804</v>
      </c>
      <c r="M129" t="s">
        <v>1920</v>
      </c>
      <c r="N129" s="1">
        <v>86976</v>
      </c>
      <c r="O129" s="49" t="s">
        <v>2656</v>
      </c>
      <c r="P129">
        <f t="shared" ca="1" si="7"/>
        <v>97</v>
      </c>
    </row>
    <row r="130" spans="1:16">
      <c r="A130" s="1">
        <v>86867</v>
      </c>
      <c r="B130" s="46">
        <v>76244</v>
      </c>
      <c r="C130" s="24">
        <v>840144</v>
      </c>
      <c r="D130" t="s">
        <v>572</v>
      </c>
      <c r="E130" t="str">
        <f t="shared" ca="1" si="4"/>
        <v>7S28DS86867-94</v>
      </c>
      <c r="I130">
        <f t="shared" ca="1" si="5"/>
        <v>7</v>
      </c>
      <c r="J130" t="s">
        <v>2350</v>
      </c>
      <c r="K130">
        <f t="shared" ca="1" si="6"/>
        <v>28</v>
      </c>
      <c r="L130" t="s">
        <v>2658</v>
      </c>
      <c r="M130" t="s">
        <v>2350</v>
      </c>
      <c r="N130" s="1">
        <v>86867</v>
      </c>
      <c r="O130" s="49" t="s">
        <v>2656</v>
      </c>
      <c r="P130">
        <f t="shared" ca="1" si="7"/>
        <v>94</v>
      </c>
    </row>
    <row r="131" spans="1:16">
      <c r="A131" s="1">
        <v>86868</v>
      </c>
      <c r="B131" s="46">
        <v>76243</v>
      </c>
      <c r="C131" s="24">
        <v>840144</v>
      </c>
      <c r="D131" t="s">
        <v>572</v>
      </c>
      <c r="E131" t="str">
        <f t="shared" ca="1" si="4"/>
        <v>9H24HT86868-84</v>
      </c>
      <c r="I131">
        <f t="shared" ca="1" si="5"/>
        <v>9</v>
      </c>
      <c r="J131" t="s">
        <v>2660</v>
      </c>
      <c r="K131">
        <f t="shared" ca="1" si="6"/>
        <v>24</v>
      </c>
      <c r="L131" t="s">
        <v>2660</v>
      </c>
      <c r="M131" t="s">
        <v>2657</v>
      </c>
      <c r="N131" s="1">
        <v>86868</v>
      </c>
      <c r="O131" s="49" t="s">
        <v>2656</v>
      </c>
      <c r="P131">
        <f t="shared" ca="1" si="7"/>
        <v>84</v>
      </c>
    </row>
    <row r="132" spans="1:16">
      <c r="A132" s="1">
        <v>86869</v>
      </c>
      <c r="B132" s="46">
        <v>87666</v>
      </c>
      <c r="C132" s="24">
        <v>844487</v>
      </c>
      <c r="D132" t="s">
        <v>582</v>
      </c>
      <c r="E132" t="str">
        <f t="shared" ca="1" si="4"/>
        <v>2R38IR86869-32</v>
      </c>
      <c r="I132">
        <f t="shared" ca="1" si="5"/>
        <v>2</v>
      </c>
      <c r="J132" t="s">
        <v>1920</v>
      </c>
      <c r="K132">
        <f t="shared" ca="1" si="6"/>
        <v>38</v>
      </c>
      <c r="L132" t="s">
        <v>304</v>
      </c>
      <c r="M132" t="s">
        <v>1920</v>
      </c>
      <c r="N132" s="1">
        <v>86869</v>
      </c>
      <c r="O132" s="49" t="s">
        <v>2656</v>
      </c>
      <c r="P132">
        <f t="shared" ca="1" si="7"/>
        <v>32</v>
      </c>
    </row>
    <row r="133" spans="1:16">
      <c r="A133" s="1">
        <v>86870</v>
      </c>
      <c r="B133" s="46">
        <v>87667</v>
      </c>
      <c r="C133" s="24">
        <v>844487</v>
      </c>
      <c r="D133" t="s">
        <v>582</v>
      </c>
      <c r="E133" t="str">
        <f t="shared" ca="1" si="4"/>
        <v>3S46GS86870-79</v>
      </c>
      <c r="I133">
        <f t="shared" ca="1" si="5"/>
        <v>3</v>
      </c>
      <c r="J133" t="s">
        <v>2350</v>
      </c>
      <c r="K133">
        <f t="shared" ca="1" si="6"/>
        <v>46</v>
      </c>
      <c r="L133" t="s">
        <v>2659</v>
      </c>
      <c r="M133" t="s">
        <v>2350</v>
      </c>
      <c r="N133" s="1">
        <v>86870</v>
      </c>
      <c r="O133" s="49" t="s">
        <v>2656</v>
      </c>
      <c r="P133">
        <f t="shared" ca="1" si="7"/>
        <v>79</v>
      </c>
    </row>
    <row r="134" spans="1:16">
      <c r="A134" s="1">
        <v>86871</v>
      </c>
      <c r="B134" s="46">
        <v>82590</v>
      </c>
      <c r="C134" s="24">
        <v>843009</v>
      </c>
      <c r="D134" t="s">
        <v>594</v>
      </c>
      <c r="E134" t="str">
        <f t="shared" ca="1" si="4"/>
        <v>6H89IT86871-82</v>
      </c>
      <c r="I134">
        <f t="shared" ca="1" si="5"/>
        <v>6</v>
      </c>
      <c r="J134" t="s">
        <v>2660</v>
      </c>
      <c r="K134">
        <f t="shared" ca="1" si="6"/>
        <v>89</v>
      </c>
      <c r="L134" t="s">
        <v>304</v>
      </c>
      <c r="M134" t="s">
        <v>2657</v>
      </c>
      <c r="N134" s="1">
        <v>86871</v>
      </c>
      <c r="O134" s="49" t="s">
        <v>2656</v>
      </c>
      <c r="P134">
        <f t="shared" ca="1" si="7"/>
        <v>82</v>
      </c>
    </row>
    <row r="135" spans="1:16">
      <c r="A135" s="1">
        <v>88522</v>
      </c>
      <c r="B135" s="46">
        <v>82592</v>
      </c>
      <c r="C135" s="24">
        <v>843009</v>
      </c>
      <c r="D135" t="s">
        <v>594</v>
      </c>
      <c r="E135" t="str">
        <f t="shared" ref="E135:E198" ca="1" si="8">CONCATENATE(I135,J135,K135,L135,M135,N135,O135,P135)</f>
        <v>9R16IR88522-53</v>
      </c>
      <c r="I135">
        <f t="shared" ref="I135:I198" ca="1" si="9">RANDBETWEEN(1,9)</f>
        <v>9</v>
      </c>
      <c r="J135" t="s">
        <v>1920</v>
      </c>
      <c r="K135">
        <f t="shared" ref="K135:K198" ca="1" si="10">RANDBETWEEN(10,99)</f>
        <v>16</v>
      </c>
      <c r="L135" t="s">
        <v>304</v>
      </c>
      <c r="M135" t="s">
        <v>1920</v>
      </c>
      <c r="N135" s="1">
        <v>88522</v>
      </c>
      <c r="O135" s="49" t="s">
        <v>2656</v>
      </c>
      <c r="P135">
        <f t="shared" ref="P135:P198" ca="1" si="11">RANDBETWEEN(10,99)</f>
        <v>53</v>
      </c>
    </row>
    <row r="136" spans="1:16">
      <c r="A136" s="1">
        <v>88523</v>
      </c>
      <c r="B136" s="46">
        <v>82591</v>
      </c>
      <c r="C136" s="24">
        <v>843009</v>
      </c>
      <c r="D136" t="s">
        <v>594</v>
      </c>
      <c r="E136" t="str">
        <f t="shared" ca="1" si="8"/>
        <v>7S22FS88523-69</v>
      </c>
      <c r="I136">
        <f t="shared" ca="1" si="9"/>
        <v>7</v>
      </c>
      <c r="J136" t="s">
        <v>2350</v>
      </c>
      <c r="K136">
        <f t="shared" ca="1" si="10"/>
        <v>22</v>
      </c>
      <c r="L136" t="s">
        <v>2661</v>
      </c>
      <c r="M136" t="s">
        <v>2350</v>
      </c>
      <c r="N136" s="1">
        <v>88523</v>
      </c>
      <c r="O136" s="49" t="s">
        <v>2656</v>
      </c>
      <c r="P136">
        <f t="shared" ca="1" si="11"/>
        <v>69</v>
      </c>
    </row>
    <row r="137" spans="1:16">
      <c r="A137" s="1">
        <v>88524</v>
      </c>
      <c r="B137" s="46">
        <v>90198</v>
      </c>
      <c r="C137" s="24">
        <v>845529</v>
      </c>
      <c r="D137" t="s">
        <v>602</v>
      </c>
      <c r="E137" t="str">
        <f t="shared" ca="1" si="8"/>
        <v>2H76CT88524-55</v>
      </c>
      <c r="I137">
        <f t="shared" ca="1" si="9"/>
        <v>2</v>
      </c>
      <c r="J137" t="s">
        <v>2660</v>
      </c>
      <c r="K137">
        <f t="shared" ca="1" si="10"/>
        <v>76</v>
      </c>
      <c r="L137" t="s">
        <v>689</v>
      </c>
      <c r="M137" t="s">
        <v>2657</v>
      </c>
      <c r="N137" s="1">
        <v>88524</v>
      </c>
      <c r="O137" s="49" t="s">
        <v>2656</v>
      </c>
      <c r="P137">
        <f t="shared" ca="1" si="11"/>
        <v>55</v>
      </c>
    </row>
    <row r="138" spans="1:16">
      <c r="A138" s="1">
        <v>89898</v>
      </c>
      <c r="B138" s="46">
        <v>90200</v>
      </c>
      <c r="C138" s="24">
        <v>845529</v>
      </c>
      <c r="D138" t="s">
        <v>602</v>
      </c>
      <c r="E138" t="str">
        <f t="shared" ca="1" si="8"/>
        <v>2R77ER89898-96</v>
      </c>
      <c r="I138">
        <f t="shared" ca="1" si="9"/>
        <v>2</v>
      </c>
      <c r="J138" t="s">
        <v>1920</v>
      </c>
      <c r="K138">
        <f t="shared" ca="1" si="10"/>
        <v>77</v>
      </c>
      <c r="L138" t="s">
        <v>804</v>
      </c>
      <c r="M138" t="s">
        <v>1920</v>
      </c>
      <c r="N138" s="1">
        <v>89898</v>
      </c>
      <c r="O138" s="49" t="s">
        <v>2656</v>
      </c>
      <c r="P138">
        <f t="shared" ca="1" si="11"/>
        <v>96</v>
      </c>
    </row>
    <row r="139" spans="1:16">
      <c r="A139" s="1">
        <v>89900</v>
      </c>
      <c r="B139" s="46">
        <v>90199</v>
      </c>
      <c r="C139" s="24">
        <v>845529</v>
      </c>
      <c r="D139" t="s">
        <v>602</v>
      </c>
      <c r="E139" t="str">
        <f t="shared" ca="1" si="8"/>
        <v>2S56FS89900-76</v>
      </c>
      <c r="I139">
        <f t="shared" ca="1" si="9"/>
        <v>2</v>
      </c>
      <c r="J139" t="s">
        <v>2350</v>
      </c>
      <c r="K139">
        <f t="shared" ca="1" si="10"/>
        <v>56</v>
      </c>
      <c r="L139" t="s">
        <v>2661</v>
      </c>
      <c r="M139" t="s">
        <v>2350</v>
      </c>
      <c r="N139" s="1">
        <v>89900</v>
      </c>
      <c r="O139" s="49" t="s">
        <v>2656</v>
      </c>
      <c r="P139">
        <f t="shared" ca="1" si="11"/>
        <v>76</v>
      </c>
    </row>
    <row r="140" spans="1:16">
      <c r="A140" s="1">
        <v>89899</v>
      </c>
      <c r="B140" s="46">
        <v>90193</v>
      </c>
      <c r="C140" s="24">
        <v>845534</v>
      </c>
      <c r="D140" t="s">
        <v>610</v>
      </c>
      <c r="E140" t="str">
        <f t="shared" ca="1" si="8"/>
        <v>6H51FT89899-28</v>
      </c>
      <c r="I140">
        <f t="shared" ca="1" si="9"/>
        <v>6</v>
      </c>
      <c r="J140" t="s">
        <v>2660</v>
      </c>
      <c r="K140">
        <f t="shared" ca="1" si="10"/>
        <v>51</v>
      </c>
      <c r="L140" t="s">
        <v>2661</v>
      </c>
      <c r="M140" t="s">
        <v>2657</v>
      </c>
      <c r="N140" s="1">
        <v>89899</v>
      </c>
      <c r="O140" s="49" t="s">
        <v>2656</v>
      </c>
      <c r="P140">
        <f t="shared" ca="1" si="11"/>
        <v>28</v>
      </c>
    </row>
    <row r="141" spans="1:16">
      <c r="A141" s="1">
        <v>84820</v>
      </c>
      <c r="B141" s="46">
        <v>90194</v>
      </c>
      <c r="C141" s="24">
        <v>845534</v>
      </c>
      <c r="D141" t="s">
        <v>610</v>
      </c>
      <c r="E141" t="str">
        <f t="shared" ca="1" si="8"/>
        <v>3R55BR84820-25</v>
      </c>
      <c r="I141">
        <f t="shared" ca="1" si="9"/>
        <v>3</v>
      </c>
      <c r="J141" t="s">
        <v>1920</v>
      </c>
      <c r="K141">
        <f t="shared" ca="1" si="10"/>
        <v>55</v>
      </c>
      <c r="L141" t="s">
        <v>954</v>
      </c>
      <c r="M141" t="s">
        <v>1920</v>
      </c>
      <c r="N141" s="1">
        <v>84820</v>
      </c>
      <c r="O141" s="49" t="s">
        <v>2656</v>
      </c>
      <c r="P141">
        <f t="shared" ca="1" si="11"/>
        <v>25</v>
      </c>
    </row>
    <row r="142" spans="1:16">
      <c r="A142" s="1">
        <v>84821</v>
      </c>
      <c r="B142" s="46">
        <v>90195</v>
      </c>
      <c r="C142" s="24">
        <v>845534</v>
      </c>
      <c r="D142" t="s">
        <v>610</v>
      </c>
      <c r="E142" t="str">
        <f t="shared" ca="1" si="8"/>
        <v>4S33FS84821-96</v>
      </c>
      <c r="I142">
        <f t="shared" ca="1" si="9"/>
        <v>4</v>
      </c>
      <c r="J142" t="s">
        <v>2350</v>
      </c>
      <c r="K142">
        <f t="shared" ca="1" si="10"/>
        <v>33</v>
      </c>
      <c r="L142" t="s">
        <v>2661</v>
      </c>
      <c r="M142" t="s">
        <v>2350</v>
      </c>
      <c r="N142" s="1">
        <v>84821</v>
      </c>
      <c r="O142" s="49" t="s">
        <v>2656</v>
      </c>
      <c r="P142">
        <f t="shared" ca="1" si="11"/>
        <v>96</v>
      </c>
    </row>
    <row r="143" spans="1:16">
      <c r="A143" s="1">
        <v>84819</v>
      </c>
      <c r="B143" s="46">
        <v>90893</v>
      </c>
      <c r="C143" s="24">
        <v>845659</v>
      </c>
      <c r="D143" t="s">
        <v>617</v>
      </c>
      <c r="E143" t="str">
        <f t="shared" ca="1" si="8"/>
        <v>9H97DT84819-65</v>
      </c>
      <c r="I143">
        <f t="shared" ca="1" si="9"/>
        <v>9</v>
      </c>
      <c r="J143" t="s">
        <v>2660</v>
      </c>
      <c r="K143">
        <f t="shared" ca="1" si="10"/>
        <v>97</v>
      </c>
      <c r="L143" t="s">
        <v>2658</v>
      </c>
      <c r="M143" t="s">
        <v>2657</v>
      </c>
      <c r="N143" s="1">
        <v>84819</v>
      </c>
      <c r="O143" s="49" t="s">
        <v>2656</v>
      </c>
      <c r="P143">
        <f t="shared" ca="1" si="11"/>
        <v>65</v>
      </c>
    </row>
    <row r="144" spans="1:16">
      <c r="A144" s="1">
        <v>77004</v>
      </c>
      <c r="B144" s="46">
        <v>90892</v>
      </c>
      <c r="C144" s="24">
        <v>845659</v>
      </c>
      <c r="D144" t="s">
        <v>617</v>
      </c>
      <c r="E144" t="str">
        <f t="shared" ca="1" si="8"/>
        <v>3R37IR77004-24</v>
      </c>
      <c r="I144">
        <f t="shared" ca="1" si="9"/>
        <v>3</v>
      </c>
      <c r="J144" t="s">
        <v>1920</v>
      </c>
      <c r="K144">
        <f t="shared" ca="1" si="10"/>
        <v>37</v>
      </c>
      <c r="L144" t="s">
        <v>304</v>
      </c>
      <c r="M144" t="s">
        <v>1920</v>
      </c>
      <c r="N144" s="1">
        <v>77004</v>
      </c>
      <c r="O144" s="49" t="s">
        <v>2656</v>
      </c>
      <c r="P144">
        <f t="shared" ca="1" si="11"/>
        <v>24</v>
      </c>
    </row>
    <row r="145" spans="1:16">
      <c r="A145" s="1">
        <v>77002</v>
      </c>
      <c r="B145" s="46">
        <v>90891</v>
      </c>
      <c r="C145" s="24">
        <v>845659</v>
      </c>
      <c r="D145" t="s">
        <v>617</v>
      </c>
      <c r="E145" t="str">
        <f t="shared" ca="1" si="8"/>
        <v>1S63HS77002-29</v>
      </c>
      <c r="I145">
        <f t="shared" ca="1" si="9"/>
        <v>1</v>
      </c>
      <c r="J145" t="s">
        <v>2350</v>
      </c>
      <c r="K145">
        <f t="shared" ca="1" si="10"/>
        <v>63</v>
      </c>
      <c r="L145" t="s">
        <v>2660</v>
      </c>
      <c r="M145" t="s">
        <v>2350</v>
      </c>
      <c r="N145" s="1">
        <v>77002</v>
      </c>
      <c r="O145" s="49" t="s">
        <v>2656</v>
      </c>
      <c r="P145">
        <f t="shared" ca="1" si="11"/>
        <v>29</v>
      </c>
    </row>
    <row r="146" spans="1:16">
      <c r="A146" s="1">
        <v>77003</v>
      </c>
      <c r="B146" s="46">
        <v>90894</v>
      </c>
      <c r="C146" s="24">
        <v>845659</v>
      </c>
      <c r="D146" t="s">
        <v>617</v>
      </c>
      <c r="E146" t="str">
        <f t="shared" ca="1" si="8"/>
        <v>2H67CT77003-38</v>
      </c>
      <c r="I146">
        <f t="shared" ca="1" si="9"/>
        <v>2</v>
      </c>
      <c r="J146" t="s">
        <v>2660</v>
      </c>
      <c r="K146">
        <f t="shared" ca="1" si="10"/>
        <v>67</v>
      </c>
      <c r="L146" t="s">
        <v>689</v>
      </c>
      <c r="M146" t="s">
        <v>2657</v>
      </c>
      <c r="N146" s="1">
        <v>77003</v>
      </c>
      <c r="O146" s="49" t="s">
        <v>2656</v>
      </c>
      <c r="P146">
        <f t="shared" ca="1" si="11"/>
        <v>38</v>
      </c>
    </row>
    <row r="147" spans="1:16">
      <c r="A147" s="1">
        <v>84479</v>
      </c>
      <c r="B147" s="46">
        <v>86452</v>
      </c>
      <c r="C147" s="24">
        <v>844703</v>
      </c>
      <c r="D147" t="s">
        <v>625</v>
      </c>
      <c r="E147" t="str">
        <f t="shared" ca="1" si="8"/>
        <v>9R58IR84479-36</v>
      </c>
      <c r="I147">
        <f t="shared" ca="1" si="9"/>
        <v>9</v>
      </c>
      <c r="J147" t="s">
        <v>1920</v>
      </c>
      <c r="K147">
        <f t="shared" ca="1" si="10"/>
        <v>58</v>
      </c>
      <c r="L147" t="s">
        <v>304</v>
      </c>
      <c r="M147" t="s">
        <v>1920</v>
      </c>
      <c r="N147" s="1">
        <v>84479</v>
      </c>
      <c r="O147" s="49" t="s">
        <v>2656</v>
      </c>
      <c r="P147">
        <f t="shared" ca="1" si="11"/>
        <v>36</v>
      </c>
    </row>
    <row r="148" spans="1:16">
      <c r="A148" s="1">
        <v>84480</v>
      </c>
      <c r="B148" s="46">
        <v>86455</v>
      </c>
      <c r="C148" s="24">
        <v>844703</v>
      </c>
      <c r="D148" t="s">
        <v>625</v>
      </c>
      <c r="E148" t="str">
        <f t="shared" ca="1" si="8"/>
        <v>9S27DS84480-19</v>
      </c>
      <c r="I148">
        <f t="shared" ca="1" si="9"/>
        <v>9</v>
      </c>
      <c r="J148" t="s">
        <v>2350</v>
      </c>
      <c r="K148">
        <f t="shared" ca="1" si="10"/>
        <v>27</v>
      </c>
      <c r="L148" t="s">
        <v>2658</v>
      </c>
      <c r="M148" t="s">
        <v>2350</v>
      </c>
      <c r="N148" s="1">
        <v>84480</v>
      </c>
      <c r="O148" s="49" t="s">
        <v>2656</v>
      </c>
      <c r="P148">
        <f t="shared" ca="1" si="11"/>
        <v>19</v>
      </c>
    </row>
    <row r="149" spans="1:16">
      <c r="A149" s="1">
        <v>84478</v>
      </c>
      <c r="B149" s="46">
        <v>86454</v>
      </c>
      <c r="C149" s="24">
        <v>844703</v>
      </c>
      <c r="D149" t="s">
        <v>625</v>
      </c>
      <c r="E149" t="str">
        <f t="shared" ca="1" si="8"/>
        <v>7H98AT84478-50</v>
      </c>
      <c r="I149">
        <f t="shared" ca="1" si="9"/>
        <v>7</v>
      </c>
      <c r="J149" t="s">
        <v>2660</v>
      </c>
      <c r="K149">
        <f t="shared" ca="1" si="10"/>
        <v>98</v>
      </c>
      <c r="L149" t="s">
        <v>425</v>
      </c>
      <c r="M149" t="s">
        <v>2657</v>
      </c>
      <c r="N149" s="1">
        <v>84478</v>
      </c>
      <c r="O149" s="49" t="s">
        <v>2656</v>
      </c>
      <c r="P149">
        <f t="shared" ca="1" si="11"/>
        <v>50</v>
      </c>
    </row>
    <row r="150" spans="1:16">
      <c r="A150" s="1">
        <v>84463</v>
      </c>
      <c r="B150" s="46">
        <v>86453</v>
      </c>
      <c r="C150" s="24">
        <v>844703</v>
      </c>
      <c r="D150" t="s">
        <v>625</v>
      </c>
      <c r="E150" t="str">
        <f t="shared" ca="1" si="8"/>
        <v>4R38BR84463-64</v>
      </c>
      <c r="I150">
        <f t="shared" ca="1" si="9"/>
        <v>4</v>
      </c>
      <c r="J150" t="s">
        <v>1920</v>
      </c>
      <c r="K150">
        <f t="shared" ca="1" si="10"/>
        <v>38</v>
      </c>
      <c r="L150" t="s">
        <v>954</v>
      </c>
      <c r="M150" t="s">
        <v>1920</v>
      </c>
      <c r="N150" s="1">
        <v>84463</v>
      </c>
      <c r="O150" s="49" t="s">
        <v>2656</v>
      </c>
      <c r="P150">
        <f t="shared" ca="1" si="11"/>
        <v>64</v>
      </c>
    </row>
    <row r="151" spans="1:16">
      <c r="A151" s="1">
        <v>84464</v>
      </c>
      <c r="B151" s="46">
        <v>85032</v>
      </c>
      <c r="C151" s="24">
        <v>843942</v>
      </c>
      <c r="D151" t="s">
        <v>633</v>
      </c>
      <c r="E151" t="str">
        <f t="shared" ca="1" si="8"/>
        <v>5C40HS84464-12</v>
      </c>
      <c r="I151">
        <f t="shared" ca="1" si="9"/>
        <v>5</v>
      </c>
      <c r="J151" t="s">
        <v>689</v>
      </c>
      <c r="K151">
        <f t="shared" ca="1" si="10"/>
        <v>40</v>
      </c>
      <c r="L151" t="s">
        <v>2660</v>
      </c>
      <c r="M151" t="s">
        <v>2350</v>
      </c>
      <c r="N151" s="1">
        <v>84464</v>
      </c>
      <c r="O151" s="49" t="s">
        <v>2656</v>
      </c>
      <c r="P151">
        <f t="shared" ca="1" si="11"/>
        <v>12</v>
      </c>
    </row>
    <row r="152" spans="1:16">
      <c r="A152" s="1">
        <v>84465</v>
      </c>
      <c r="B152" s="46">
        <v>85031</v>
      </c>
      <c r="C152" s="24">
        <v>843942</v>
      </c>
      <c r="D152" t="s">
        <v>633</v>
      </c>
      <c r="E152" t="str">
        <f t="shared" ca="1" si="8"/>
        <v>6D37ET84465-95</v>
      </c>
      <c r="I152">
        <f t="shared" ca="1" si="9"/>
        <v>6</v>
      </c>
      <c r="J152" t="s">
        <v>2658</v>
      </c>
      <c r="K152">
        <f t="shared" ca="1" si="10"/>
        <v>37</v>
      </c>
      <c r="L152" t="s">
        <v>804</v>
      </c>
      <c r="M152" t="s">
        <v>2657</v>
      </c>
      <c r="N152" s="1">
        <v>84465</v>
      </c>
      <c r="O152" s="49" t="s">
        <v>2656</v>
      </c>
      <c r="P152">
        <f t="shared" ca="1" si="11"/>
        <v>95</v>
      </c>
    </row>
    <row r="153" spans="1:16">
      <c r="A153" s="1">
        <v>84467</v>
      </c>
      <c r="B153" s="46">
        <v>85033</v>
      </c>
      <c r="C153" s="24">
        <v>843942</v>
      </c>
      <c r="D153" t="s">
        <v>633</v>
      </c>
      <c r="E153" t="str">
        <f t="shared" ca="1" si="8"/>
        <v>4B38DR84467-70</v>
      </c>
      <c r="I153">
        <f t="shared" ca="1" si="9"/>
        <v>4</v>
      </c>
      <c r="J153" t="s">
        <v>954</v>
      </c>
      <c r="K153">
        <f t="shared" ca="1" si="10"/>
        <v>38</v>
      </c>
      <c r="L153" t="s">
        <v>2658</v>
      </c>
      <c r="M153" t="s">
        <v>1920</v>
      </c>
      <c r="N153" s="1">
        <v>84467</v>
      </c>
      <c r="O153" s="49" t="s">
        <v>2656</v>
      </c>
      <c r="P153">
        <f t="shared" ca="1" si="11"/>
        <v>70</v>
      </c>
    </row>
    <row r="154" spans="1:16">
      <c r="A154" s="1">
        <v>84466</v>
      </c>
      <c r="B154" s="46">
        <v>84829</v>
      </c>
      <c r="C154" s="24">
        <v>841447</v>
      </c>
      <c r="D154" t="s">
        <v>643</v>
      </c>
      <c r="E154" t="str">
        <f t="shared" ca="1" si="8"/>
        <v>3C14BS84466-43</v>
      </c>
      <c r="I154">
        <f t="shared" ca="1" si="9"/>
        <v>3</v>
      </c>
      <c r="J154" t="s">
        <v>689</v>
      </c>
      <c r="K154">
        <f t="shared" ca="1" si="10"/>
        <v>14</v>
      </c>
      <c r="L154" t="s">
        <v>954</v>
      </c>
      <c r="M154" t="s">
        <v>2350</v>
      </c>
      <c r="N154" s="1">
        <v>84466</v>
      </c>
      <c r="O154" s="49" t="s">
        <v>2656</v>
      </c>
      <c r="P154">
        <f t="shared" ca="1" si="11"/>
        <v>43</v>
      </c>
    </row>
    <row r="155" spans="1:16">
      <c r="A155" s="1">
        <v>84468</v>
      </c>
      <c r="B155" s="46">
        <v>84830</v>
      </c>
      <c r="C155" s="24">
        <v>841447</v>
      </c>
      <c r="D155" t="s">
        <v>643</v>
      </c>
      <c r="E155" t="str">
        <f t="shared" ca="1" si="8"/>
        <v>2D49GT84468-85</v>
      </c>
      <c r="I155">
        <f t="shared" ca="1" si="9"/>
        <v>2</v>
      </c>
      <c r="J155" t="s">
        <v>2658</v>
      </c>
      <c r="K155">
        <f t="shared" ca="1" si="10"/>
        <v>49</v>
      </c>
      <c r="L155" t="s">
        <v>2659</v>
      </c>
      <c r="M155" t="s">
        <v>2657</v>
      </c>
      <c r="N155" s="1">
        <v>84468</v>
      </c>
      <c r="O155" s="49" t="s">
        <v>2656</v>
      </c>
      <c r="P155">
        <f t="shared" ca="1" si="11"/>
        <v>85</v>
      </c>
    </row>
    <row r="156" spans="1:16">
      <c r="A156" s="1">
        <v>84801</v>
      </c>
      <c r="B156" s="46">
        <v>84828</v>
      </c>
      <c r="C156" s="24">
        <v>841447</v>
      </c>
      <c r="D156" t="s">
        <v>643</v>
      </c>
      <c r="E156" t="str">
        <f t="shared" ca="1" si="8"/>
        <v>4B59HR84801-49</v>
      </c>
      <c r="I156">
        <f t="shared" ca="1" si="9"/>
        <v>4</v>
      </c>
      <c r="J156" t="s">
        <v>954</v>
      </c>
      <c r="K156">
        <f t="shared" ca="1" si="10"/>
        <v>59</v>
      </c>
      <c r="L156" t="s">
        <v>2660</v>
      </c>
      <c r="M156" t="s">
        <v>1920</v>
      </c>
      <c r="N156" s="1">
        <v>84801</v>
      </c>
      <c r="O156" s="49" t="s">
        <v>2656</v>
      </c>
      <c r="P156">
        <f t="shared" ca="1" si="11"/>
        <v>49</v>
      </c>
    </row>
    <row r="157" spans="1:16">
      <c r="A157" s="1">
        <v>84802</v>
      </c>
      <c r="B157" s="46">
        <v>85718</v>
      </c>
      <c r="C157" s="24">
        <v>844488</v>
      </c>
      <c r="D157" t="s">
        <v>650</v>
      </c>
      <c r="E157" t="str">
        <f t="shared" ca="1" si="8"/>
        <v>3C18HS84802-65</v>
      </c>
      <c r="I157">
        <f t="shared" ca="1" si="9"/>
        <v>3</v>
      </c>
      <c r="J157" t="s">
        <v>689</v>
      </c>
      <c r="K157">
        <f t="shared" ca="1" si="10"/>
        <v>18</v>
      </c>
      <c r="L157" t="s">
        <v>2660</v>
      </c>
      <c r="M157" t="s">
        <v>2350</v>
      </c>
      <c r="N157" s="1">
        <v>84802</v>
      </c>
      <c r="O157" s="49" t="s">
        <v>2656</v>
      </c>
      <c r="P157">
        <f t="shared" ca="1" si="11"/>
        <v>65</v>
      </c>
    </row>
    <row r="158" spans="1:16">
      <c r="A158" s="1">
        <v>84803</v>
      </c>
      <c r="B158" s="46">
        <v>85716</v>
      </c>
      <c r="C158" s="24">
        <v>844488</v>
      </c>
      <c r="D158" t="s">
        <v>650</v>
      </c>
      <c r="E158" t="str">
        <f t="shared" ca="1" si="8"/>
        <v>8D48IT84803-56</v>
      </c>
      <c r="I158">
        <f t="shared" ca="1" si="9"/>
        <v>8</v>
      </c>
      <c r="J158" t="s">
        <v>2658</v>
      </c>
      <c r="K158">
        <f t="shared" ca="1" si="10"/>
        <v>48</v>
      </c>
      <c r="L158" t="s">
        <v>304</v>
      </c>
      <c r="M158" t="s">
        <v>2657</v>
      </c>
      <c r="N158" s="1">
        <v>84803</v>
      </c>
      <c r="O158" s="49" t="s">
        <v>2656</v>
      </c>
      <c r="P158">
        <f t="shared" ca="1" si="11"/>
        <v>56</v>
      </c>
    </row>
    <row r="159" spans="1:16">
      <c r="A159" s="1">
        <v>77015</v>
      </c>
      <c r="B159" s="46">
        <v>85717</v>
      </c>
      <c r="C159" s="24">
        <v>844488</v>
      </c>
      <c r="D159" t="s">
        <v>650</v>
      </c>
      <c r="E159" t="str">
        <f t="shared" ca="1" si="8"/>
        <v>6B92HR77015-52</v>
      </c>
      <c r="I159">
        <f t="shared" ca="1" si="9"/>
        <v>6</v>
      </c>
      <c r="J159" t="s">
        <v>954</v>
      </c>
      <c r="K159">
        <f t="shared" ca="1" si="10"/>
        <v>92</v>
      </c>
      <c r="L159" t="s">
        <v>2660</v>
      </c>
      <c r="M159" t="s">
        <v>1920</v>
      </c>
      <c r="N159" s="1">
        <v>77015</v>
      </c>
      <c r="O159" s="49" t="s">
        <v>2656</v>
      </c>
      <c r="P159">
        <f t="shared" ca="1" si="11"/>
        <v>52</v>
      </c>
    </row>
    <row r="160" spans="1:16">
      <c r="A160" s="1">
        <v>77014</v>
      </c>
      <c r="B160" s="46">
        <v>90238</v>
      </c>
      <c r="C160" s="24">
        <v>843460</v>
      </c>
      <c r="D160" t="s">
        <v>657</v>
      </c>
      <c r="E160" t="str">
        <f t="shared" ca="1" si="8"/>
        <v>9C30AS77014-96</v>
      </c>
      <c r="I160">
        <f t="shared" ca="1" si="9"/>
        <v>9</v>
      </c>
      <c r="J160" t="s">
        <v>689</v>
      </c>
      <c r="K160">
        <f t="shared" ca="1" si="10"/>
        <v>30</v>
      </c>
      <c r="L160" t="s">
        <v>425</v>
      </c>
      <c r="M160" t="s">
        <v>2350</v>
      </c>
      <c r="N160" s="1">
        <v>77014</v>
      </c>
      <c r="O160" s="49" t="s">
        <v>2656</v>
      </c>
      <c r="P160">
        <f t="shared" ca="1" si="11"/>
        <v>96</v>
      </c>
    </row>
    <row r="161" spans="1:16">
      <c r="A161" s="1">
        <v>77016</v>
      </c>
      <c r="B161" s="46">
        <v>90239</v>
      </c>
      <c r="C161" s="24">
        <v>843460</v>
      </c>
      <c r="D161" t="s">
        <v>657</v>
      </c>
      <c r="E161" t="str">
        <f t="shared" ca="1" si="8"/>
        <v>8D50DT77016-30</v>
      </c>
      <c r="I161">
        <f t="shared" ca="1" si="9"/>
        <v>8</v>
      </c>
      <c r="J161" t="s">
        <v>2658</v>
      </c>
      <c r="K161">
        <f t="shared" ca="1" si="10"/>
        <v>50</v>
      </c>
      <c r="L161" t="s">
        <v>2658</v>
      </c>
      <c r="M161" t="s">
        <v>2657</v>
      </c>
      <c r="N161" s="1">
        <v>77016</v>
      </c>
      <c r="O161" s="49" t="s">
        <v>2656</v>
      </c>
      <c r="P161">
        <f t="shared" ca="1" si="11"/>
        <v>30</v>
      </c>
    </row>
    <row r="162" spans="1:16">
      <c r="A162" s="1">
        <v>86732</v>
      </c>
      <c r="B162" s="46">
        <v>90240</v>
      </c>
      <c r="C162" s="24">
        <v>843460</v>
      </c>
      <c r="D162" t="s">
        <v>657</v>
      </c>
      <c r="E162" t="str">
        <f t="shared" ca="1" si="8"/>
        <v>9B35CR86732-55</v>
      </c>
      <c r="I162">
        <f t="shared" ca="1" si="9"/>
        <v>9</v>
      </c>
      <c r="J162" t="s">
        <v>954</v>
      </c>
      <c r="K162">
        <f t="shared" ca="1" si="10"/>
        <v>35</v>
      </c>
      <c r="L162" t="s">
        <v>689</v>
      </c>
      <c r="M162" t="s">
        <v>1920</v>
      </c>
      <c r="N162" s="1">
        <v>86732</v>
      </c>
      <c r="O162" s="49" t="s">
        <v>2656</v>
      </c>
      <c r="P162">
        <f t="shared" ca="1" si="11"/>
        <v>55</v>
      </c>
    </row>
    <row r="163" spans="1:16">
      <c r="A163" s="1">
        <v>86731</v>
      </c>
      <c r="B163" s="46">
        <v>88653</v>
      </c>
      <c r="C163" s="24">
        <v>845295</v>
      </c>
      <c r="D163" t="s">
        <v>664</v>
      </c>
      <c r="E163" t="str">
        <f t="shared" ca="1" si="8"/>
        <v>8C97HS86731-80</v>
      </c>
      <c r="I163">
        <f t="shared" ca="1" si="9"/>
        <v>8</v>
      </c>
      <c r="J163" t="s">
        <v>689</v>
      </c>
      <c r="K163">
        <f t="shared" ca="1" si="10"/>
        <v>97</v>
      </c>
      <c r="L163" t="s">
        <v>2660</v>
      </c>
      <c r="M163" t="s">
        <v>2350</v>
      </c>
      <c r="N163" s="1">
        <v>86731</v>
      </c>
      <c r="O163" s="49" t="s">
        <v>2656</v>
      </c>
      <c r="P163">
        <f t="shared" ca="1" si="11"/>
        <v>80</v>
      </c>
    </row>
    <row r="164" spans="1:16">
      <c r="A164" s="1">
        <v>86774</v>
      </c>
      <c r="B164" s="46">
        <v>88654</v>
      </c>
      <c r="C164" s="24">
        <v>845295</v>
      </c>
      <c r="D164" t="s">
        <v>664</v>
      </c>
      <c r="E164" t="str">
        <f t="shared" ca="1" si="8"/>
        <v>1D28HT86774-24</v>
      </c>
      <c r="I164">
        <f t="shared" ca="1" si="9"/>
        <v>1</v>
      </c>
      <c r="J164" t="s">
        <v>2658</v>
      </c>
      <c r="K164">
        <f t="shared" ca="1" si="10"/>
        <v>28</v>
      </c>
      <c r="L164" t="s">
        <v>2660</v>
      </c>
      <c r="M164" t="s">
        <v>2657</v>
      </c>
      <c r="N164" s="1">
        <v>86774</v>
      </c>
      <c r="O164" s="49" t="s">
        <v>2656</v>
      </c>
      <c r="P164">
        <f t="shared" ca="1" si="11"/>
        <v>24</v>
      </c>
    </row>
    <row r="165" spans="1:16">
      <c r="A165" s="1">
        <v>86775</v>
      </c>
      <c r="B165" s="46">
        <v>86978</v>
      </c>
      <c r="C165" s="24">
        <v>842820</v>
      </c>
      <c r="D165" t="s">
        <v>679</v>
      </c>
      <c r="E165" t="str">
        <f t="shared" ca="1" si="8"/>
        <v>7B90IR86775-95</v>
      </c>
      <c r="I165">
        <f t="shared" ca="1" si="9"/>
        <v>7</v>
      </c>
      <c r="J165" t="s">
        <v>954</v>
      </c>
      <c r="K165">
        <f t="shared" ca="1" si="10"/>
        <v>90</v>
      </c>
      <c r="L165" t="s">
        <v>304</v>
      </c>
      <c r="M165" t="s">
        <v>1920</v>
      </c>
      <c r="N165" s="1">
        <v>86775</v>
      </c>
      <c r="O165" s="49" t="s">
        <v>2656</v>
      </c>
      <c r="P165">
        <f t="shared" ca="1" si="11"/>
        <v>95</v>
      </c>
    </row>
    <row r="166" spans="1:16">
      <c r="A166" s="1">
        <v>90826</v>
      </c>
      <c r="B166" s="46">
        <v>86979</v>
      </c>
      <c r="C166" s="24">
        <v>842820</v>
      </c>
      <c r="D166" t="s">
        <v>679</v>
      </c>
      <c r="E166" t="str">
        <f t="shared" ca="1" si="8"/>
        <v>6C96HS90826-72</v>
      </c>
      <c r="I166">
        <f t="shared" ca="1" si="9"/>
        <v>6</v>
      </c>
      <c r="J166" t="s">
        <v>689</v>
      </c>
      <c r="K166">
        <f t="shared" ca="1" si="10"/>
        <v>96</v>
      </c>
      <c r="L166" t="s">
        <v>2660</v>
      </c>
      <c r="M166" t="s">
        <v>2350</v>
      </c>
      <c r="N166" s="1">
        <v>90826</v>
      </c>
      <c r="O166" s="49" t="s">
        <v>2656</v>
      </c>
      <c r="P166">
        <f t="shared" ca="1" si="11"/>
        <v>72</v>
      </c>
    </row>
    <row r="167" spans="1:16">
      <c r="A167" s="1">
        <v>90825</v>
      </c>
      <c r="B167" s="46">
        <v>86975</v>
      </c>
      <c r="C167" s="24">
        <v>842820</v>
      </c>
      <c r="D167" t="s">
        <v>679</v>
      </c>
      <c r="E167" t="str">
        <f t="shared" ca="1" si="8"/>
        <v>6D26FT90825-90</v>
      </c>
      <c r="I167">
        <f t="shared" ca="1" si="9"/>
        <v>6</v>
      </c>
      <c r="J167" t="s">
        <v>2658</v>
      </c>
      <c r="K167">
        <f t="shared" ca="1" si="10"/>
        <v>26</v>
      </c>
      <c r="L167" t="s">
        <v>2661</v>
      </c>
      <c r="M167" t="s">
        <v>2657</v>
      </c>
      <c r="N167" s="1">
        <v>90825</v>
      </c>
      <c r="O167" s="49" t="s">
        <v>2656</v>
      </c>
      <c r="P167">
        <f t="shared" ca="1" si="11"/>
        <v>90</v>
      </c>
    </row>
    <row r="168" spans="1:16">
      <c r="A168" s="1">
        <v>89248</v>
      </c>
      <c r="B168" s="46">
        <v>86977</v>
      </c>
      <c r="C168" s="24">
        <v>842820</v>
      </c>
      <c r="D168" t="s">
        <v>679</v>
      </c>
      <c r="E168" t="str">
        <f t="shared" ca="1" si="8"/>
        <v>5B73FR89248-99</v>
      </c>
      <c r="I168">
        <f t="shared" ca="1" si="9"/>
        <v>5</v>
      </c>
      <c r="J168" t="s">
        <v>954</v>
      </c>
      <c r="K168">
        <f t="shared" ca="1" si="10"/>
        <v>73</v>
      </c>
      <c r="L168" t="s">
        <v>2661</v>
      </c>
      <c r="M168" t="s">
        <v>1920</v>
      </c>
      <c r="N168" s="1">
        <v>89248</v>
      </c>
      <c r="O168" s="49" t="s">
        <v>2656</v>
      </c>
      <c r="P168">
        <f t="shared" ca="1" si="11"/>
        <v>99</v>
      </c>
    </row>
    <row r="169" spans="1:16">
      <c r="A169" s="1">
        <v>89250</v>
      </c>
      <c r="B169" s="46">
        <v>86976</v>
      </c>
      <c r="C169" s="24">
        <v>842820</v>
      </c>
      <c r="D169" t="s">
        <v>679</v>
      </c>
      <c r="E169" t="str">
        <f t="shared" ca="1" si="8"/>
        <v>6C56DS89250-75</v>
      </c>
      <c r="I169">
        <f t="shared" ca="1" si="9"/>
        <v>6</v>
      </c>
      <c r="J169" t="s">
        <v>689</v>
      </c>
      <c r="K169">
        <f t="shared" ca="1" si="10"/>
        <v>56</v>
      </c>
      <c r="L169" t="s">
        <v>2658</v>
      </c>
      <c r="M169" t="s">
        <v>2350</v>
      </c>
      <c r="N169" s="1">
        <v>89250</v>
      </c>
      <c r="O169" s="49" t="s">
        <v>2656</v>
      </c>
      <c r="P169">
        <f t="shared" ca="1" si="11"/>
        <v>75</v>
      </c>
    </row>
    <row r="170" spans="1:16">
      <c r="A170" s="1">
        <v>89251</v>
      </c>
      <c r="B170" s="46">
        <v>86867</v>
      </c>
      <c r="C170" s="24">
        <v>844624</v>
      </c>
      <c r="D170" t="s">
        <v>687</v>
      </c>
      <c r="E170" t="str">
        <f t="shared" ca="1" si="8"/>
        <v>9D73CT89251-33</v>
      </c>
      <c r="I170">
        <f t="shared" ca="1" si="9"/>
        <v>9</v>
      </c>
      <c r="J170" t="s">
        <v>2658</v>
      </c>
      <c r="K170">
        <f t="shared" ca="1" si="10"/>
        <v>73</v>
      </c>
      <c r="L170" t="s">
        <v>689</v>
      </c>
      <c r="M170" t="s">
        <v>2657</v>
      </c>
      <c r="N170" s="1">
        <v>89251</v>
      </c>
      <c r="O170" s="49" t="s">
        <v>2656</v>
      </c>
      <c r="P170">
        <f t="shared" ca="1" si="11"/>
        <v>33</v>
      </c>
    </row>
    <row r="171" spans="1:16">
      <c r="A171" s="1">
        <v>89249</v>
      </c>
      <c r="B171" s="46">
        <v>86868</v>
      </c>
      <c r="C171" s="24">
        <v>844624</v>
      </c>
      <c r="D171" t="s">
        <v>687</v>
      </c>
      <c r="E171" t="str">
        <f t="shared" ca="1" si="8"/>
        <v>6B94DR89249-87</v>
      </c>
      <c r="I171">
        <f t="shared" ca="1" si="9"/>
        <v>6</v>
      </c>
      <c r="J171" t="s">
        <v>954</v>
      </c>
      <c r="K171">
        <f t="shared" ca="1" si="10"/>
        <v>94</v>
      </c>
      <c r="L171" t="s">
        <v>2658</v>
      </c>
      <c r="M171" t="s">
        <v>1920</v>
      </c>
      <c r="N171" s="1">
        <v>89249</v>
      </c>
      <c r="O171" s="49" t="s">
        <v>2656</v>
      </c>
      <c r="P171">
        <f t="shared" ca="1" si="11"/>
        <v>87</v>
      </c>
    </row>
    <row r="172" spans="1:16">
      <c r="A172" s="1">
        <v>89252</v>
      </c>
      <c r="B172" s="46">
        <v>86869</v>
      </c>
      <c r="C172" s="24">
        <v>844624</v>
      </c>
      <c r="D172" t="s">
        <v>687</v>
      </c>
      <c r="E172" t="str">
        <f t="shared" ca="1" si="8"/>
        <v>4C19IS89252-42</v>
      </c>
      <c r="I172">
        <f t="shared" ca="1" si="9"/>
        <v>4</v>
      </c>
      <c r="J172" t="s">
        <v>689</v>
      </c>
      <c r="K172">
        <f t="shared" ca="1" si="10"/>
        <v>19</v>
      </c>
      <c r="L172" t="s">
        <v>304</v>
      </c>
      <c r="M172" t="s">
        <v>2350</v>
      </c>
      <c r="N172" s="1">
        <v>89252</v>
      </c>
      <c r="O172" s="49" t="s">
        <v>2656</v>
      </c>
      <c r="P172">
        <f t="shared" ca="1" si="11"/>
        <v>42</v>
      </c>
    </row>
    <row r="173" spans="1:16">
      <c r="A173" s="1">
        <v>89814</v>
      </c>
      <c r="B173" s="46">
        <v>86870</v>
      </c>
      <c r="C173" s="24">
        <v>844624</v>
      </c>
      <c r="D173" t="s">
        <v>687</v>
      </c>
      <c r="E173" t="str">
        <f t="shared" ca="1" si="8"/>
        <v>1D59CT89814-36</v>
      </c>
      <c r="I173">
        <f t="shared" ca="1" si="9"/>
        <v>1</v>
      </c>
      <c r="J173" t="s">
        <v>2658</v>
      </c>
      <c r="K173">
        <f t="shared" ca="1" si="10"/>
        <v>59</v>
      </c>
      <c r="L173" t="s">
        <v>689</v>
      </c>
      <c r="M173" t="s">
        <v>2657</v>
      </c>
      <c r="N173" s="1">
        <v>89814</v>
      </c>
      <c r="O173" s="49" t="s">
        <v>2656</v>
      </c>
      <c r="P173">
        <f t="shared" ca="1" si="11"/>
        <v>36</v>
      </c>
    </row>
    <row r="174" spans="1:16">
      <c r="A174" s="1">
        <v>89815</v>
      </c>
      <c r="B174" s="46">
        <v>86871</v>
      </c>
      <c r="C174" s="24">
        <v>844624</v>
      </c>
      <c r="D174" t="s">
        <v>687</v>
      </c>
      <c r="E174" t="str">
        <f t="shared" ca="1" si="8"/>
        <v>4B84IR89815-70</v>
      </c>
      <c r="I174">
        <f t="shared" ca="1" si="9"/>
        <v>4</v>
      </c>
      <c r="J174" t="s">
        <v>954</v>
      </c>
      <c r="K174">
        <f t="shared" ca="1" si="10"/>
        <v>84</v>
      </c>
      <c r="L174" t="s">
        <v>304</v>
      </c>
      <c r="M174" t="s">
        <v>1920</v>
      </c>
      <c r="N174" s="1">
        <v>89815</v>
      </c>
      <c r="O174" s="49" t="s">
        <v>2656</v>
      </c>
      <c r="P174">
        <f t="shared" ca="1" si="11"/>
        <v>70</v>
      </c>
    </row>
    <row r="175" spans="1:16">
      <c r="A175" s="1">
        <v>89816</v>
      </c>
      <c r="B175" s="46">
        <v>88522</v>
      </c>
      <c r="C175" s="24">
        <v>844823</v>
      </c>
      <c r="D175" t="s">
        <v>698</v>
      </c>
      <c r="E175" t="str">
        <f t="shared" ca="1" si="8"/>
        <v>5C54BS89816-81</v>
      </c>
      <c r="I175">
        <f t="shared" ca="1" si="9"/>
        <v>5</v>
      </c>
      <c r="J175" t="s">
        <v>689</v>
      </c>
      <c r="K175">
        <f t="shared" ca="1" si="10"/>
        <v>54</v>
      </c>
      <c r="L175" t="s">
        <v>954</v>
      </c>
      <c r="M175" t="s">
        <v>2350</v>
      </c>
      <c r="N175" s="1">
        <v>89816</v>
      </c>
      <c r="O175" s="49" t="s">
        <v>2656</v>
      </c>
      <c r="P175">
        <f t="shared" ca="1" si="11"/>
        <v>81</v>
      </c>
    </row>
    <row r="176" spans="1:16">
      <c r="A176" s="1">
        <v>88993</v>
      </c>
      <c r="B176" s="46">
        <v>88523</v>
      </c>
      <c r="C176" s="24">
        <v>844823</v>
      </c>
      <c r="D176" t="s">
        <v>698</v>
      </c>
      <c r="E176" t="str">
        <f t="shared" ca="1" si="8"/>
        <v>6D72GT88993-14</v>
      </c>
      <c r="I176">
        <f t="shared" ca="1" si="9"/>
        <v>6</v>
      </c>
      <c r="J176" t="s">
        <v>2658</v>
      </c>
      <c r="K176">
        <f t="shared" ca="1" si="10"/>
        <v>72</v>
      </c>
      <c r="L176" t="s">
        <v>2659</v>
      </c>
      <c r="M176" t="s">
        <v>2657</v>
      </c>
      <c r="N176" s="1">
        <v>88993</v>
      </c>
      <c r="O176" s="49" t="s">
        <v>2656</v>
      </c>
      <c r="P176">
        <f t="shared" ca="1" si="11"/>
        <v>14</v>
      </c>
    </row>
    <row r="177" spans="1:16">
      <c r="A177" s="1">
        <v>88994</v>
      </c>
      <c r="B177" s="46">
        <v>88524</v>
      </c>
      <c r="C177" s="24">
        <v>844823</v>
      </c>
      <c r="D177" t="s">
        <v>698</v>
      </c>
      <c r="E177" t="str">
        <f t="shared" ca="1" si="8"/>
        <v>3B50FR88994-88</v>
      </c>
      <c r="I177">
        <f t="shared" ca="1" si="9"/>
        <v>3</v>
      </c>
      <c r="J177" t="s">
        <v>954</v>
      </c>
      <c r="K177">
        <f t="shared" ca="1" si="10"/>
        <v>50</v>
      </c>
      <c r="L177" t="s">
        <v>2661</v>
      </c>
      <c r="M177" t="s">
        <v>1920</v>
      </c>
      <c r="N177" s="1">
        <v>88994</v>
      </c>
      <c r="O177" s="49" t="s">
        <v>2656</v>
      </c>
      <c r="P177">
        <f t="shared" ca="1" si="11"/>
        <v>88</v>
      </c>
    </row>
    <row r="178" spans="1:16">
      <c r="A178" s="1">
        <v>88995</v>
      </c>
      <c r="B178" s="46">
        <v>89898</v>
      </c>
      <c r="C178" s="24">
        <v>844654</v>
      </c>
      <c r="D178" t="s">
        <v>707</v>
      </c>
      <c r="E178" t="str">
        <f t="shared" ca="1" si="8"/>
        <v>2C95DS88995-46</v>
      </c>
      <c r="I178">
        <f t="shared" ca="1" si="9"/>
        <v>2</v>
      </c>
      <c r="J178" t="s">
        <v>689</v>
      </c>
      <c r="K178">
        <f t="shared" ca="1" si="10"/>
        <v>95</v>
      </c>
      <c r="L178" t="s">
        <v>2658</v>
      </c>
      <c r="M178" t="s">
        <v>2350</v>
      </c>
      <c r="N178" s="1">
        <v>88995</v>
      </c>
      <c r="O178" s="49" t="s">
        <v>2656</v>
      </c>
      <c r="P178">
        <f t="shared" ca="1" si="11"/>
        <v>46</v>
      </c>
    </row>
    <row r="179" spans="1:16">
      <c r="A179" s="1">
        <v>89615</v>
      </c>
      <c r="B179" s="46">
        <v>89900</v>
      </c>
      <c r="C179" s="24">
        <v>844654</v>
      </c>
      <c r="D179" t="s">
        <v>707</v>
      </c>
      <c r="E179" t="str">
        <f t="shared" ca="1" si="8"/>
        <v>5D79FT89615-10</v>
      </c>
      <c r="I179">
        <f t="shared" ca="1" si="9"/>
        <v>5</v>
      </c>
      <c r="J179" t="s">
        <v>2658</v>
      </c>
      <c r="K179">
        <f t="shared" ca="1" si="10"/>
        <v>79</v>
      </c>
      <c r="L179" t="s">
        <v>2661</v>
      </c>
      <c r="M179" t="s">
        <v>2657</v>
      </c>
      <c r="N179" s="1">
        <v>89615</v>
      </c>
      <c r="O179" s="49" t="s">
        <v>2656</v>
      </c>
      <c r="P179">
        <f t="shared" ca="1" si="11"/>
        <v>10</v>
      </c>
    </row>
    <row r="180" spans="1:16">
      <c r="A180" s="1">
        <v>89616</v>
      </c>
      <c r="B180" s="46">
        <v>89899</v>
      </c>
      <c r="C180" s="24">
        <v>844654</v>
      </c>
      <c r="D180" t="s">
        <v>707</v>
      </c>
      <c r="E180" t="str">
        <f t="shared" ca="1" si="8"/>
        <v>2B44HR89616-78</v>
      </c>
      <c r="I180">
        <f t="shared" ca="1" si="9"/>
        <v>2</v>
      </c>
      <c r="J180" t="s">
        <v>954</v>
      </c>
      <c r="K180">
        <f t="shared" ca="1" si="10"/>
        <v>44</v>
      </c>
      <c r="L180" t="s">
        <v>2660</v>
      </c>
      <c r="M180" t="s">
        <v>1920</v>
      </c>
      <c r="N180" s="1">
        <v>89616</v>
      </c>
      <c r="O180" s="49" t="s">
        <v>2656</v>
      </c>
      <c r="P180">
        <f t="shared" ca="1" si="11"/>
        <v>78</v>
      </c>
    </row>
    <row r="181" spans="1:16">
      <c r="A181" s="1">
        <v>89617</v>
      </c>
      <c r="B181" s="46">
        <v>84820</v>
      </c>
      <c r="C181" s="24">
        <v>842307</v>
      </c>
      <c r="D181" t="s">
        <v>714</v>
      </c>
      <c r="E181" t="str">
        <f t="shared" ca="1" si="8"/>
        <v>8C30ES89617-73</v>
      </c>
      <c r="I181">
        <f t="shared" ca="1" si="9"/>
        <v>8</v>
      </c>
      <c r="J181" t="s">
        <v>689</v>
      </c>
      <c r="K181">
        <f t="shared" ca="1" si="10"/>
        <v>30</v>
      </c>
      <c r="L181" t="s">
        <v>804</v>
      </c>
      <c r="M181" t="s">
        <v>2350</v>
      </c>
      <c r="N181" s="1">
        <v>89617</v>
      </c>
      <c r="O181" s="49" t="s">
        <v>2656</v>
      </c>
      <c r="P181">
        <f t="shared" ca="1" si="11"/>
        <v>73</v>
      </c>
    </row>
    <row r="182" spans="1:16">
      <c r="A182" s="1">
        <v>89342</v>
      </c>
      <c r="B182" s="46">
        <v>84821</v>
      </c>
      <c r="C182" s="24">
        <v>842307</v>
      </c>
      <c r="D182" t="s">
        <v>714</v>
      </c>
      <c r="E182" t="str">
        <f t="shared" ca="1" si="8"/>
        <v>9D70HT89342-78</v>
      </c>
      <c r="I182">
        <f t="shared" ca="1" si="9"/>
        <v>9</v>
      </c>
      <c r="J182" t="s">
        <v>2658</v>
      </c>
      <c r="K182">
        <f t="shared" ca="1" si="10"/>
        <v>70</v>
      </c>
      <c r="L182" t="s">
        <v>2660</v>
      </c>
      <c r="M182" t="s">
        <v>2657</v>
      </c>
      <c r="N182" s="1">
        <v>89342</v>
      </c>
      <c r="O182" s="49" t="s">
        <v>2656</v>
      </c>
      <c r="P182">
        <f t="shared" ca="1" si="11"/>
        <v>78</v>
      </c>
    </row>
    <row r="183" spans="1:16">
      <c r="A183" s="1">
        <v>89341</v>
      </c>
      <c r="B183" s="46">
        <v>84819</v>
      </c>
      <c r="C183" s="24">
        <v>842307</v>
      </c>
      <c r="D183" t="s">
        <v>714</v>
      </c>
      <c r="E183" t="str">
        <f t="shared" ca="1" si="8"/>
        <v>8B58GR89341-42</v>
      </c>
      <c r="I183">
        <f t="shared" ca="1" si="9"/>
        <v>8</v>
      </c>
      <c r="J183" t="s">
        <v>954</v>
      </c>
      <c r="K183">
        <f t="shared" ca="1" si="10"/>
        <v>58</v>
      </c>
      <c r="L183" t="s">
        <v>2659</v>
      </c>
      <c r="M183" t="s">
        <v>1920</v>
      </c>
      <c r="N183" s="1">
        <v>89341</v>
      </c>
      <c r="O183" s="49" t="s">
        <v>2656</v>
      </c>
      <c r="P183">
        <f t="shared" ca="1" si="11"/>
        <v>42</v>
      </c>
    </row>
    <row r="184" spans="1:16">
      <c r="A184" s="1">
        <v>88712</v>
      </c>
      <c r="B184" s="46">
        <v>77004</v>
      </c>
      <c r="C184" s="24">
        <v>839341</v>
      </c>
      <c r="D184" t="s">
        <v>724</v>
      </c>
      <c r="E184" t="str">
        <f t="shared" ca="1" si="8"/>
        <v>5C75DS88712-28</v>
      </c>
      <c r="I184">
        <f t="shared" ca="1" si="9"/>
        <v>5</v>
      </c>
      <c r="J184" t="s">
        <v>689</v>
      </c>
      <c r="K184">
        <f t="shared" ca="1" si="10"/>
        <v>75</v>
      </c>
      <c r="L184" t="s">
        <v>2658</v>
      </c>
      <c r="M184" t="s">
        <v>2350</v>
      </c>
      <c r="N184" s="1">
        <v>88712</v>
      </c>
      <c r="O184" s="49" t="s">
        <v>2656</v>
      </c>
      <c r="P184">
        <f t="shared" ca="1" si="11"/>
        <v>28</v>
      </c>
    </row>
    <row r="185" spans="1:16">
      <c r="A185" s="1">
        <v>88713</v>
      </c>
      <c r="B185" s="46">
        <v>77002</v>
      </c>
      <c r="C185" s="24">
        <v>839341</v>
      </c>
      <c r="D185" t="s">
        <v>724</v>
      </c>
      <c r="E185" t="str">
        <f t="shared" ca="1" si="8"/>
        <v>9D43AT88713-38</v>
      </c>
      <c r="I185">
        <f t="shared" ca="1" si="9"/>
        <v>9</v>
      </c>
      <c r="J185" t="s">
        <v>2658</v>
      </c>
      <c r="K185">
        <f t="shared" ca="1" si="10"/>
        <v>43</v>
      </c>
      <c r="L185" t="s">
        <v>425</v>
      </c>
      <c r="M185" t="s">
        <v>2657</v>
      </c>
      <c r="N185" s="1">
        <v>88713</v>
      </c>
      <c r="O185" s="49" t="s">
        <v>2656</v>
      </c>
      <c r="P185">
        <f t="shared" ca="1" si="11"/>
        <v>38</v>
      </c>
    </row>
    <row r="186" spans="1:16">
      <c r="A186" s="1">
        <v>88714</v>
      </c>
      <c r="B186" s="46">
        <v>77003</v>
      </c>
      <c r="C186" s="24">
        <v>839341</v>
      </c>
      <c r="D186" t="s">
        <v>724</v>
      </c>
      <c r="E186" t="str">
        <f t="shared" ca="1" si="8"/>
        <v>6B18CR88714-89</v>
      </c>
      <c r="I186">
        <f t="shared" ca="1" si="9"/>
        <v>6</v>
      </c>
      <c r="J186" t="s">
        <v>954</v>
      </c>
      <c r="K186">
        <f t="shared" ca="1" si="10"/>
        <v>18</v>
      </c>
      <c r="L186" t="s">
        <v>689</v>
      </c>
      <c r="M186" t="s">
        <v>1920</v>
      </c>
      <c r="N186" s="1">
        <v>88714</v>
      </c>
      <c r="O186" s="49" t="s">
        <v>2656</v>
      </c>
      <c r="P186">
        <f t="shared" ca="1" si="11"/>
        <v>89</v>
      </c>
    </row>
    <row r="187" spans="1:16">
      <c r="A187" s="1">
        <v>86702</v>
      </c>
      <c r="B187" s="46">
        <v>84479</v>
      </c>
      <c r="C187" s="24">
        <v>843359</v>
      </c>
      <c r="D187" t="s">
        <v>737</v>
      </c>
      <c r="E187" t="str">
        <f t="shared" ca="1" si="8"/>
        <v>8C36ES86702-86</v>
      </c>
      <c r="I187">
        <f t="shared" ca="1" si="9"/>
        <v>8</v>
      </c>
      <c r="J187" t="s">
        <v>689</v>
      </c>
      <c r="K187">
        <f t="shared" ca="1" si="10"/>
        <v>36</v>
      </c>
      <c r="L187" t="s">
        <v>804</v>
      </c>
      <c r="M187" t="s">
        <v>2350</v>
      </c>
      <c r="N187" s="1">
        <v>86702</v>
      </c>
      <c r="O187" s="49" t="s">
        <v>2656</v>
      </c>
      <c r="P187">
        <f t="shared" ca="1" si="11"/>
        <v>86</v>
      </c>
    </row>
    <row r="188" spans="1:16">
      <c r="A188" s="1">
        <v>86703</v>
      </c>
      <c r="B188" s="46">
        <v>84480</v>
      </c>
      <c r="C188" s="24">
        <v>843359</v>
      </c>
      <c r="D188" t="s">
        <v>737</v>
      </c>
      <c r="E188" t="str">
        <f t="shared" ca="1" si="8"/>
        <v>8D31BT86703-12</v>
      </c>
      <c r="I188">
        <f t="shared" ca="1" si="9"/>
        <v>8</v>
      </c>
      <c r="J188" t="s">
        <v>2658</v>
      </c>
      <c r="K188">
        <f t="shared" ca="1" si="10"/>
        <v>31</v>
      </c>
      <c r="L188" t="s">
        <v>954</v>
      </c>
      <c r="M188" t="s">
        <v>2657</v>
      </c>
      <c r="N188" s="1">
        <v>86703</v>
      </c>
      <c r="O188" s="49" t="s">
        <v>2656</v>
      </c>
      <c r="P188">
        <f t="shared" ca="1" si="11"/>
        <v>12</v>
      </c>
    </row>
    <row r="189" spans="1:16">
      <c r="A189" s="1">
        <v>86704</v>
      </c>
      <c r="B189" s="46">
        <v>84478</v>
      </c>
      <c r="C189" s="24">
        <v>843359</v>
      </c>
      <c r="D189" t="s">
        <v>737</v>
      </c>
      <c r="E189" t="str">
        <f t="shared" ca="1" si="8"/>
        <v>7B75HR86704-29</v>
      </c>
      <c r="I189">
        <f t="shared" ca="1" si="9"/>
        <v>7</v>
      </c>
      <c r="J189" t="s">
        <v>954</v>
      </c>
      <c r="K189">
        <f t="shared" ca="1" si="10"/>
        <v>75</v>
      </c>
      <c r="L189" t="s">
        <v>2660</v>
      </c>
      <c r="M189" t="s">
        <v>1920</v>
      </c>
      <c r="N189" s="1">
        <v>86704</v>
      </c>
      <c r="O189" s="49" t="s">
        <v>2656</v>
      </c>
      <c r="P189">
        <f t="shared" ca="1" si="11"/>
        <v>29</v>
      </c>
    </row>
    <row r="190" spans="1:16">
      <c r="A190" s="1">
        <v>86705</v>
      </c>
      <c r="B190" s="46">
        <v>84463</v>
      </c>
      <c r="C190" s="24">
        <v>843355</v>
      </c>
      <c r="D190" t="s">
        <v>746</v>
      </c>
      <c r="E190" t="str">
        <f t="shared" ca="1" si="8"/>
        <v>7C51IS86705-63</v>
      </c>
      <c r="I190">
        <f t="shared" ca="1" si="9"/>
        <v>7</v>
      </c>
      <c r="J190" t="s">
        <v>689</v>
      </c>
      <c r="K190">
        <f t="shared" ca="1" si="10"/>
        <v>51</v>
      </c>
      <c r="L190" t="s">
        <v>304</v>
      </c>
      <c r="M190" t="s">
        <v>2350</v>
      </c>
      <c r="N190" s="1">
        <v>86705</v>
      </c>
      <c r="O190" s="49" t="s">
        <v>2656</v>
      </c>
      <c r="P190">
        <f t="shared" ca="1" si="11"/>
        <v>63</v>
      </c>
    </row>
    <row r="191" spans="1:16">
      <c r="A191" s="1">
        <v>85444</v>
      </c>
      <c r="B191" s="46">
        <v>84464</v>
      </c>
      <c r="C191" s="24">
        <v>843355</v>
      </c>
      <c r="D191" t="s">
        <v>746</v>
      </c>
      <c r="E191" t="str">
        <f t="shared" ca="1" si="8"/>
        <v>4D77CT85444-56</v>
      </c>
      <c r="I191">
        <f t="shared" ca="1" si="9"/>
        <v>4</v>
      </c>
      <c r="J191" t="s">
        <v>2658</v>
      </c>
      <c r="K191">
        <f t="shared" ca="1" si="10"/>
        <v>77</v>
      </c>
      <c r="L191" t="s">
        <v>689</v>
      </c>
      <c r="M191" t="s">
        <v>2657</v>
      </c>
      <c r="N191" s="1">
        <v>85444</v>
      </c>
      <c r="O191" s="49" t="s">
        <v>2656</v>
      </c>
      <c r="P191">
        <f t="shared" ca="1" si="11"/>
        <v>56</v>
      </c>
    </row>
    <row r="192" spans="1:16">
      <c r="A192" s="1">
        <v>85445</v>
      </c>
      <c r="B192" s="46">
        <v>84465</v>
      </c>
      <c r="C192" s="24">
        <v>843355</v>
      </c>
      <c r="D192" t="s">
        <v>746</v>
      </c>
      <c r="E192" t="str">
        <f t="shared" ca="1" si="8"/>
        <v>1B45IR85445-70</v>
      </c>
      <c r="I192">
        <f t="shared" ca="1" si="9"/>
        <v>1</v>
      </c>
      <c r="J192" t="s">
        <v>954</v>
      </c>
      <c r="K192">
        <f t="shared" ca="1" si="10"/>
        <v>45</v>
      </c>
      <c r="L192" t="s">
        <v>304</v>
      </c>
      <c r="M192" t="s">
        <v>1920</v>
      </c>
      <c r="N192" s="1">
        <v>85445</v>
      </c>
      <c r="O192" s="49" t="s">
        <v>2656</v>
      </c>
      <c r="P192">
        <f t="shared" ca="1" si="11"/>
        <v>70</v>
      </c>
    </row>
    <row r="193" spans="1:16">
      <c r="A193" s="1">
        <v>85446</v>
      </c>
      <c r="B193" s="46">
        <v>84467</v>
      </c>
      <c r="C193" s="24">
        <v>843357</v>
      </c>
      <c r="D193" t="s">
        <v>754</v>
      </c>
      <c r="E193" t="str">
        <f t="shared" ca="1" si="8"/>
        <v>2C34HS85446-98</v>
      </c>
      <c r="I193">
        <f t="shared" ca="1" si="9"/>
        <v>2</v>
      </c>
      <c r="J193" t="s">
        <v>689</v>
      </c>
      <c r="K193">
        <f t="shared" ca="1" si="10"/>
        <v>34</v>
      </c>
      <c r="L193" t="s">
        <v>2660</v>
      </c>
      <c r="M193" t="s">
        <v>2350</v>
      </c>
      <c r="N193" s="1">
        <v>85446</v>
      </c>
      <c r="O193" s="49" t="s">
        <v>2656</v>
      </c>
      <c r="P193">
        <f t="shared" ca="1" si="11"/>
        <v>98</v>
      </c>
    </row>
    <row r="194" spans="1:16">
      <c r="A194" s="1">
        <v>85452</v>
      </c>
      <c r="B194" s="46">
        <v>84466</v>
      </c>
      <c r="C194" s="24">
        <v>843357</v>
      </c>
      <c r="D194" t="s">
        <v>754</v>
      </c>
      <c r="E194" t="str">
        <f t="shared" ca="1" si="8"/>
        <v>9D70IT85452-23</v>
      </c>
      <c r="I194">
        <f t="shared" ca="1" si="9"/>
        <v>9</v>
      </c>
      <c r="J194" t="s">
        <v>2658</v>
      </c>
      <c r="K194">
        <f t="shared" ca="1" si="10"/>
        <v>70</v>
      </c>
      <c r="L194" t="s">
        <v>304</v>
      </c>
      <c r="M194" t="s">
        <v>2657</v>
      </c>
      <c r="N194" s="1">
        <v>85452</v>
      </c>
      <c r="O194" s="49" t="s">
        <v>2656</v>
      </c>
      <c r="P194">
        <f t="shared" ca="1" si="11"/>
        <v>23</v>
      </c>
    </row>
    <row r="195" spans="1:16">
      <c r="A195" s="1">
        <v>85451</v>
      </c>
      <c r="B195" s="46">
        <v>84468</v>
      </c>
      <c r="C195" s="24">
        <v>843357</v>
      </c>
      <c r="D195" t="s">
        <v>754</v>
      </c>
      <c r="E195" t="str">
        <f t="shared" ca="1" si="8"/>
        <v>7B45HR85451-63</v>
      </c>
      <c r="I195">
        <f t="shared" ca="1" si="9"/>
        <v>7</v>
      </c>
      <c r="J195" t="s">
        <v>954</v>
      </c>
      <c r="K195">
        <f t="shared" ca="1" si="10"/>
        <v>45</v>
      </c>
      <c r="L195" t="s">
        <v>2660</v>
      </c>
      <c r="M195" t="s">
        <v>1920</v>
      </c>
      <c r="N195" s="1">
        <v>85451</v>
      </c>
      <c r="O195" s="49" t="s">
        <v>2656</v>
      </c>
      <c r="P195">
        <f t="shared" ca="1" si="11"/>
        <v>63</v>
      </c>
    </row>
    <row r="196" spans="1:16">
      <c r="A196" s="1">
        <v>85453</v>
      </c>
      <c r="B196" s="46">
        <v>84801</v>
      </c>
      <c r="C196" s="24">
        <v>842311</v>
      </c>
      <c r="D196" t="s">
        <v>763</v>
      </c>
      <c r="E196" t="str">
        <f t="shared" ca="1" si="8"/>
        <v>3C31ES85453-61</v>
      </c>
      <c r="I196">
        <f t="shared" ca="1" si="9"/>
        <v>3</v>
      </c>
      <c r="J196" t="s">
        <v>689</v>
      </c>
      <c r="K196">
        <f t="shared" ca="1" si="10"/>
        <v>31</v>
      </c>
      <c r="L196" t="s">
        <v>804</v>
      </c>
      <c r="M196" t="s">
        <v>2350</v>
      </c>
      <c r="N196" s="1">
        <v>85453</v>
      </c>
      <c r="O196" s="49" t="s">
        <v>2656</v>
      </c>
      <c r="P196">
        <f t="shared" ca="1" si="11"/>
        <v>61</v>
      </c>
    </row>
    <row r="197" spans="1:16">
      <c r="A197" s="1">
        <v>87215</v>
      </c>
      <c r="B197" s="46">
        <v>84802</v>
      </c>
      <c r="C197" s="24">
        <v>842311</v>
      </c>
      <c r="D197" t="s">
        <v>763</v>
      </c>
      <c r="E197" t="str">
        <f t="shared" ca="1" si="8"/>
        <v>1D59GT87215-13</v>
      </c>
      <c r="I197">
        <f t="shared" ca="1" si="9"/>
        <v>1</v>
      </c>
      <c r="J197" t="s">
        <v>2658</v>
      </c>
      <c r="K197">
        <f t="shared" ca="1" si="10"/>
        <v>59</v>
      </c>
      <c r="L197" t="s">
        <v>2659</v>
      </c>
      <c r="M197" t="s">
        <v>2657</v>
      </c>
      <c r="N197" s="1">
        <v>87215</v>
      </c>
      <c r="O197" s="49" t="s">
        <v>2656</v>
      </c>
      <c r="P197">
        <f t="shared" ca="1" si="11"/>
        <v>13</v>
      </c>
    </row>
    <row r="198" spans="1:16">
      <c r="A198" s="1">
        <v>87216</v>
      </c>
      <c r="B198" s="46">
        <v>84803</v>
      </c>
      <c r="C198" s="24">
        <v>842311</v>
      </c>
      <c r="D198" t="s">
        <v>763</v>
      </c>
      <c r="E198" t="str">
        <f t="shared" ca="1" si="8"/>
        <v>9B58DR87216-14</v>
      </c>
      <c r="I198">
        <f t="shared" ca="1" si="9"/>
        <v>9</v>
      </c>
      <c r="J198" t="s">
        <v>954</v>
      </c>
      <c r="K198">
        <f t="shared" ca="1" si="10"/>
        <v>58</v>
      </c>
      <c r="L198" t="s">
        <v>2658</v>
      </c>
      <c r="M198" t="s">
        <v>1920</v>
      </c>
      <c r="N198" s="1">
        <v>87216</v>
      </c>
      <c r="O198" s="49" t="s">
        <v>2656</v>
      </c>
      <c r="P198">
        <f t="shared" ca="1" si="11"/>
        <v>14</v>
      </c>
    </row>
    <row r="199" spans="1:16">
      <c r="A199" s="1">
        <v>87217</v>
      </c>
      <c r="B199" s="46">
        <v>77015</v>
      </c>
      <c r="C199" s="24">
        <v>840584</v>
      </c>
      <c r="D199" t="s">
        <v>778</v>
      </c>
      <c r="E199" t="str">
        <f t="shared" ref="E199:E262" ca="1" si="12">CONCATENATE(I199,J199,K199,L199,M199,N199,O199,P199)</f>
        <v>3C65AS87217-16</v>
      </c>
      <c r="I199">
        <f t="shared" ref="I199:I262" ca="1" si="13">RANDBETWEEN(1,9)</f>
        <v>3</v>
      </c>
      <c r="J199" t="s">
        <v>689</v>
      </c>
      <c r="K199">
        <f t="shared" ref="K199:K262" ca="1" si="14">RANDBETWEEN(10,99)</f>
        <v>65</v>
      </c>
      <c r="L199" t="s">
        <v>425</v>
      </c>
      <c r="M199" t="s">
        <v>2350</v>
      </c>
      <c r="N199" s="1">
        <v>87217</v>
      </c>
      <c r="O199" s="49" t="s">
        <v>2656</v>
      </c>
      <c r="P199">
        <f t="shared" ref="P199:P262" ca="1" si="15">RANDBETWEEN(10,99)</f>
        <v>16</v>
      </c>
    </row>
    <row r="200" spans="1:16">
      <c r="A200" s="1">
        <v>89530</v>
      </c>
      <c r="B200" s="46">
        <v>77014</v>
      </c>
      <c r="C200" s="24">
        <v>840584</v>
      </c>
      <c r="D200" t="s">
        <v>778</v>
      </c>
      <c r="E200" t="str">
        <f t="shared" ca="1" si="12"/>
        <v>4D76ET89530-41</v>
      </c>
      <c r="I200">
        <f t="shared" ca="1" si="13"/>
        <v>4</v>
      </c>
      <c r="J200" t="s">
        <v>2658</v>
      </c>
      <c r="K200">
        <f t="shared" ca="1" si="14"/>
        <v>76</v>
      </c>
      <c r="L200" t="s">
        <v>804</v>
      </c>
      <c r="M200" t="s">
        <v>2657</v>
      </c>
      <c r="N200" s="1">
        <v>89530</v>
      </c>
      <c r="O200" s="49" t="s">
        <v>2656</v>
      </c>
      <c r="P200">
        <f t="shared" ca="1" si="15"/>
        <v>41</v>
      </c>
    </row>
    <row r="201" spans="1:16">
      <c r="A201" s="1">
        <v>89531</v>
      </c>
      <c r="B201" s="46">
        <v>77016</v>
      </c>
      <c r="C201" s="24">
        <v>840584</v>
      </c>
      <c r="D201" t="s">
        <v>778</v>
      </c>
      <c r="E201" t="str">
        <f t="shared" ca="1" si="12"/>
        <v>8B31BR89531-82</v>
      </c>
      <c r="I201">
        <f t="shared" ca="1" si="13"/>
        <v>8</v>
      </c>
      <c r="J201" t="s">
        <v>954</v>
      </c>
      <c r="K201">
        <f t="shared" ca="1" si="14"/>
        <v>31</v>
      </c>
      <c r="L201" t="s">
        <v>954</v>
      </c>
      <c r="M201" t="s">
        <v>1920</v>
      </c>
      <c r="N201" s="1">
        <v>89531</v>
      </c>
      <c r="O201" s="49" t="s">
        <v>2656</v>
      </c>
      <c r="P201">
        <f t="shared" ca="1" si="15"/>
        <v>82</v>
      </c>
    </row>
    <row r="202" spans="1:16">
      <c r="A202" s="1">
        <v>89533</v>
      </c>
      <c r="B202" s="46">
        <v>86732</v>
      </c>
      <c r="C202" s="24">
        <v>844834</v>
      </c>
      <c r="D202" t="s">
        <v>778</v>
      </c>
      <c r="E202" t="str">
        <f t="shared" ca="1" si="12"/>
        <v>4C22DS89533-19</v>
      </c>
      <c r="I202">
        <f t="shared" ca="1" si="13"/>
        <v>4</v>
      </c>
      <c r="J202" t="s">
        <v>689</v>
      </c>
      <c r="K202">
        <f t="shared" ca="1" si="14"/>
        <v>22</v>
      </c>
      <c r="L202" t="s">
        <v>2658</v>
      </c>
      <c r="M202" t="s">
        <v>2350</v>
      </c>
      <c r="N202" s="1">
        <v>89533</v>
      </c>
      <c r="O202" s="49" t="s">
        <v>2656</v>
      </c>
      <c r="P202">
        <f t="shared" ca="1" si="15"/>
        <v>19</v>
      </c>
    </row>
    <row r="203" spans="1:16">
      <c r="A203" s="1">
        <v>89532</v>
      </c>
      <c r="B203" s="46">
        <v>86731</v>
      </c>
      <c r="C203" s="24">
        <v>844834</v>
      </c>
      <c r="D203" t="s">
        <v>786</v>
      </c>
      <c r="E203" t="str">
        <f t="shared" ca="1" si="12"/>
        <v>9D62DT89532-31</v>
      </c>
      <c r="I203">
        <f t="shared" ca="1" si="13"/>
        <v>9</v>
      </c>
      <c r="J203" t="s">
        <v>2658</v>
      </c>
      <c r="K203">
        <f t="shared" ca="1" si="14"/>
        <v>62</v>
      </c>
      <c r="L203" t="s">
        <v>2658</v>
      </c>
      <c r="M203" t="s">
        <v>2657</v>
      </c>
      <c r="N203" s="1">
        <v>89532</v>
      </c>
      <c r="O203" s="49" t="s">
        <v>2656</v>
      </c>
      <c r="P203">
        <f t="shared" ca="1" si="15"/>
        <v>31</v>
      </c>
    </row>
    <row r="204" spans="1:16">
      <c r="A204" s="1">
        <v>76999</v>
      </c>
      <c r="B204" s="46">
        <v>86774</v>
      </c>
      <c r="C204" s="24">
        <v>844686</v>
      </c>
      <c r="D204" t="s">
        <v>798</v>
      </c>
      <c r="E204" t="str">
        <f t="shared" ca="1" si="12"/>
        <v>9B10CR76999-83</v>
      </c>
      <c r="I204">
        <f t="shared" ca="1" si="13"/>
        <v>9</v>
      </c>
      <c r="J204" t="s">
        <v>954</v>
      </c>
      <c r="K204">
        <f t="shared" ca="1" si="14"/>
        <v>10</v>
      </c>
      <c r="L204" t="s">
        <v>689</v>
      </c>
      <c r="M204" t="s">
        <v>1920</v>
      </c>
      <c r="N204" s="1">
        <v>76999</v>
      </c>
      <c r="O204" s="49" t="s">
        <v>2656</v>
      </c>
      <c r="P204">
        <f t="shared" ca="1" si="15"/>
        <v>83</v>
      </c>
    </row>
    <row r="205" spans="1:16">
      <c r="A205" s="1">
        <v>76997</v>
      </c>
      <c r="B205" s="46">
        <v>86775</v>
      </c>
      <c r="C205" s="24">
        <v>844686</v>
      </c>
      <c r="D205" t="s">
        <v>798</v>
      </c>
      <c r="E205" t="str">
        <f t="shared" ca="1" si="12"/>
        <v>3C38GS76997-60</v>
      </c>
      <c r="I205">
        <f t="shared" ca="1" si="13"/>
        <v>3</v>
      </c>
      <c r="J205" t="s">
        <v>689</v>
      </c>
      <c r="K205">
        <f t="shared" ca="1" si="14"/>
        <v>38</v>
      </c>
      <c r="L205" t="s">
        <v>2659</v>
      </c>
      <c r="M205" t="s">
        <v>2350</v>
      </c>
      <c r="N205" s="1">
        <v>76997</v>
      </c>
      <c r="O205" s="49" t="s">
        <v>2656</v>
      </c>
      <c r="P205">
        <f t="shared" ca="1" si="15"/>
        <v>60</v>
      </c>
    </row>
    <row r="206" spans="1:16">
      <c r="A206" s="1">
        <v>76998</v>
      </c>
      <c r="B206" s="46">
        <v>90826</v>
      </c>
      <c r="C206" s="24">
        <v>845787</v>
      </c>
      <c r="D206" t="s">
        <v>802</v>
      </c>
      <c r="E206" t="str">
        <f t="shared" ca="1" si="12"/>
        <v>2D72AT76998-78</v>
      </c>
      <c r="I206">
        <f t="shared" ca="1" si="13"/>
        <v>2</v>
      </c>
      <c r="J206" t="s">
        <v>2658</v>
      </c>
      <c r="K206">
        <f t="shared" ca="1" si="14"/>
        <v>72</v>
      </c>
      <c r="L206" t="s">
        <v>425</v>
      </c>
      <c r="M206" t="s">
        <v>2657</v>
      </c>
      <c r="N206" s="1">
        <v>76998</v>
      </c>
      <c r="O206" s="49" t="s">
        <v>2656</v>
      </c>
      <c r="P206">
        <f t="shared" ca="1" si="15"/>
        <v>78</v>
      </c>
    </row>
    <row r="207" spans="1:16">
      <c r="A207" s="1">
        <v>80091</v>
      </c>
      <c r="B207" s="46">
        <v>90825</v>
      </c>
      <c r="C207" s="24">
        <v>845787</v>
      </c>
      <c r="D207" t="s">
        <v>802</v>
      </c>
      <c r="E207" t="str">
        <f t="shared" ca="1" si="12"/>
        <v>3B46DR80091-84</v>
      </c>
      <c r="I207">
        <f t="shared" ca="1" si="13"/>
        <v>3</v>
      </c>
      <c r="J207" t="s">
        <v>954</v>
      </c>
      <c r="K207">
        <f t="shared" ca="1" si="14"/>
        <v>46</v>
      </c>
      <c r="L207" t="s">
        <v>2658</v>
      </c>
      <c r="M207" t="s">
        <v>1920</v>
      </c>
      <c r="N207" s="1">
        <v>80091</v>
      </c>
      <c r="O207" s="49" t="s">
        <v>2656</v>
      </c>
      <c r="P207">
        <f t="shared" ca="1" si="15"/>
        <v>84</v>
      </c>
    </row>
    <row r="208" spans="1:16">
      <c r="A208" s="1">
        <v>80092</v>
      </c>
      <c r="B208" s="46">
        <v>89248</v>
      </c>
      <c r="C208" s="24">
        <v>844183</v>
      </c>
      <c r="D208" t="s">
        <v>815</v>
      </c>
      <c r="E208" t="str">
        <f t="shared" ca="1" si="12"/>
        <v>8C95DS80092-38</v>
      </c>
      <c r="I208">
        <f t="shared" ca="1" si="13"/>
        <v>8</v>
      </c>
      <c r="J208" t="s">
        <v>689</v>
      </c>
      <c r="K208">
        <f t="shared" ca="1" si="14"/>
        <v>95</v>
      </c>
      <c r="L208" t="s">
        <v>2658</v>
      </c>
      <c r="M208" t="s">
        <v>2350</v>
      </c>
      <c r="N208" s="1">
        <v>80092</v>
      </c>
      <c r="O208" s="49" t="s">
        <v>2656</v>
      </c>
      <c r="P208">
        <f t="shared" ca="1" si="15"/>
        <v>38</v>
      </c>
    </row>
    <row r="209" spans="1:16">
      <c r="A209" s="1">
        <v>80090</v>
      </c>
      <c r="B209" s="46">
        <v>89250</v>
      </c>
      <c r="C209" s="24">
        <v>844183</v>
      </c>
      <c r="D209" t="s">
        <v>815</v>
      </c>
      <c r="E209" t="str">
        <f t="shared" ca="1" si="12"/>
        <v>8D44GT80090-87</v>
      </c>
      <c r="I209">
        <f t="shared" ca="1" si="13"/>
        <v>8</v>
      </c>
      <c r="J209" t="s">
        <v>2658</v>
      </c>
      <c r="K209">
        <f t="shared" ca="1" si="14"/>
        <v>44</v>
      </c>
      <c r="L209" t="s">
        <v>2659</v>
      </c>
      <c r="M209" t="s">
        <v>2657</v>
      </c>
      <c r="N209" s="1">
        <v>80090</v>
      </c>
      <c r="O209" s="49" t="s">
        <v>2656</v>
      </c>
      <c r="P209">
        <f t="shared" ca="1" si="15"/>
        <v>87</v>
      </c>
    </row>
    <row r="210" spans="1:16">
      <c r="A210" s="1">
        <v>80093</v>
      </c>
      <c r="B210" s="46">
        <v>89251</v>
      </c>
      <c r="C210" s="24">
        <v>844183</v>
      </c>
      <c r="D210" t="s">
        <v>815</v>
      </c>
      <c r="E210" t="str">
        <f t="shared" ca="1" si="12"/>
        <v>3B57FR80093-66</v>
      </c>
      <c r="I210">
        <f t="shared" ca="1" si="13"/>
        <v>3</v>
      </c>
      <c r="J210" t="s">
        <v>954</v>
      </c>
      <c r="K210">
        <f t="shared" ca="1" si="14"/>
        <v>57</v>
      </c>
      <c r="L210" t="s">
        <v>2661</v>
      </c>
      <c r="M210" t="s">
        <v>1920</v>
      </c>
      <c r="N210" s="1">
        <v>80093</v>
      </c>
      <c r="O210" s="49" t="s">
        <v>2656</v>
      </c>
      <c r="P210">
        <f t="shared" ca="1" si="15"/>
        <v>66</v>
      </c>
    </row>
    <row r="211" spans="1:16">
      <c r="A211" s="1">
        <v>84475</v>
      </c>
      <c r="B211" s="46">
        <v>89249</v>
      </c>
      <c r="C211" s="24">
        <v>844183</v>
      </c>
      <c r="D211" t="s">
        <v>815</v>
      </c>
      <c r="E211" t="str">
        <f t="shared" ca="1" si="12"/>
        <v>7C33DS84475-80</v>
      </c>
      <c r="I211">
        <f t="shared" ca="1" si="13"/>
        <v>7</v>
      </c>
      <c r="J211" t="s">
        <v>689</v>
      </c>
      <c r="K211">
        <f t="shared" ca="1" si="14"/>
        <v>33</v>
      </c>
      <c r="L211" t="s">
        <v>2658</v>
      </c>
      <c r="M211" t="s">
        <v>2350</v>
      </c>
      <c r="N211" s="1">
        <v>84475</v>
      </c>
      <c r="O211" s="49" t="s">
        <v>2656</v>
      </c>
      <c r="P211">
        <f t="shared" ca="1" si="15"/>
        <v>80</v>
      </c>
    </row>
    <row r="212" spans="1:16">
      <c r="A212" s="1">
        <v>84474</v>
      </c>
      <c r="B212" s="46">
        <v>89252</v>
      </c>
      <c r="C212" s="24">
        <v>844183</v>
      </c>
      <c r="D212" t="s">
        <v>815</v>
      </c>
      <c r="E212" t="str">
        <f t="shared" ca="1" si="12"/>
        <v>5D53IT84474-83</v>
      </c>
      <c r="I212">
        <f t="shared" ca="1" si="13"/>
        <v>5</v>
      </c>
      <c r="J212" t="s">
        <v>2658</v>
      </c>
      <c r="K212">
        <f t="shared" ca="1" si="14"/>
        <v>53</v>
      </c>
      <c r="L212" t="s">
        <v>304</v>
      </c>
      <c r="M212" t="s">
        <v>2657</v>
      </c>
      <c r="N212" s="1">
        <v>84474</v>
      </c>
      <c r="O212" s="49" t="s">
        <v>2656</v>
      </c>
      <c r="P212">
        <f t="shared" ca="1" si="15"/>
        <v>83</v>
      </c>
    </row>
    <row r="213" spans="1:16">
      <c r="A213" s="1">
        <v>84473</v>
      </c>
      <c r="B213" s="46">
        <v>89814</v>
      </c>
      <c r="C213" s="24">
        <v>843580</v>
      </c>
      <c r="D213" t="s">
        <v>213</v>
      </c>
      <c r="E213" t="str">
        <f t="shared" ca="1" si="12"/>
        <v>2B19AR84473-36</v>
      </c>
      <c r="I213">
        <f t="shared" ca="1" si="13"/>
        <v>2</v>
      </c>
      <c r="J213" t="s">
        <v>954</v>
      </c>
      <c r="K213">
        <f t="shared" ca="1" si="14"/>
        <v>19</v>
      </c>
      <c r="L213" t="s">
        <v>425</v>
      </c>
      <c r="M213" t="s">
        <v>1920</v>
      </c>
      <c r="N213" s="1">
        <v>84473</v>
      </c>
      <c r="O213" s="49" t="s">
        <v>2656</v>
      </c>
      <c r="P213">
        <f t="shared" ca="1" si="15"/>
        <v>36</v>
      </c>
    </row>
    <row r="214" spans="1:16">
      <c r="A214" s="1">
        <v>89514</v>
      </c>
      <c r="B214" s="46">
        <v>89815</v>
      </c>
      <c r="C214" s="24">
        <v>843580</v>
      </c>
      <c r="D214" t="s">
        <v>213</v>
      </c>
      <c r="E214" t="str">
        <f t="shared" ca="1" si="12"/>
        <v>7C77ES89514-24</v>
      </c>
      <c r="I214">
        <f t="shared" ca="1" si="13"/>
        <v>7</v>
      </c>
      <c r="J214" t="s">
        <v>689</v>
      </c>
      <c r="K214">
        <f t="shared" ca="1" si="14"/>
        <v>77</v>
      </c>
      <c r="L214" t="s">
        <v>804</v>
      </c>
      <c r="M214" t="s">
        <v>2350</v>
      </c>
      <c r="N214" s="1">
        <v>89514</v>
      </c>
      <c r="O214" s="49" t="s">
        <v>2656</v>
      </c>
      <c r="P214">
        <f t="shared" ca="1" si="15"/>
        <v>24</v>
      </c>
    </row>
    <row r="215" spans="1:16">
      <c r="A215" s="1">
        <v>89515</v>
      </c>
      <c r="B215" s="46">
        <v>89816</v>
      </c>
      <c r="C215" s="24">
        <v>843580</v>
      </c>
      <c r="D215" t="s">
        <v>213</v>
      </c>
      <c r="E215" t="str">
        <f t="shared" ca="1" si="12"/>
        <v>2D26AT89515-83</v>
      </c>
      <c r="I215">
        <f t="shared" ca="1" si="13"/>
        <v>2</v>
      </c>
      <c r="J215" t="s">
        <v>2658</v>
      </c>
      <c r="K215">
        <f t="shared" ca="1" si="14"/>
        <v>26</v>
      </c>
      <c r="L215" t="s">
        <v>425</v>
      </c>
      <c r="M215" t="s">
        <v>2657</v>
      </c>
      <c r="N215" s="1">
        <v>89515</v>
      </c>
      <c r="O215" s="49" t="s">
        <v>2656</v>
      </c>
      <c r="P215">
        <f t="shared" ca="1" si="15"/>
        <v>83</v>
      </c>
    </row>
    <row r="216" spans="1:16">
      <c r="A216" s="1">
        <v>89516</v>
      </c>
      <c r="B216" s="46">
        <v>88993</v>
      </c>
      <c r="C216" s="24">
        <v>843470</v>
      </c>
      <c r="D216" t="s">
        <v>829</v>
      </c>
      <c r="E216" t="str">
        <f t="shared" ca="1" si="12"/>
        <v>1B51IR89516-16</v>
      </c>
      <c r="I216">
        <f t="shared" ca="1" si="13"/>
        <v>1</v>
      </c>
      <c r="J216" t="s">
        <v>954</v>
      </c>
      <c r="K216">
        <f t="shared" ca="1" si="14"/>
        <v>51</v>
      </c>
      <c r="L216" t="s">
        <v>304</v>
      </c>
      <c r="M216" t="s">
        <v>1920</v>
      </c>
      <c r="N216" s="1">
        <v>89516</v>
      </c>
      <c r="O216" s="49" t="s">
        <v>2656</v>
      </c>
      <c r="P216">
        <f t="shared" ca="1" si="15"/>
        <v>16</v>
      </c>
    </row>
    <row r="217" spans="1:16">
      <c r="A217" s="1">
        <v>89517</v>
      </c>
      <c r="B217" s="46">
        <v>88994</v>
      </c>
      <c r="C217" s="24">
        <v>843470</v>
      </c>
      <c r="D217" t="s">
        <v>829</v>
      </c>
      <c r="E217" t="str">
        <f t="shared" ca="1" si="12"/>
        <v>7C81HS89517-52</v>
      </c>
      <c r="I217">
        <f t="shared" ca="1" si="13"/>
        <v>7</v>
      </c>
      <c r="J217" t="s">
        <v>689</v>
      </c>
      <c r="K217">
        <f t="shared" ca="1" si="14"/>
        <v>81</v>
      </c>
      <c r="L217" t="s">
        <v>2660</v>
      </c>
      <c r="M217" t="s">
        <v>2350</v>
      </c>
      <c r="N217" s="1">
        <v>89517</v>
      </c>
      <c r="O217" s="49" t="s">
        <v>2656</v>
      </c>
      <c r="P217">
        <f t="shared" ca="1" si="15"/>
        <v>52</v>
      </c>
    </row>
    <row r="218" spans="1:16">
      <c r="A218" s="1">
        <v>89610</v>
      </c>
      <c r="B218" s="46">
        <v>88995</v>
      </c>
      <c r="C218" s="24">
        <v>843470</v>
      </c>
      <c r="D218" t="s">
        <v>829</v>
      </c>
      <c r="E218" t="str">
        <f t="shared" ca="1" si="12"/>
        <v>3D73BT89610-22</v>
      </c>
      <c r="I218">
        <f t="shared" ca="1" si="13"/>
        <v>3</v>
      </c>
      <c r="J218" t="s">
        <v>2658</v>
      </c>
      <c r="K218">
        <f t="shared" ca="1" si="14"/>
        <v>73</v>
      </c>
      <c r="L218" t="s">
        <v>954</v>
      </c>
      <c r="M218" t="s">
        <v>2657</v>
      </c>
      <c r="N218" s="1">
        <v>89610</v>
      </c>
      <c r="O218" s="49" t="s">
        <v>2656</v>
      </c>
      <c r="P218">
        <f t="shared" ca="1" si="15"/>
        <v>22</v>
      </c>
    </row>
    <row r="219" spans="1:16">
      <c r="A219" s="1">
        <v>89609</v>
      </c>
      <c r="B219" s="46">
        <v>89615</v>
      </c>
      <c r="C219" s="24">
        <v>845000</v>
      </c>
      <c r="D219" t="s">
        <v>836</v>
      </c>
      <c r="E219" t="str">
        <f t="shared" ca="1" si="12"/>
        <v>5B68AR89609-20</v>
      </c>
      <c r="I219">
        <f t="shared" ca="1" si="13"/>
        <v>5</v>
      </c>
      <c r="J219" t="s">
        <v>954</v>
      </c>
      <c r="K219">
        <f t="shared" ca="1" si="14"/>
        <v>68</v>
      </c>
      <c r="L219" t="s">
        <v>425</v>
      </c>
      <c r="M219" t="s">
        <v>1920</v>
      </c>
      <c r="N219" s="1">
        <v>89609</v>
      </c>
      <c r="O219" s="49" t="s">
        <v>2656</v>
      </c>
      <c r="P219">
        <f t="shared" ca="1" si="15"/>
        <v>20</v>
      </c>
    </row>
    <row r="220" spans="1:16">
      <c r="A220" s="1">
        <v>89611</v>
      </c>
      <c r="B220" s="46">
        <v>89616</v>
      </c>
      <c r="C220" s="24">
        <v>845000</v>
      </c>
      <c r="D220" t="s">
        <v>836</v>
      </c>
      <c r="E220" t="str">
        <f t="shared" ca="1" si="12"/>
        <v>1C67HS89611-88</v>
      </c>
      <c r="I220">
        <f t="shared" ca="1" si="13"/>
        <v>1</v>
      </c>
      <c r="J220" t="s">
        <v>689</v>
      </c>
      <c r="K220">
        <f t="shared" ca="1" si="14"/>
        <v>67</v>
      </c>
      <c r="L220" t="s">
        <v>2660</v>
      </c>
      <c r="M220" t="s">
        <v>2350</v>
      </c>
      <c r="N220" s="1">
        <v>89611</v>
      </c>
      <c r="O220" s="49" t="s">
        <v>2656</v>
      </c>
      <c r="P220">
        <f t="shared" ca="1" si="15"/>
        <v>88</v>
      </c>
    </row>
    <row r="221" spans="1:16">
      <c r="A221" s="1">
        <v>83589</v>
      </c>
      <c r="B221" s="46">
        <v>89617</v>
      </c>
      <c r="C221" s="24">
        <v>845000</v>
      </c>
      <c r="D221" t="s">
        <v>836</v>
      </c>
      <c r="E221" t="str">
        <f t="shared" ca="1" si="12"/>
        <v>9D29HT83589-30</v>
      </c>
      <c r="I221">
        <f t="shared" ca="1" si="13"/>
        <v>9</v>
      </c>
      <c r="J221" t="s">
        <v>2658</v>
      </c>
      <c r="K221">
        <f t="shared" ca="1" si="14"/>
        <v>29</v>
      </c>
      <c r="L221" t="s">
        <v>2660</v>
      </c>
      <c r="M221" t="s">
        <v>2657</v>
      </c>
      <c r="N221" s="1">
        <v>83589</v>
      </c>
      <c r="O221" s="49" t="s">
        <v>2656</v>
      </c>
      <c r="P221">
        <f t="shared" ca="1" si="15"/>
        <v>30</v>
      </c>
    </row>
    <row r="222" spans="1:16">
      <c r="A222" s="1">
        <v>83588</v>
      </c>
      <c r="B222" s="46">
        <v>89342</v>
      </c>
      <c r="C222" s="24">
        <v>845137</v>
      </c>
      <c r="D222" t="s">
        <v>845</v>
      </c>
      <c r="E222" t="str">
        <f t="shared" ca="1" si="12"/>
        <v>2B84IR83588-15</v>
      </c>
      <c r="I222">
        <f t="shared" ca="1" si="13"/>
        <v>2</v>
      </c>
      <c r="J222" t="s">
        <v>954</v>
      </c>
      <c r="K222">
        <f t="shared" ca="1" si="14"/>
        <v>84</v>
      </c>
      <c r="L222" t="s">
        <v>304</v>
      </c>
      <c r="M222" t="s">
        <v>1920</v>
      </c>
      <c r="N222" s="1">
        <v>83588</v>
      </c>
      <c r="O222" s="49" t="s">
        <v>2656</v>
      </c>
      <c r="P222">
        <f t="shared" ca="1" si="15"/>
        <v>15</v>
      </c>
    </row>
    <row r="223" spans="1:16">
      <c r="A223" s="1">
        <v>83590</v>
      </c>
      <c r="B223" s="46">
        <v>89341</v>
      </c>
      <c r="C223" s="24">
        <v>845137</v>
      </c>
      <c r="D223" t="s">
        <v>845</v>
      </c>
      <c r="E223" t="str">
        <f t="shared" ca="1" si="12"/>
        <v>2C35DS83590-29</v>
      </c>
      <c r="I223">
        <f t="shared" ca="1" si="13"/>
        <v>2</v>
      </c>
      <c r="J223" t="s">
        <v>689</v>
      </c>
      <c r="K223">
        <f t="shared" ca="1" si="14"/>
        <v>35</v>
      </c>
      <c r="L223" t="s">
        <v>2658</v>
      </c>
      <c r="M223" t="s">
        <v>2350</v>
      </c>
      <c r="N223" s="1">
        <v>83590</v>
      </c>
      <c r="O223" s="49" t="s">
        <v>2656</v>
      </c>
      <c r="P223">
        <f t="shared" ca="1" si="15"/>
        <v>29</v>
      </c>
    </row>
    <row r="224" spans="1:16">
      <c r="A224" s="1">
        <v>86985</v>
      </c>
      <c r="B224" s="46">
        <v>88712</v>
      </c>
      <c r="C224" s="24">
        <v>842391</v>
      </c>
      <c r="D224" t="s">
        <v>852</v>
      </c>
      <c r="E224" t="str">
        <f t="shared" ca="1" si="12"/>
        <v>8D31GT86985-77</v>
      </c>
      <c r="I224">
        <f t="shared" ca="1" si="13"/>
        <v>8</v>
      </c>
      <c r="J224" t="s">
        <v>2658</v>
      </c>
      <c r="K224">
        <f t="shared" ca="1" si="14"/>
        <v>31</v>
      </c>
      <c r="L224" t="s">
        <v>2659</v>
      </c>
      <c r="M224" t="s">
        <v>2657</v>
      </c>
      <c r="N224" s="1">
        <v>86985</v>
      </c>
      <c r="O224" s="49" t="s">
        <v>2656</v>
      </c>
      <c r="P224">
        <f t="shared" ca="1" si="15"/>
        <v>77</v>
      </c>
    </row>
    <row r="225" spans="1:16">
      <c r="A225" s="1">
        <v>86982</v>
      </c>
      <c r="B225" s="46">
        <v>88713</v>
      </c>
      <c r="C225" s="24">
        <v>842391</v>
      </c>
      <c r="D225" t="s">
        <v>852</v>
      </c>
      <c r="E225" t="str">
        <f t="shared" ca="1" si="12"/>
        <v>2B39CR86982-79</v>
      </c>
      <c r="I225">
        <f t="shared" ca="1" si="13"/>
        <v>2</v>
      </c>
      <c r="J225" t="s">
        <v>954</v>
      </c>
      <c r="K225">
        <f t="shared" ca="1" si="14"/>
        <v>39</v>
      </c>
      <c r="L225" t="s">
        <v>689</v>
      </c>
      <c r="M225" t="s">
        <v>1920</v>
      </c>
      <c r="N225" s="1">
        <v>86982</v>
      </c>
      <c r="O225" s="49" t="s">
        <v>2656</v>
      </c>
      <c r="P225">
        <f t="shared" ca="1" si="15"/>
        <v>79</v>
      </c>
    </row>
    <row r="226" spans="1:16">
      <c r="A226" s="1">
        <v>86983</v>
      </c>
      <c r="B226" s="46">
        <v>88714</v>
      </c>
      <c r="C226" s="24">
        <v>842391</v>
      </c>
      <c r="D226" t="s">
        <v>852</v>
      </c>
      <c r="E226" t="str">
        <f t="shared" ca="1" si="12"/>
        <v>9C39IS86983-99</v>
      </c>
      <c r="I226">
        <f t="shared" ca="1" si="13"/>
        <v>9</v>
      </c>
      <c r="J226" t="s">
        <v>689</v>
      </c>
      <c r="K226">
        <f t="shared" ca="1" si="14"/>
        <v>39</v>
      </c>
      <c r="L226" t="s">
        <v>304</v>
      </c>
      <c r="M226" t="s">
        <v>2350</v>
      </c>
      <c r="N226" s="1">
        <v>86983</v>
      </c>
      <c r="O226" s="49" t="s">
        <v>2656</v>
      </c>
      <c r="P226">
        <f t="shared" ca="1" si="15"/>
        <v>99</v>
      </c>
    </row>
    <row r="227" spans="1:16">
      <c r="A227" s="1">
        <v>86984</v>
      </c>
      <c r="B227" s="46">
        <v>86702</v>
      </c>
      <c r="C227" s="24">
        <v>844627</v>
      </c>
      <c r="D227" t="s">
        <v>858</v>
      </c>
      <c r="E227" t="str">
        <f t="shared" ca="1" si="12"/>
        <v>5D97GT86984-79</v>
      </c>
      <c r="I227">
        <f t="shared" ca="1" si="13"/>
        <v>5</v>
      </c>
      <c r="J227" t="s">
        <v>2658</v>
      </c>
      <c r="K227">
        <f t="shared" ca="1" si="14"/>
        <v>97</v>
      </c>
      <c r="L227" t="s">
        <v>2659</v>
      </c>
      <c r="M227" t="s">
        <v>2657</v>
      </c>
      <c r="N227" s="1">
        <v>86984</v>
      </c>
      <c r="O227" s="49" t="s">
        <v>2656</v>
      </c>
      <c r="P227">
        <f t="shared" ca="1" si="15"/>
        <v>79</v>
      </c>
    </row>
    <row r="228" spans="1:16">
      <c r="A228" s="1">
        <v>86986</v>
      </c>
      <c r="B228" s="46">
        <v>86703</v>
      </c>
      <c r="C228" s="24">
        <v>844627</v>
      </c>
      <c r="D228" t="s">
        <v>858</v>
      </c>
      <c r="E228" t="str">
        <f t="shared" ca="1" si="12"/>
        <v>1B98IR86986-59</v>
      </c>
      <c r="I228">
        <f t="shared" ca="1" si="13"/>
        <v>1</v>
      </c>
      <c r="J228" t="s">
        <v>954</v>
      </c>
      <c r="K228">
        <f t="shared" ca="1" si="14"/>
        <v>98</v>
      </c>
      <c r="L228" t="s">
        <v>304</v>
      </c>
      <c r="M228" t="s">
        <v>1920</v>
      </c>
      <c r="N228" s="1">
        <v>86986</v>
      </c>
      <c r="O228" s="49" t="s">
        <v>2656</v>
      </c>
      <c r="P228">
        <f t="shared" ca="1" si="15"/>
        <v>59</v>
      </c>
    </row>
    <row r="229" spans="1:16">
      <c r="A229" s="1">
        <v>89238</v>
      </c>
      <c r="B229" s="46">
        <v>86704</v>
      </c>
      <c r="C229" s="24">
        <v>844627</v>
      </c>
      <c r="D229" t="s">
        <v>858</v>
      </c>
      <c r="E229" t="str">
        <f t="shared" ca="1" si="12"/>
        <v>8C21AS89238-53</v>
      </c>
      <c r="I229">
        <f t="shared" ca="1" si="13"/>
        <v>8</v>
      </c>
      <c r="J229" t="s">
        <v>689</v>
      </c>
      <c r="K229">
        <f t="shared" ca="1" si="14"/>
        <v>21</v>
      </c>
      <c r="L229" t="s">
        <v>425</v>
      </c>
      <c r="M229" t="s">
        <v>2350</v>
      </c>
      <c r="N229" s="1">
        <v>89238</v>
      </c>
      <c r="O229" s="49" t="s">
        <v>2656</v>
      </c>
      <c r="P229">
        <f t="shared" ca="1" si="15"/>
        <v>53</v>
      </c>
    </row>
    <row r="230" spans="1:16">
      <c r="A230" s="1">
        <v>89240</v>
      </c>
      <c r="B230" s="46">
        <v>86705</v>
      </c>
      <c r="C230" s="24">
        <v>844627</v>
      </c>
      <c r="D230" t="s">
        <v>858</v>
      </c>
      <c r="E230" t="str">
        <f t="shared" ca="1" si="12"/>
        <v>5D62DT89240-69</v>
      </c>
      <c r="I230">
        <f t="shared" ca="1" si="13"/>
        <v>5</v>
      </c>
      <c r="J230" t="s">
        <v>2658</v>
      </c>
      <c r="K230">
        <f t="shared" ca="1" si="14"/>
        <v>62</v>
      </c>
      <c r="L230" t="s">
        <v>2658</v>
      </c>
      <c r="M230" t="s">
        <v>2657</v>
      </c>
      <c r="N230" s="1">
        <v>89240</v>
      </c>
      <c r="O230" s="49" t="s">
        <v>2656</v>
      </c>
      <c r="P230">
        <f t="shared" ca="1" si="15"/>
        <v>69</v>
      </c>
    </row>
    <row r="231" spans="1:16">
      <c r="A231" s="1">
        <v>89239</v>
      </c>
      <c r="B231" s="46">
        <v>85444</v>
      </c>
      <c r="C231" s="24">
        <v>842288</v>
      </c>
      <c r="D231" t="s">
        <v>866</v>
      </c>
      <c r="E231" t="str">
        <f t="shared" ca="1" si="12"/>
        <v>7B61IR89239-62</v>
      </c>
      <c r="I231">
        <f t="shared" ca="1" si="13"/>
        <v>7</v>
      </c>
      <c r="J231" t="s">
        <v>954</v>
      </c>
      <c r="K231">
        <f t="shared" ca="1" si="14"/>
        <v>61</v>
      </c>
      <c r="L231" t="s">
        <v>304</v>
      </c>
      <c r="M231" t="s">
        <v>1920</v>
      </c>
      <c r="N231" s="1">
        <v>89239</v>
      </c>
      <c r="O231" s="49" t="s">
        <v>2656</v>
      </c>
      <c r="P231">
        <f t="shared" ca="1" si="15"/>
        <v>62</v>
      </c>
    </row>
    <row r="232" spans="1:16">
      <c r="A232" s="1">
        <v>89112</v>
      </c>
      <c r="B232" s="46">
        <v>85445</v>
      </c>
      <c r="C232" s="24">
        <v>842288</v>
      </c>
      <c r="D232" t="s">
        <v>866</v>
      </c>
      <c r="E232" t="str">
        <f t="shared" ca="1" si="12"/>
        <v>7C39CS89112-35</v>
      </c>
      <c r="I232">
        <f t="shared" ca="1" si="13"/>
        <v>7</v>
      </c>
      <c r="J232" t="s">
        <v>689</v>
      </c>
      <c r="K232">
        <f t="shared" ca="1" si="14"/>
        <v>39</v>
      </c>
      <c r="L232" t="s">
        <v>689</v>
      </c>
      <c r="M232" t="s">
        <v>2350</v>
      </c>
      <c r="N232" s="1">
        <v>89112</v>
      </c>
      <c r="O232" s="49" t="s">
        <v>2656</v>
      </c>
      <c r="P232">
        <f t="shared" ca="1" si="15"/>
        <v>35</v>
      </c>
    </row>
    <row r="233" spans="1:16">
      <c r="A233" s="1">
        <v>89113</v>
      </c>
      <c r="B233" s="46">
        <v>85446</v>
      </c>
      <c r="C233" s="24">
        <v>842288</v>
      </c>
      <c r="D233" t="s">
        <v>866</v>
      </c>
      <c r="E233" t="str">
        <f t="shared" ca="1" si="12"/>
        <v>4D91BT89113-36</v>
      </c>
      <c r="I233">
        <f t="shared" ca="1" si="13"/>
        <v>4</v>
      </c>
      <c r="J233" t="s">
        <v>2658</v>
      </c>
      <c r="K233">
        <f t="shared" ca="1" si="14"/>
        <v>91</v>
      </c>
      <c r="L233" t="s">
        <v>954</v>
      </c>
      <c r="M233" t="s">
        <v>2657</v>
      </c>
      <c r="N233" s="1">
        <v>89113</v>
      </c>
      <c r="O233" s="49" t="s">
        <v>2656</v>
      </c>
      <c r="P233">
        <f t="shared" ca="1" si="15"/>
        <v>36</v>
      </c>
    </row>
    <row r="234" spans="1:16">
      <c r="A234" s="1">
        <v>89114</v>
      </c>
      <c r="B234" s="46">
        <v>85452</v>
      </c>
      <c r="C234" s="24">
        <v>840445</v>
      </c>
      <c r="D234" t="s">
        <v>870</v>
      </c>
      <c r="E234" t="str">
        <f t="shared" ca="1" si="12"/>
        <v>2B59ER89114-80</v>
      </c>
      <c r="I234">
        <f t="shared" ca="1" si="13"/>
        <v>2</v>
      </c>
      <c r="J234" t="s">
        <v>954</v>
      </c>
      <c r="K234">
        <f t="shared" ca="1" si="14"/>
        <v>59</v>
      </c>
      <c r="L234" t="s">
        <v>804</v>
      </c>
      <c r="M234" t="s">
        <v>1920</v>
      </c>
      <c r="N234" s="1">
        <v>89114</v>
      </c>
      <c r="O234" s="49" t="s">
        <v>2656</v>
      </c>
      <c r="P234">
        <f t="shared" ca="1" si="15"/>
        <v>80</v>
      </c>
    </row>
    <row r="235" spans="1:16">
      <c r="A235" s="1">
        <v>89538</v>
      </c>
      <c r="B235" s="46">
        <v>85451</v>
      </c>
      <c r="C235" s="24">
        <v>840445</v>
      </c>
      <c r="D235" t="s">
        <v>870</v>
      </c>
      <c r="E235" t="str">
        <f t="shared" ca="1" si="12"/>
        <v>4C60GS89538-69</v>
      </c>
      <c r="I235">
        <f t="shared" ca="1" si="13"/>
        <v>4</v>
      </c>
      <c r="J235" t="s">
        <v>689</v>
      </c>
      <c r="K235">
        <f t="shared" ca="1" si="14"/>
        <v>60</v>
      </c>
      <c r="L235" t="s">
        <v>2659</v>
      </c>
      <c r="M235" t="s">
        <v>2350</v>
      </c>
      <c r="N235" s="1">
        <v>89538</v>
      </c>
      <c r="O235" s="49" t="s">
        <v>2656</v>
      </c>
      <c r="P235">
        <f t="shared" ca="1" si="15"/>
        <v>69</v>
      </c>
    </row>
    <row r="236" spans="1:16">
      <c r="A236" s="1">
        <v>89536</v>
      </c>
      <c r="B236" s="46">
        <v>85453</v>
      </c>
      <c r="C236" s="24">
        <v>840445</v>
      </c>
      <c r="D236" t="s">
        <v>870</v>
      </c>
      <c r="E236" t="str">
        <f t="shared" ca="1" si="12"/>
        <v>5D54DT89536-67</v>
      </c>
      <c r="I236">
        <f t="shared" ca="1" si="13"/>
        <v>5</v>
      </c>
      <c r="J236" t="s">
        <v>2658</v>
      </c>
      <c r="K236">
        <f t="shared" ca="1" si="14"/>
        <v>54</v>
      </c>
      <c r="L236" t="s">
        <v>2658</v>
      </c>
      <c r="M236" t="s">
        <v>2657</v>
      </c>
      <c r="N236" s="1">
        <v>89536</v>
      </c>
      <c r="O236" s="49" t="s">
        <v>2656</v>
      </c>
      <c r="P236">
        <f t="shared" ca="1" si="15"/>
        <v>67</v>
      </c>
    </row>
    <row r="237" spans="1:16">
      <c r="A237" s="1">
        <v>89539</v>
      </c>
      <c r="B237" s="46">
        <v>87215</v>
      </c>
      <c r="C237" s="24">
        <v>844012</v>
      </c>
      <c r="D237" t="s">
        <v>876</v>
      </c>
      <c r="E237" t="str">
        <f t="shared" ca="1" si="12"/>
        <v>2B30CR89539-91</v>
      </c>
      <c r="I237">
        <f t="shared" ca="1" si="13"/>
        <v>2</v>
      </c>
      <c r="J237" t="s">
        <v>954</v>
      </c>
      <c r="K237">
        <f t="shared" ca="1" si="14"/>
        <v>30</v>
      </c>
      <c r="L237" t="s">
        <v>689</v>
      </c>
      <c r="M237" t="s">
        <v>1920</v>
      </c>
      <c r="N237" s="1">
        <v>89539</v>
      </c>
      <c r="O237" s="49" t="s">
        <v>2656</v>
      </c>
      <c r="P237">
        <f t="shared" ca="1" si="15"/>
        <v>91</v>
      </c>
    </row>
    <row r="238" spans="1:16">
      <c r="A238" s="1">
        <v>89537</v>
      </c>
      <c r="B238" s="46">
        <v>87216</v>
      </c>
      <c r="C238" s="24">
        <v>844012</v>
      </c>
      <c r="D238" t="s">
        <v>876</v>
      </c>
      <c r="E238" t="str">
        <f t="shared" ca="1" si="12"/>
        <v>9C69AS89537-86</v>
      </c>
      <c r="I238">
        <f t="shared" ca="1" si="13"/>
        <v>9</v>
      </c>
      <c r="J238" t="s">
        <v>689</v>
      </c>
      <c r="K238">
        <f t="shared" ca="1" si="14"/>
        <v>69</v>
      </c>
      <c r="L238" t="s">
        <v>425</v>
      </c>
      <c r="M238" t="s">
        <v>2350</v>
      </c>
      <c r="N238" s="1">
        <v>89537</v>
      </c>
      <c r="O238" s="49" t="s">
        <v>2656</v>
      </c>
      <c r="P238">
        <f t="shared" ca="1" si="15"/>
        <v>86</v>
      </c>
    </row>
    <row r="239" spans="1:16">
      <c r="A239" s="1">
        <v>83225</v>
      </c>
      <c r="B239" s="46">
        <v>87217</v>
      </c>
      <c r="C239" s="24">
        <v>844012</v>
      </c>
      <c r="D239" t="s">
        <v>876</v>
      </c>
      <c r="E239" t="str">
        <f t="shared" ca="1" si="12"/>
        <v>5D50AT83225-69</v>
      </c>
      <c r="I239">
        <f t="shared" ca="1" si="13"/>
        <v>5</v>
      </c>
      <c r="J239" t="s">
        <v>2658</v>
      </c>
      <c r="K239">
        <f t="shared" ca="1" si="14"/>
        <v>50</v>
      </c>
      <c r="L239" t="s">
        <v>425</v>
      </c>
      <c r="M239" t="s">
        <v>2657</v>
      </c>
      <c r="N239" s="1">
        <v>83225</v>
      </c>
      <c r="O239" s="49" t="s">
        <v>2656</v>
      </c>
      <c r="P239">
        <f t="shared" ca="1" si="15"/>
        <v>69</v>
      </c>
    </row>
    <row r="240" spans="1:16">
      <c r="A240" s="1">
        <v>83224</v>
      </c>
      <c r="B240" s="46">
        <v>89530</v>
      </c>
      <c r="C240" s="24">
        <v>845051</v>
      </c>
      <c r="D240" t="s">
        <v>881</v>
      </c>
      <c r="E240" t="str">
        <f t="shared" ca="1" si="12"/>
        <v>7B43DR83224-91</v>
      </c>
      <c r="I240">
        <f t="shared" ca="1" si="13"/>
        <v>7</v>
      </c>
      <c r="J240" t="s">
        <v>954</v>
      </c>
      <c r="K240">
        <f t="shared" ca="1" si="14"/>
        <v>43</v>
      </c>
      <c r="L240" t="s">
        <v>2658</v>
      </c>
      <c r="M240" t="s">
        <v>1920</v>
      </c>
      <c r="N240" s="1">
        <v>83224</v>
      </c>
      <c r="O240" s="49" t="s">
        <v>2656</v>
      </c>
      <c r="P240">
        <f t="shared" ca="1" si="15"/>
        <v>91</v>
      </c>
    </row>
    <row r="241" spans="1:16">
      <c r="A241" s="1">
        <v>83226</v>
      </c>
      <c r="B241" s="46">
        <v>89531</v>
      </c>
      <c r="C241" s="24">
        <v>845051</v>
      </c>
      <c r="D241" t="s">
        <v>881</v>
      </c>
      <c r="E241" t="str">
        <f t="shared" ca="1" si="12"/>
        <v>2C79IS83226-89</v>
      </c>
      <c r="I241">
        <f t="shared" ca="1" si="13"/>
        <v>2</v>
      </c>
      <c r="J241" t="s">
        <v>689</v>
      </c>
      <c r="K241">
        <f t="shared" ca="1" si="14"/>
        <v>79</v>
      </c>
      <c r="L241" t="s">
        <v>304</v>
      </c>
      <c r="M241" t="s">
        <v>2350</v>
      </c>
      <c r="N241" s="1">
        <v>83226</v>
      </c>
      <c r="O241" s="49" t="s">
        <v>2656</v>
      </c>
      <c r="P241">
        <f t="shared" ca="1" si="15"/>
        <v>89</v>
      </c>
    </row>
    <row r="242" spans="1:16">
      <c r="A242" s="1">
        <v>83223</v>
      </c>
      <c r="B242" s="46">
        <v>89533</v>
      </c>
      <c r="C242" s="24">
        <v>845051</v>
      </c>
      <c r="D242" t="s">
        <v>881</v>
      </c>
      <c r="E242" t="str">
        <f t="shared" ca="1" si="12"/>
        <v>7D44AT83223-93</v>
      </c>
      <c r="I242">
        <f t="shared" ca="1" si="13"/>
        <v>7</v>
      </c>
      <c r="J242" t="s">
        <v>2658</v>
      </c>
      <c r="K242">
        <f t="shared" ca="1" si="14"/>
        <v>44</v>
      </c>
      <c r="L242" t="s">
        <v>425</v>
      </c>
      <c r="M242" t="s">
        <v>2657</v>
      </c>
      <c r="N242" s="1">
        <v>83223</v>
      </c>
      <c r="O242" s="49" t="s">
        <v>2656</v>
      </c>
      <c r="P242">
        <f t="shared" ca="1" si="15"/>
        <v>93</v>
      </c>
    </row>
    <row r="243" spans="1:16">
      <c r="A243" s="1">
        <v>86248</v>
      </c>
      <c r="B243" s="46">
        <v>89532</v>
      </c>
      <c r="C243" s="24">
        <v>845051</v>
      </c>
      <c r="D243" t="s">
        <v>881</v>
      </c>
      <c r="E243" t="str">
        <f t="shared" ca="1" si="12"/>
        <v>4B46ER86248-44</v>
      </c>
      <c r="I243">
        <f t="shared" ca="1" si="13"/>
        <v>4</v>
      </c>
      <c r="J243" t="s">
        <v>954</v>
      </c>
      <c r="K243">
        <f t="shared" ca="1" si="14"/>
        <v>46</v>
      </c>
      <c r="L243" t="s">
        <v>804</v>
      </c>
      <c r="M243" t="s">
        <v>1920</v>
      </c>
      <c r="N243" s="1">
        <v>86248</v>
      </c>
      <c r="O243" s="49" t="s">
        <v>2656</v>
      </c>
      <c r="P243">
        <f t="shared" ca="1" si="15"/>
        <v>44</v>
      </c>
    </row>
    <row r="244" spans="1:16">
      <c r="A244" s="1">
        <v>86250</v>
      </c>
      <c r="B244" s="46">
        <v>76999</v>
      </c>
      <c r="C244" s="24">
        <v>839352</v>
      </c>
      <c r="D244" t="s">
        <v>889</v>
      </c>
      <c r="E244" t="str">
        <f t="shared" ca="1" si="12"/>
        <v>2C91FS86250-39</v>
      </c>
      <c r="I244">
        <f t="shared" ca="1" si="13"/>
        <v>2</v>
      </c>
      <c r="J244" t="s">
        <v>689</v>
      </c>
      <c r="K244">
        <f t="shared" ca="1" si="14"/>
        <v>91</v>
      </c>
      <c r="L244" t="s">
        <v>2661</v>
      </c>
      <c r="M244" t="s">
        <v>2350</v>
      </c>
      <c r="N244" s="1">
        <v>86250</v>
      </c>
      <c r="O244" s="49" t="s">
        <v>2656</v>
      </c>
      <c r="P244">
        <f t="shared" ca="1" si="15"/>
        <v>39</v>
      </c>
    </row>
    <row r="245" spans="1:16">
      <c r="A245" s="1">
        <v>86249</v>
      </c>
      <c r="B245" s="46">
        <v>76997</v>
      </c>
      <c r="C245" s="24">
        <v>839352</v>
      </c>
      <c r="D245" t="s">
        <v>889</v>
      </c>
      <c r="E245" t="str">
        <f t="shared" ca="1" si="12"/>
        <v>9D15CT86249-97</v>
      </c>
      <c r="I245">
        <f t="shared" ca="1" si="13"/>
        <v>9</v>
      </c>
      <c r="J245" t="s">
        <v>2658</v>
      </c>
      <c r="K245">
        <f t="shared" ca="1" si="14"/>
        <v>15</v>
      </c>
      <c r="L245" t="s">
        <v>689</v>
      </c>
      <c r="M245" t="s">
        <v>2657</v>
      </c>
      <c r="N245" s="1">
        <v>86249</v>
      </c>
      <c r="O245" s="49" t="s">
        <v>2656</v>
      </c>
      <c r="P245">
        <f t="shared" ca="1" si="15"/>
        <v>97</v>
      </c>
    </row>
    <row r="246" spans="1:16">
      <c r="A246" s="1">
        <v>87174</v>
      </c>
      <c r="B246" s="46">
        <v>76998</v>
      </c>
      <c r="C246" s="24">
        <v>839352</v>
      </c>
      <c r="D246" t="s">
        <v>889</v>
      </c>
      <c r="E246" t="str">
        <f t="shared" ca="1" si="12"/>
        <v>4B79CR87174-91</v>
      </c>
      <c r="I246">
        <f t="shared" ca="1" si="13"/>
        <v>4</v>
      </c>
      <c r="J246" t="s">
        <v>954</v>
      </c>
      <c r="K246">
        <f t="shared" ca="1" si="14"/>
        <v>79</v>
      </c>
      <c r="L246" t="s">
        <v>689</v>
      </c>
      <c r="M246" t="s">
        <v>1920</v>
      </c>
      <c r="N246" s="1">
        <v>87174</v>
      </c>
      <c r="O246" s="49" t="s">
        <v>2656</v>
      </c>
      <c r="P246">
        <f t="shared" ca="1" si="15"/>
        <v>91</v>
      </c>
    </row>
    <row r="247" spans="1:16">
      <c r="A247" s="1">
        <v>87176</v>
      </c>
      <c r="B247" s="46">
        <v>80091</v>
      </c>
      <c r="C247" s="24">
        <v>842025</v>
      </c>
      <c r="D247" t="s">
        <v>895</v>
      </c>
      <c r="E247" t="str">
        <f t="shared" ca="1" si="12"/>
        <v>9C80HS87176-90</v>
      </c>
      <c r="I247">
        <f t="shared" ca="1" si="13"/>
        <v>9</v>
      </c>
      <c r="J247" t="s">
        <v>689</v>
      </c>
      <c r="K247">
        <f t="shared" ca="1" si="14"/>
        <v>80</v>
      </c>
      <c r="L247" t="s">
        <v>2660</v>
      </c>
      <c r="M247" t="s">
        <v>2350</v>
      </c>
      <c r="N247" s="1">
        <v>87176</v>
      </c>
      <c r="O247" s="49" t="s">
        <v>2656</v>
      </c>
      <c r="P247">
        <f t="shared" ca="1" si="15"/>
        <v>90</v>
      </c>
    </row>
    <row r="248" spans="1:16">
      <c r="A248" s="1">
        <v>87175</v>
      </c>
      <c r="B248" s="46">
        <v>80092</v>
      </c>
      <c r="C248" s="24">
        <v>842025</v>
      </c>
      <c r="D248" t="s">
        <v>895</v>
      </c>
      <c r="E248" t="str">
        <f t="shared" ca="1" si="12"/>
        <v>2D13ET87175-67</v>
      </c>
      <c r="I248">
        <f t="shared" ca="1" si="13"/>
        <v>2</v>
      </c>
      <c r="J248" t="s">
        <v>2658</v>
      </c>
      <c r="K248">
        <f t="shared" ca="1" si="14"/>
        <v>13</v>
      </c>
      <c r="L248" t="s">
        <v>804</v>
      </c>
      <c r="M248" t="s">
        <v>2657</v>
      </c>
      <c r="N248" s="1">
        <v>87175</v>
      </c>
      <c r="O248" s="49" t="s">
        <v>2656</v>
      </c>
      <c r="P248">
        <f t="shared" ca="1" si="15"/>
        <v>67</v>
      </c>
    </row>
    <row r="249" spans="1:16">
      <c r="A249" s="1">
        <v>84044</v>
      </c>
      <c r="B249" s="46">
        <v>80090</v>
      </c>
      <c r="C249" s="24">
        <v>842025</v>
      </c>
      <c r="D249" t="s">
        <v>895</v>
      </c>
      <c r="E249" t="str">
        <f t="shared" ca="1" si="12"/>
        <v>7B53DR84044-41</v>
      </c>
      <c r="I249">
        <f t="shared" ca="1" si="13"/>
        <v>7</v>
      </c>
      <c r="J249" t="s">
        <v>954</v>
      </c>
      <c r="K249">
        <f t="shared" ca="1" si="14"/>
        <v>53</v>
      </c>
      <c r="L249" t="s">
        <v>2658</v>
      </c>
      <c r="M249" t="s">
        <v>1920</v>
      </c>
      <c r="N249" s="1">
        <v>84044</v>
      </c>
      <c r="O249" s="49" t="s">
        <v>2656</v>
      </c>
      <c r="P249">
        <f t="shared" ca="1" si="15"/>
        <v>41</v>
      </c>
    </row>
    <row r="250" spans="1:16">
      <c r="A250" s="1">
        <v>84045</v>
      </c>
      <c r="B250" s="46">
        <v>80093</v>
      </c>
      <c r="C250" s="24">
        <v>842025</v>
      </c>
      <c r="D250" t="s">
        <v>895</v>
      </c>
      <c r="E250" t="str">
        <f t="shared" ca="1" si="12"/>
        <v>7C91GS84045-82</v>
      </c>
      <c r="I250">
        <f t="shared" ca="1" si="13"/>
        <v>7</v>
      </c>
      <c r="J250" t="s">
        <v>689</v>
      </c>
      <c r="K250">
        <f t="shared" ca="1" si="14"/>
        <v>91</v>
      </c>
      <c r="L250" t="s">
        <v>2659</v>
      </c>
      <c r="M250" t="s">
        <v>2350</v>
      </c>
      <c r="N250" s="1">
        <v>84045</v>
      </c>
      <c r="O250" s="49" t="s">
        <v>2656</v>
      </c>
      <c r="P250">
        <f t="shared" ca="1" si="15"/>
        <v>82</v>
      </c>
    </row>
    <row r="251" spans="1:16">
      <c r="A251" s="1">
        <v>89365</v>
      </c>
      <c r="B251" s="46">
        <v>84475</v>
      </c>
      <c r="C251" s="24">
        <v>843358</v>
      </c>
      <c r="D251" t="s">
        <v>900</v>
      </c>
      <c r="E251" t="str">
        <f t="shared" ca="1" si="12"/>
        <v>6D67AT89365-69</v>
      </c>
      <c r="I251">
        <f t="shared" ca="1" si="13"/>
        <v>6</v>
      </c>
      <c r="J251" t="s">
        <v>2658</v>
      </c>
      <c r="K251">
        <f t="shared" ca="1" si="14"/>
        <v>67</v>
      </c>
      <c r="L251" t="s">
        <v>425</v>
      </c>
      <c r="M251" t="s">
        <v>2657</v>
      </c>
      <c r="N251" s="1">
        <v>89365</v>
      </c>
      <c r="O251" s="49" t="s">
        <v>2656</v>
      </c>
      <c r="P251">
        <f t="shared" ca="1" si="15"/>
        <v>69</v>
      </c>
    </row>
    <row r="252" spans="1:16">
      <c r="A252" s="1">
        <v>89363</v>
      </c>
      <c r="B252" s="46">
        <v>84474</v>
      </c>
      <c r="C252" s="24">
        <v>843358</v>
      </c>
      <c r="D252" t="s">
        <v>900</v>
      </c>
      <c r="E252" t="str">
        <f t="shared" ca="1" si="12"/>
        <v>5B34GR89363-73</v>
      </c>
      <c r="I252">
        <f t="shared" ca="1" si="13"/>
        <v>5</v>
      </c>
      <c r="J252" t="s">
        <v>954</v>
      </c>
      <c r="K252">
        <f t="shared" ca="1" si="14"/>
        <v>34</v>
      </c>
      <c r="L252" t="s">
        <v>2659</v>
      </c>
      <c r="M252" t="s">
        <v>1920</v>
      </c>
      <c r="N252" s="1">
        <v>89363</v>
      </c>
      <c r="O252" s="49" t="s">
        <v>2656</v>
      </c>
      <c r="P252">
        <f t="shared" ca="1" si="15"/>
        <v>73</v>
      </c>
    </row>
    <row r="253" spans="1:16">
      <c r="A253" s="1">
        <v>89364</v>
      </c>
      <c r="B253" s="46">
        <v>84473</v>
      </c>
      <c r="C253" s="24">
        <v>843358</v>
      </c>
      <c r="D253" t="s">
        <v>900</v>
      </c>
      <c r="E253" t="str">
        <f t="shared" ca="1" si="12"/>
        <v>6C48BS89364-48</v>
      </c>
      <c r="I253">
        <f t="shared" ca="1" si="13"/>
        <v>6</v>
      </c>
      <c r="J253" t="s">
        <v>689</v>
      </c>
      <c r="K253">
        <f t="shared" ca="1" si="14"/>
        <v>48</v>
      </c>
      <c r="L253" t="s">
        <v>954</v>
      </c>
      <c r="M253" t="s">
        <v>2350</v>
      </c>
      <c r="N253" s="1">
        <v>89364</v>
      </c>
      <c r="O253" s="49" t="s">
        <v>2656</v>
      </c>
      <c r="P253">
        <f t="shared" ca="1" si="15"/>
        <v>48</v>
      </c>
    </row>
    <row r="254" spans="1:16">
      <c r="A254" s="1">
        <v>89526</v>
      </c>
      <c r="B254" s="46">
        <v>89514</v>
      </c>
      <c r="C254" s="24">
        <v>845487</v>
      </c>
      <c r="D254" t="s">
        <v>904</v>
      </c>
      <c r="E254" t="str">
        <f t="shared" ca="1" si="12"/>
        <v>1D76FT89526-96</v>
      </c>
      <c r="I254">
        <f t="shared" ca="1" si="13"/>
        <v>1</v>
      </c>
      <c r="J254" t="s">
        <v>2658</v>
      </c>
      <c r="K254">
        <f t="shared" ca="1" si="14"/>
        <v>76</v>
      </c>
      <c r="L254" t="s">
        <v>2661</v>
      </c>
      <c r="M254" t="s">
        <v>2657</v>
      </c>
      <c r="N254" s="1">
        <v>89526</v>
      </c>
      <c r="O254" s="49" t="s">
        <v>2656</v>
      </c>
      <c r="P254">
        <f t="shared" ca="1" si="15"/>
        <v>96</v>
      </c>
    </row>
    <row r="255" spans="1:16">
      <c r="A255" s="1">
        <v>89525</v>
      </c>
      <c r="B255" s="46">
        <v>89515</v>
      </c>
      <c r="C255" s="24">
        <v>845487</v>
      </c>
      <c r="D255" t="s">
        <v>904</v>
      </c>
      <c r="E255" t="str">
        <f t="shared" ca="1" si="12"/>
        <v>4B50DR89525-15</v>
      </c>
      <c r="I255">
        <f t="shared" ca="1" si="13"/>
        <v>4</v>
      </c>
      <c r="J255" t="s">
        <v>954</v>
      </c>
      <c r="K255">
        <f t="shared" ca="1" si="14"/>
        <v>50</v>
      </c>
      <c r="L255" t="s">
        <v>2658</v>
      </c>
      <c r="M255" t="s">
        <v>1920</v>
      </c>
      <c r="N255" s="1">
        <v>89525</v>
      </c>
      <c r="O255" s="49" t="s">
        <v>2656</v>
      </c>
      <c r="P255">
        <f t="shared" ca="1" si="15"/>
        <v>15</v>
      </c>
    </row>
    <row r="256" spans="1:16">
      <c r="A256" s="1">
        <v>89527</v>
      </c>
      <c r="B256" s="46">
        <v>89516</v>
      </c>
      <c r="C256" s="24">
        <v>845487</v>
      </c>
      <c r="D256" t="s">
        <v>904</v>
      </c>
      <c r="E256" t="str">
        <f t="shared" ca="1" si="12"/>
        <v>9C36IS89527-42</v>
      </c>
      <c r="I256">
        <f t="shared" ca="1" si="13"/>
        <v>9</v>
      </c>
      <c r="J256" t="s">
        <v>689</v>
      </c>
      <c r="K256">
        <f t="shared" ca="1" si="14"/>
        <v>36</v>
      </c>
      <c r="L256" t="s">
        <v>304</v>
      </c>
      <c r="M256" t="s">
        <v>2350</v>
      </c>
      <c r="N256" s="1">
        <v>89527</v>
      </c>
      <c r="O256" s="49" t="s">
        <v>2656</v>
      </c>
      <c r="P256">
        <f t="shared" ca="1" si="15"/>
        <v>42</v>
      </c>
    </row>
    <row r="257" spans="1:16">
      <c r="A257" s="1">
        <v>90192</v>
      </c>
      <c r="B257" s="46">
        <v>89517</v>
      </c>
      <c r="C257" s="24">
        <v>845487</v>
      </c>
      <c r="D257" t="s">
        <v>904</v>
      </c>
      <c r="E257" t="str">
        <f t="shared" ca="1" si="12"/>
        <v>4D10CT90192-67</v>
      </c>
      <c r="I257">
        <f t="shared" ca="1" si="13"/>
        <v>4</v>
      </c>
      <c r="J257" t="s">
        <v>2658</v>
      </c>
      <c r="K257">
        <f t="shared" ca="1" si="14"/>
        <v>10</v>
      </c>
      <c r="L257" t="s">
        <v>689</v>
      </c>
      <c r="M257" t="s">
        <v>2657</v>
      </c>
      <c r="N257" s="1">
        <v>90192</v>
      </c>
      <c r="O257" s="49" t="s">
        <v>2656</v>
      </c>
      <c r="P257">
        <f t="shared" ca="1" si="15"/>
        <v>67</v>
      </c>
    </row>
    <row r="258" spans="1:16">
      <c r="A258" s="1">
        <v>90191</v>
      </c>
      <c r="B258" s="46">
        <v>89610</v>
      </c>
      <c r="C258" s="24">
        <v>845562</v>
      </c>
      <c r="D258" t="s">
        <v>909</v>
      </c>
      <c r="E258" t="str">
        <f t="shared" ca="1" si="12"/>
        <v>3B71CR90191-25</v>
      </c>
      <c r="I258">
        <f t="shared" ca="1" si="13"/>
        <v>3</v>
      </c>
      <c r="J258" t="s">
        <v>954</v>
      </c>
      <c r="K258">
        <f t="shared" ca="1" si="14"/>
        <v>71</v>
      </c>
      <c r="L258" t="s">
        <v>689</v>
      </c>
      <c r="M258" t="s">
        <v>1920</v>
      </c>
      <c r="N258" s="1">
        <v>90191</v>
      </c>
      <c r="O258" s="49" t="s">
        <v>2656</v>
      </c>
      <c r="P258">
        <f t="shared" ca="1" si="15"/>
        <v>25</v>
      </c>
    </row>
    <row r="259" spans="1:16">
      <c r="A259" s="1">
        <v>90164</v>
      </c>
      <c r="B259" s="46">
        <v>89609</v>
      </c>
      <c r="C259" s="24">
        <v>845562</v>
      </c>
      <c r="D259" t="s">
        <v>909</v>
      </c>
      <c r="E259" t="str">
        <f t="shared" ca="1" si="12"/>
        <v>3C17HS90164-77</v>
      </c>
      <c r="I259">
        <f t="shared" ca="1" si="13"/>
        <v>3</v>
      </c>
      <c r="J259" t="s">
        <v>689</v>
      </c>
      <c r="K259">
        <f t="shared" ca="1" si="14"/>
        <v>17</v>
      </c>
      <c r="L259" t="s">
        <v>2660</v>
      </c>
      <c r="M259" t="s">
        <v>2350</v>
      </c>
      <c r="N259" s="1">
        <v>90164</v>
      </c>
      <c r="O259" s="49" t="s">
        <v>2656</v>
      </c>
      <c r="P259">
        <f t="shared" ca="1" si="15"/>
        <v>77</v>
      </c>
    </row>
    <row r="260" spans="1:16">
      <c r="A260" s="1">
        <v>90165</v>
      </c>
      <c r="B260" s="46">
        <v>89611</v>
      </c>
      <c r="C260" s="24">
        <v>845562</v>
      </c>
      <c r="D260" t="s">
        <v>909</v>
      </c>
      <c r="E260" t="str">
        <f t="shared" ca="1" si="12"/>
        <v>5D58DT90165-51</v>
      </c>
      <c r="I260">
        <f t="shared" ca="1" si="13"/>
        <v>5</v>
      </c>
      <c r="J260" t="s">
        <v>2658</v>
      </c>
      <c r="K260">
        <f t="shared" ca="1" si="14"/>
        <v>58</v>
      </c>
      <c r="L260" t="s">
        <v>2658</v>
      </c>
      <c r="M260" t="s">
        <v>2657</v>
      </c>
      <c r="N260" s="1">
        <v>90165</v>
      </c>
      <c r="O260" s="49" t="s">
        <v>2656</v>
      </c>
      <c r="P260">
        <f t="shared" ca="1" si="15"/>
        <v>51</v>
      </c>
    </row>
    <row r="261" spans="1:16">
      <c r="A261" s="1">
        <v>90159</v>
      </c>
      <c r="B261" s="46">
        <v>83589</v>
      </c>
      <c r="C261" s="24">
        <v>843419</v>
      </c>
      <c r="D261" t="s">
        <v>913</v>
      </c>
      <c r="E261" t="str">
        <f t="shared" ca="1" si="12"/>
        <v>2B21IR90159-53</v>
      </c>
      <c r="I261">
        <f t="shared" ca="1" si="13"/>
        <v>2</v>
      </c>
      <c r="J261" t="s">
        <v>954</v>
      </c>
      <c r="K261">
        <f t="shared" ca="1" si="14"/>
        <v>21</v>
      </c>
      <c r="L261" t="s">
        <v>304</v>
      </c>
      <c r="M261" t="s">
        <v>1920</v>
      </c>
      <c r="N261" s="1">
        <v>90159</v>
      </c>
      <c r="O261" s="49" t="s">
        <v>2656</v>
      </c>
      <c r="P261">
        <f t="shared" ca="1" si="15"/>
        <v>53</v>
      </c>
    </row>
    <row r="262" spans="1:16">
      <c r="A262" s="1">
        <v>90157</v>
      </c>
      <c r="B262" s="46">
        <v>83588</v>
      </c>
      <c r="C262" s="24">
        <v>843419</v>
      </c>
      <c r="D262" t="s">
        <v>913</v>
      </c>
      <c r="E262" t="str">
        <f t="shared" ca="1" si="12"/>
        <v>2C67FS90157-86</v>
      </c>
      <c r="I262">
        <f t="shared" ca="1" si="13"/>
        <v>2</v>
      </c>
      <c r="J262" t="s">
        <v>689</v>
      </c>
      <c r="K262">
        <f t="shared" ca="1" si="14"/>
        <v>67</v>
      </c>
      <c r="L262" t="s">
        <v>2661</v>
      </c>
      <c r="M262" t="s">
        <v>2350</v>
      </c>
      <c r="N262" s="1">
        <v>90157</v>
      </c>
      <c r="O262" s="49" t="s">
        <v>2656</v>
      </c>
      <c r="P262">
        <f t="shared" ca="1" si="15"/>
        <v>86</v>
      </c>
    </row>
    <row r="263" spans="1:16">
      <c r="A263" s="1">
        <v>90158</v>
      </c>
      <c r="B263" s="46">
        <v>83590</v>
      </c>
      <c r="C263" s="24">
        <v>843419</v>
      </c>
      <c r="D263" t="s">
        <v>913</v>
      </c>
      <c r="E263" t="str">
        <f t="shared" ref="E263:E326" ca="1" si="16">CONCATENATE(I263,J263,K263,L263,M263,N263,O263,P263)</f>
        <v>9D49CT90158-33</v>
      </c>
      <c r="I263">
        <f t="shared" ref="I263:I326" ca="1" si="17">RANDBETWEEN(1,9)</f>
        <v>9</v>
      </c>
      <c r="J263" t="s">
        <v>2658</v>
      </c>
      <c r="K263">
        <f t="shared" ref="K263:K326" ca="1" si="18">RANDBETWEEN(10,99)</f>
        <v>49</v>
      </c>
      <c r="L263" t="s">
        <v>689</v>
      </c>
      <c r="M263" t="s">
        <v>2657</v>
      </c>
      <c r="N263" s="1">
        <v>90158</v>
      </c>
      <c r="O263" s="49" t="s">
        <v>2656</v>
      </c>
      <c r="P263">
        <f t="shared" ref="P263:P326" ca="1" si="19">RANDBETWEEN(10,99)</f>
        <v>33</v>
      </c>
    </row>
    <row r="264" spans="1:16">
      <c r="A264" s="1">
        <v>90171</v>
      </c>
      <c r="B264" s="46">
        <v>86985</v>
      </c>
      <c r="C264" s="24">
        <v>844853</v>
      </c>
      <c r="D264" t="s">
        <v>923</v>
      </c>
      <c r="E264" t="str">
        <f t="shared" ca="1" si="16"/>
        <v>3B43DR90171-94</v>
      </c>
      <c r="I264">
        <f t="shared" ca="1" si="17"/>
        <v>3</v>
      </c>
      <c r="J264" t="s">
        <v>954</v>
      </c>
      <c r="K264">
        <f t="shared" ca="1" si="18"/>
        <v>43</v>
      </c>
      <c r="L264" t="s">
        <v>2658</v>
      </c>
      <c r="M264" t="s">
        <v>1920</v>
      </c>
      <c r="N264" s="1">
        <v>90171</v>
      </c>
      <c r="O264" s="49" t="s">
        <v>2656</v>
      </c>
      <c r="P264">
        <f t="shared" ca="1" si="19"/>
        <v>94</v>
      </c>
    </row>
    <row r="265" spans="1:16">
      <c r="A265" s="1">
        <v>90172</v>
      </c>
      <c r="B265" s="46">
        <v>86982</v>
      </c>
      <c r="C265" s="24">
        <v>844853</v>
      </c>
      <c r="D265" t="s">
        <v>923</v>
      </c>
      <c r="E265" t="str">
        <f t="shared" ca="1" si="16"/>
        <v>5C15ES90172-28</v>
      </c>
      <c r="I265">
        <f t="shared" ca="1" si="17"/>
        <v>5</v>
      </c>
      <c r="J265" t="s">
        <v>689</v>
      </c>
      <c r="K265">
        <f t="shared" ca="1" si="18"/>
        <v>15</v>
      </c>
      <c r="L265" t="s">
        <v>804</v>
      </c>
      <c r="M265" t="s">
        <v>2350</v>
      </c>
      <c r="N265" s="1">
        <v>90172</v>
      </c>
      <c r="O265" s="49" t="s">
        <v>2656</v>
      </c>
      <c r="P265">
        <f t="shared" ca="1" si="19"/>
        <v>28</v>
      </c>
    </row>
    <row r="266" spans="1:16">
      <c r="A266" s="1">
        <v>89203</v>
      </c>
      <c r="B266" s="46">
        <v>86983</v>
      </c>
      <c r="C266" s="24">
        <v>844853</v>
      </c>
      <c r="D266" t="s">
        <v>923</v>
      </c>
      <c r="E266" t="str">
        <f t="shared" ca="1" si="16"/>
        <v>7D48IT89203-98</v>
      </c>
      <c r="I266">
        <f t="shared" ca="1" si="17"/>
        <v>7</v>
      </c>
      <c r="J266" t="s">
        <v>2658</v>
      </c>
      <c r="K266">
        <f t="shared" ca="1" si="18"/>
        <v>48</v>
      </c>
      <c r="L266" t="s">
        <v>304</v>
      </c>
      <c r="M266" t="s">
        <v>2657</v>
      </c>
      <c r="N266" s="1">
        <v>89203</v>
      </c>
      <c r="O266" s="49" t="s">
        <v>2656</v>
      </c>
      <c r="P266">
        <f t="shared" ca="1" si="19"/>
        <v>98</v>
      </c>
    </row>
    <row r="267" spans="1:16">
      <c r="A267" s="1">
        <v>89204</v>
      </c>
      <c r="B267" s="46">
        <v>86984</v>
      </c>
      <c r="C267" s="24">
        <v>844853</v>
      </c>
      <c r="D267" t="s">
        <v>923</v>
      </c>
      <c r="E267" t="str">
        <f t="shared" ca="1" si="16"/>
        <v>7B84IR89204-69</v>
      </c>
      <c r="I267">
        <f t="shared" ca="1" si="17"/>
        <v>7</v>
      </c>
      <c r="J267" t="s">
        <v>954</v>
      </c>
      <c r="K267">
        <f t="shared" ca="1" si="18"/>
        <v>84</v>
      </c>
      <c r="L267" t="s">
        <v>304</v>
      </c>
      <c r="M267" t="s">
        <v>1920</v>
      </c>
      <c r="N267" s="1">
        <v>89204</v>
      </c>
      <c r="O267" s="49" t="s">
        <v>2656</v>
      </c>
      <c r="P267">
        <f t="shared" ca="1" si="19"/>
        <v>69</v>
      </c>
    </row>
    <row r="268" spans="1:16">
      <c r="A268" s="1">
        <v>89205</v>
      </c>
      <c r="B268" s="46">
        <v>86986</v>
      </c>
      <c r="C268" s="24">
        <v>844853</v>
      </c>
      <c r="D268" t="s">
        <v>923</v>
      </c>
      <c r="E268" t="str">
        <f t="shared" ca="1" si="16"/>
        <v>6C29BS89205-17</v>
      </c>
      <c r="I268">
        <f t="shared" ca="1" si="17"/>
        <v>6</v>
      </c>
      <c r="J268" t="s">
        <v>689</v>
      </c>
      <c r="K268">
        <f t="shared" ca="1" si="18"/>
        <v>29</v>
      </c>
      <c r="L268" t="s">
        <v>954</v>
      </c>
      <c r="M268" t="s">
        <v>2350</v>
      </c>
      <c r="N268" s="1">
        <v>89205</v>
      </c>
      <c r="O268" s="49" t="s">
        <v>2656</v>
      </c>
      <c r="P268">
        <f t="shared" ca="1" si="19"/>
        <v>17</v>
      </c>
    </row>
    <row r="269" spans="1:16">
      <c r="A269" s="1">
        <v>89202</v>
      </c>
      <c r="B269" s="46">
        <v>89238</v>
      </c>
      <c r="C269" s="24">
        <v>844327</v>
      </c>
      <c r="D269" t="s">
        <v>930</v>
      </c>
      <c r="E269" t="str">
        <f t="shared" ca="1" si="16"/>
        <v>5D82ET89202-62</v>
      </c>
      <c r="I269">
        <f t="shared" ca="1" si="17"/>
        <v>5</v>
      </c>
      <c r="J269" t="s">
        <v>2658</v>
      </c>
      <c r="K269">
        <f t="shared" ca="1" si="18"/>
        <v>82</v>
      </c>
      <c r="L269" t="s">
        <v>804</v>
      </c>
      <c r="M269" t="s">
        <v>2657</v>
      </c>
      <c r="N269" s="1">
        <v>89202</v>
      </c>
      <c r="O269" s="49" t="s">
        <v>2656</v>
      </c>
      <c r="P269">
        <f t="shared" ca="1" si="19"/>
        <v>62</v>
      </c>
    </row>
    <row r="270" spans="1:16">
      <c r="A270" s="1">
        <v>89200</v>
      </c>
      <c r="B270" s="46">
        <v>89240</v>
      </c>
      <c r="C270" s="24">
        <v>844327</v>
      </c>
      <c r="D270" t="s">
        <v>930</v>
      </c>
      <c r="E270" t="str">
        <f t="shared" ca="1" si="16"/>
        <v>7B23ER89200-68</v>
      </c>
      <c r="I270">
        <f t="shared" ca="1" si="17"/>
        <v>7</v>
      </c>
      <c r="J270" t="s">
        <v>954</v>
      </c>
      <c r="K270">
        <f t="shared" ca="1" si="18"/>
        <v>23</v>
      </c>
      <c r="L270" t="s">
        <v>804</v>
      </c>
      <c r="M270" t="s">
        <v>1920</v>
      </c>
      <c r="N270" s="1">
        <v>89200</v>
      </c>
      <c r="O270" s="49" t="s">
        <v>2656</v>
      </c>
      <c r="P270">
        <f t="shared" ca="1" si="19"/>
        <v>68</v>
      </c>
    </row>
    <row r="271" spans="1:16">
      <c r="A271" s="1">
        <v>89198</v>
      </c>
      <c r="B271" s="46">
        <v>89239</v>
      </c>
      <c r="C271" s="24">
        <v>844327</v>
      </c>
      <c r="D271" t="s">
        <v>930</v>
      </c>
      <c r="E271" t="str">
        <f t="shared" ca="1" si="16"/>
        <v>1C19AS89198-61</v>
      </c>
      <c r="I271">
        <f t="shared" ca="1" si="17"/>
        <v>1</v>
      </c>
      <c r="J271" t="s">
        <v>689</v>
      </c>
      <c r="K271">
        <f t="shared" ca="1" si="18"/>
        <v>19</v>
      </c>
      <c r="L271" t="s">
        <v>425</v>
      </c>
      <c r="M271" t="s">
        <v>2350</v>
      </c>
      <c r="N271" s="1">
        <v>89198</v>
      </c>
      <c r="O271" s="49" t="s">
        <v>2656</v>
      </c>
      <c r="P271">
        <f t="shared" ca="1" si="19"/>
        <v>61</v>
      </c>
    </row>
    <row r="272" spans="1:16">
      <c r="A272" s="1">
        <v>89201</v>
      </c>
      <c r="B272" s="46">
        <v>89112</v>
      </c>
      <c r="C272" s="24">
        <v>843343</v>
      </c>
      <c r="D272" t="s">
        <v>936</v>
      </c>
      <c r="E272" t="str">
        <f t="shared" ca="1" si="16"/>
        <v>5D60HT89201-99</v>
      </c>
      <c r="I272">
        <f t="shared" ca="1" si="17"/>
        <v>5</v>
      </c>
      <c r="J272" t="s">
        <v>2658</v>
      </c>
      <c r="K272">
        <f t="shared" ca="1" si="18"/>
        <v>60</v>
      </c>
      <c r="L272" t="s">
        <v>2660</v>
      </c>
      <c r="M272" t="s">
        <v>2657</v>
      </c>
      <c r="N272" s="1">
        <v>89201</v>
      </c>
      <c r="O272" s="49" t="s">
        <v>2656</v>
      </c>
      <c r="P272">
        <f t="shared" ca="1" si="19"/>
        <v>99</v>
      </c>
    </row>
    <row r="273" spans="1:16">
      <c r="A273" s="1">
        <v>89199</v>
      </c>
      <c r="B273" s="46">
        <v>89113</v>
      </c>
      <c r="C273" s="24">
        <v>843343</v>
      </c>
      <c r="D273" t="s">
        <v>936</v>
      </c>
      <c r="E273" t="str">
        <f t="shared" ca="1" si="16"/>
        <v>6B92DR89199-98</v>
      </c>
      <c r="I273">
        <f t="shared" ca="1" si="17"/>
        <v>6</v>
      </c>
      <c r="J273" t="s">
        <v>954</v>
      </c>
      <c r="K273">
        <f t="shared" ca="1" si="18"/>
        <v>92</v>
      </c>
      <c r="L273" t="s">
        <v>2658</v>
      </c>
      <c r="M273" t="s">
        <v>1920</v>
      </c>
      <c r="N273" s="1">
        <v>89199</v>
      </c>
      <c r="O273" s="49" t="s">
        <v>2656</v>
      </c>
      <c r="P273">
        <f t="shared" ca="1" si="19"/>
        <v>98</v>
      </c>
    </row>
    <row r="274" spans="1:16">
      <c r="A274" s="1">
        <v>89174</v>
      </c>
      <c r="B274" s="46">
        <v>89114</v>
      </c>
      <c r="C274" s="24">
        <v>843343</v>
      </c>
      <c r="D274" t="s">
        <v>936</v>
      </c>
      <c r="E274" t="str">
        <f t="shared" ca="1" si="16"/>
        <v>8C79ES89174-20</v>
      </c>
      <c r="I274">
        <f t="shared" ca="1" si="17"/>
        <v>8</v>
      </c>
      <c r="J274" t="s">
        <v>689</v>
      </c>
      <c r="K274">
        <f t="shared" ca="1" si="18"/>
        <v>79</v>
      </c>
      <c r="L274" t="s">
        <v>804</v>
      </c>
      <c r="M274" t="s">
        <v>2350</v>
      </c>
      <c r="N274" s="1">
        <v>89174</v>
      </c>
      <c r="O274" s="49" t="s">
        <v>2656</v>
      </c>
      <c r="P274">
        <f t="shared" ca="1" si="19"/>
        <v>20</v>
      </c>
    </row>
    <row r="275" spans="1:16">
      <c r="A275" s="1">
        <v>89175</v>
      </c>
      <c r="B275" s="46">
        <v>89538</v>
      </c>
      <c r="C275" s="24">
        <v>844630</v>
      </c>
      <c r="D275" t="s">
        <v>942</v>
      </c>
      <c r="E275" t="str">
        <f t="shared" ca="1" si="16"/>
        <v>1D97DT89175-93</v>
      </c>
      <c r="I275">
        <f t="shared" ca="1" si="17"/>
        <v>1</v>
      </c>
      <c r="J275" t="s">
        <v>2658</v>
      </c>
      <c r="K275">
        <f t="shared" ca="1" si="18"/>
        <v>97</v>
      </c>
      <c r="L275" t="s">
        <v>2658</v>
      </c>
      <c r="M275" t="s">
        <v>2657</v>
      </c>
      <c r="N275" s="1">
        <v>89175</v>
      </c>
      <c r="O275" s="49" t="s">
        <v>2656</v>
      </c>
      <c r="P275">
        <f t="shared" ca="1" si="19"/>
        <v>93</v>
      </c>
    </row>
    <row r="276" spans="1:16">
      <c r="A276" s="1">
        <v>89176</v>
      </c>
      <c r="B276" s="46">
        <v>89536</v>
      </c>
      <c r="C276" s="24">
        <v>844630</v>
      </c>
      <c r="D276" t="s">
        <v>942</v>
      </c>
      <c r="E276" t="str">
        <f t="shared" ca="1" si="16"/>
        <v>3B12IR89176-97</v>
      </c>
      <c r="I276">
        <f t="shared" ca="1" si="17"/>
        <v>3</v>
      </c>
      <c r="J276" t="s">
        <v>954</v>
      </c>
      <c r="K276">
        <f t="shared" ca="1" si="18"/>
        <v>12</v>
      </c>
      <c r="L276" t="s">
        <v>304</v>
      </c>
      <c r="M276" t="s">
        <v>1920</v>
      </c>
      <c r="N276" s="1">
        <v>89176</v>
      </c>
      <c r="O276" s="49" t="s">
        <v>2656</v>
      </c>
      <c r="P276">
        <f t="shared" ca="1" si="19"/>
        <v>97</v>
      </c>
    </row>
    <row r="277" spans="1:16">
      <c r="A277" s="1">
        <v>89177</v>
      </c>
      <c r="B277" s="46">
        <v>89539</v>
      </c>
      <c r="C277" s="24">
        <v>844630</v>
      </c>
      <c r="D277" t="s">
        <v>942</v>
      </c>
      <c r="E277" t="str">
        <f t="shared" ca="1" si="16"/>
        <v>5C24IS89177-97</v>
      </c>
      <c r="I277">
        <f t="shared" ca="1" si="17"/>
        <v>5</v>
      </c>
      <c r="J277" t="s">
        <v>689</v>
      </c>
      <c r="K277">
        <f t="shared" ca="1" si="18"/>
        <v>24</v>
      </c>
      <c r="L277" t="s">
        <v>304</v>
      </c>
      <c r="M277" t="s">
        <v>2350</v>
      </c>
      <c r="N277" s="1">
        <v>89177</v>
      </c>
      <c r="O277" s="49" t="s">
        <v>2656</v>
      </c>
      <c r="P277">
        <f t="shared" ca="1" si="19"/>
        <v>97</v>
      </c>
    </row>
    <row r="278" spans="1:16">
      <c r="A278" s="1">
        <v>88426</v>
      </c>
      <c r="B278" s="46">
        <v>89537</v>
      </c>
      <c r="C278" s="24">
        <v>844630</v>
      </c>
      <c r="D278" t="s">
        <v>942</v>
      </c>
      <c r="E278" t="str">
        <f t="shared" ca="1" si="16"/>
        <v>9D89AT88426-41</v>
      </c>
      <c r="I278">
        <f t="shared" ca="1" si="17"/>
        <v>9</v>
      </c>
      <c r="J278" t="s">
        <v>2658</v>
      </c>
      <c r="K278">
        <f t="shared" ca="1" si="18"/>
        <v>89</v>
      </c>
      <c r="L278" t="s">
        <v>425</v>
      </c>
      <c r="M278" t="s">
        <v>2657</v>
      </c>
      <c r="N278" s="1">
        <v>88426</v>
      </c>
      <c r="O278" s="49" t="s">
        <v>2656</v>
      </c>
      <c r="P278">
        <f t="shared" ca="1" si="19"/>
        <v>41</v>
      </c>
    </row>
    <row r="279" spans="1:16">
      <c r="A279" s="1">
        <v>88428</v>
      </c>
      <c r="B279" s="46">
        <v>83225</v>
      </c>
      <c r="C279" s="24">
        <v>841818</v>
      </c>
      <c r="D279" t="s">
        <v>947</v>
      </c>
      <c r="E279" t="str">
        <f t="shared" ca="1" si="16"/>
        <v>1B88HR88428-59</v>
      </c>
      <c r="I279">
        <f t="shared" ca="1" si="17"/>
        <v>1</v>
      </c>
      <c r="J279" t="s">
        <v>954</v>
      </c>
      <c r="K279">
        <f t="shared" ca="1" si="18"/>
        <v>88</v>
      </c>
      <c r="L279" t="s">
        <v>2660</v>
      </c>
      <c r="M279" t="s">
        <v>1920</v>
      </c>
      <c r="N279" s="1">
        <v>88428</v>
      </c>
      <c r="O279" s="49" t="s">
        <v>2656</v>
      </c>
      <c r="P279">
        <f t="shared" ca="1" si="19"/>
        <v>59</v>
      </c>
    </row>
    <row r="280" spans="1:16">
      <c r="A280" s="1">
        <v>88427</v>
      </c>
      <c r="B280" s="46">
        <v>83224</v>
      </c>
      <c r="C280" s="24">
        <v>841818</v>
      </c>
      <c r="D280" t="s">
        <v>947</v>
      </c>
      <c r="E280" t="str">
        <f t="shared" ca="1" si="16"/>
        <v>5C49CS88427-39</v>
      </c>
      <c r="I280">
        <f t="shared" ca="1" si="17"/>
        <v>5</v>
      </c>
      <c r="J280" t="s">
        <v>689</v>
      </c>
      <c r="K280">
        <f t="shared" ca="1" si="18"/>
        <v>49</v>
      </c>
      <c r="L280" t="s">
        <v>689</v>
      </c>
      <c r="M280" t="s">
        <v>2350</v>
      </c>
      <c r="N280" s="1">
        <v>88427</v>
      </c>
      <c r="O280" s="49" t="s">
        <v>2656</v>
      </c>
      <c r="P280">
        <f t="shared" ca="1" si="19"/>
        <v>39</v>
      </c>
    </row>
    <row r="281" spans="1:16">
      <c r="A281" s="1">
        <v>88429</v>
      </c>
      <c r="B281" s="46">
        <v>83226</v>
      </c>
      <c r="C281" s="24">
        <v>841818</v>
      </c>
      <c r="D281" t="s">
        <v>947</v>
      </c>
      <c r="E281" t="str">
        <f t="shared" ca="1" si="16"/>
        <v>7D97BT88429-98</v>
      </c>
      <c r="I281">
        <f t="shared" ca="1" si="17"/>
        <v>7</v>
      </c>
      <c r="J281" t="s">
        <v>2658</v>
      </c>
      <c r="K281">
        <f t="shared" ca="1" si="18"/>
        <v>97</v>
      </c>
      <c r="L281" t="s">
        <v>954</v>
      </c>
      <c r="M281" t="s">
        <v>2657</v>
      </c>
      <c r="N281" s="1">
        <v>88429</v>
      </c>
      <c r="O281" s="49" t="s">
        <v>2656</v>
      </c>
      <c r="P281">
        <f t="shared" ca="1" si="19"/>
        <v>98</v>
      </c>
    </row>
    <row r="282" spans="1:16">
      <c r="A282" s="1">
        <v>84862</v>
      </c>
      <c r="B282" s="46">
        <v>83223</v>
      </c>
      <c r="C282" s="24">
        <v>841818</v>
      </c>
      <c r="D282" t="s">
        <v>947</v>
      </c>
      <c r="E282" t="str">
        <f t="shared" ca="1" si="16"/>
        <v>4B90ER84862-50</v>
      </c>
      <c r="I282">
        <f t="shared" ca="1" si="17"/>
        <v>4</v>
      </c>
      <c r="J282" t="s">
        <v>954</v>
      </c>
      <c r="K282">
        <f t="shared" ca="1" si="18"/>
        <v>90</v>
      </c>
      <c r="L282" t="s">
        <v>804</v>
      </c>
      <c r="M282" t="s">
        <v>1920</v>
      </c>
      <c r="N282" s="1">
        <v>84862</v>
      </c>
      <c r="O282" s="49" t="s">
        <v>2656</v>
      </c>
      <c r="P282">
        <f t="shared" ca="1" si="19"/>
        <v>50</v>
      </c>
    </row>
    <row r="283" spans="1:16">
      <c r="A283" s="1">
        <v>84863</v>
      </c>
      <c r="B283" s="46">
        <v>86248</v>
      </c>
      <c r="C283" s="24">
        <v>843312</v>
      </c>
      <c r="D283" t="s">
        <v>953</v>
      </c>
      <c r="E283" t="str">
        <f t="shared" ca="1" si="16"/>
        <v>8C38FS84863-79</v>
      </c>
      <c r="I283">
        <f t="shared" ca="1" si="17"/>
        <v>8</v>
      </c>
      <c r="J283" t="s">
        <v>689</v>
      </c>
      <c r="K283">
        <f t="shared" ca="1" si="18"/>
        <v>38</v>
      </c>
      <c r="L283" t="s">
        <v>2661</v>
      </c>
      <c r="M283" t="s">
        <v>2350</v>
      </c>
      <c r="N283" s="1">
        <v>84863</v>
      </c>
      <c r="O283" s="49" t="s">
        <v>2656</v>
      </c>
      <c r="P283">
        <f t="shared" ca="1" si="19"/>
        <v>79</v>
      </c>
    </row>
    <row r="284" spans="1:16">
      <c r="A284" s="1">
        <v>87455</v>
      </c>
      <c r="B284" s="46">
        <v>86250</v>
      </c>
      <c r="C284" s="24">
        <v>843312</v>
      </c>
      <c r="D284" t="s">
        <v>953</v>
      </c>
      <c r="E284" t="str">
        <f t="shared" ca="1" si="16"/>
        <v>9D76CT87455-54</v>
      </c>
      <c r="I284">
        <f t="shared" ca="1" si="17"/>
        <v>9</v>
      </c>
      <c r="J284" t="s">
        <v>2658</v>
      </c>
      <c r="K284">
        <f t="shared" ca="1" si="18"/>
        <v>76</v>
      </c>
      <c r="L284" t="s">
        <v>689</v>
      </c>
      <c r="M284" t="s">
        <v>2657</v>
      </c>
      <c r="N284" s="1">
        <v>87455</v>
      </c>
      <c r="O284" s="49" t="s">
        <v>2656</v>
      </c>
      <c r="P284">
        <f t="shared" ca="1" si="19"/>
        <v>54</v>
      </c>
    </row>
    <row r="285" spans="1:16">
      <c r="A285" s="1">
        <v>87454</v>
      </c>
      <c r="B285" s="46">
        <v>86249</v>
      </c>
      <c r="C285" s="24">
        <v>843312</v>
      </c>
      <c r="D285" t="s">
        <v>953</v>
      </c>
      <c r="E285" t="str">
        <f t="shared" ca="1" si="16"/>
        <v>9B48HR87454-25</v>
      </c>
      <c r="I285">
        <f t="shared" ca="1" si="17"/>
        <v>9</v>
      </c>
      <c r="J285" t="s">
        <v>954</v>
      </c>
      <c r="K285">
        <f t="shared" ca="1" si="18"/>
        <v>48</v>
      </c>
      <c r="L285" t="s">
        <v>2660</v>
      </c>
      <c r="M285" t="s">
        <v>1920</v>
      </c>
      <c r="N285" s="1">
        <v>87454</v>
      </c>
      <c r="O285" s="49" t="s">
        <v>2656</v>
      </c>
      <c r="P285">
        <f t="shared" ca="1" si="19"/>
        <v>25</v>
      </c>
    </row>
    <row r="286" spans="1:16">
      <c r="A286" s="1">
        <v>87456</v>
      </c>
      <c r="B286" s="46">
        <v>87174</v>
      </c>
      <c r="C286" s="24">
        <v>844053</v>
      </c>
      <c r="D286" t="s">
        <v>967</v>
      </c>
      <c r="E286" t="str">
        <f t="shared" ca="1" si="16"/>
        <v>5C40CS87456-75</v>
      </c>
      <c r="I286">
        <f t="shared" ca="1" si="17"/>
        <v>5</v>
      </c>
      <c r="J286" t="s">
        <v>689</v>
      </c>
      <c r="K286">
        <f t="shared" ca="1" si="18"/>
        <v>40</v>
      </c>
      <c r="L286" t="s">
        <v>689</v>
      </c>
      <c r="M286" t="s">
        <v>2350</v>
      </c>
      <c r="N286" s="1">
        <v>87456</v>
      </c>
      <c r="O286" s="49" t="s">
        <v>2656</v>
      </c>
      <c r="P286">
        <f t="shared" ca="1" si="19"/>
        <v>75</v>
      </c>
    </row>
    <row r="287" spans="1:16">
      <c r="A287" s="1">
        <v>89006</v>
      </c>
      <c r="B287" s="46">
        <v>87176</v>
      </c>
      <c r="C287" s="24">
        <v>844053</v>
      </c>
      <c r="D287" t="s">
        <v>967</v>
      </c>
      <c r="E287" t="str">
        <f t="shared" ca="1" si="16"/>
        <v>1D94BT89006-45</v>
      </c>
      <c r="I287">
        <f t="shared" ca="1" si="17"/>
        <v>1</v>
      </c>
      <c r="J287" t="s">
        <v>2658</v>
      </c>
      <c r="K287">
        <f t="shared" ca="1" si="18"/>
        <v>94</v>
      </c>
      <c r="L287" t="s">
        <v>954</v>
      </c>
      <c r="M287" t="s">
        <v>2657</v>
      </c>
      <c r="N287" s="1">
        <v>89006</v>
      </c>
      <c r="O287" s="49" t="s">
        <v>2656</v>
      </c>
      <c r="P287">
        <f t="shared" ca="1" si="19"/>
        <v>45</v>
      </c>
    </row>
    <row r="288" spans="1:16">
      <c r="A288" s="1">
        <v>89007</v>
      </c>
      <c r="B288" s="46">
        <v>87175</v>
      </c>
      <c r="C288" s="24">
        <v>844053</v>
      </c>
      <c r="D288" t="s">
        <v>967</v>
      </c>
      <c r="E288" t="str">
        <f t="shared" ca="1" si="16"/>
        <v>3B48HR89007-76</v>
      </c>
      <c r="I288">
        <f t="shared" ca="1" si="17"/>
        <v>3</v>
      </c>
      <c r="J288" t="s">
        <v>954</v>
      </c>
      <c r="K288">
        <f t="shared" ca="1" si="18"/>
        <v>48</v>
      </c>
      <c r="L288" t="s">
        <v>2660</v>
      </c>
      <c r="M288" t="s">
        <v>1920</v>
      </c>
      <c r="N288" s="1">
        <v>89007</v>
      </c>
      <c r="O288" s="49" t="s">
        <v>2656</v>
      </c>
      <c r="P288">
        <f t="shared" ca="1" si="19"/>
        <v>76</v>
      </c>
    </row>
    <row r="289" spans="1:16">
      <c r="A289" s="1">
        <v>89008</v>
      </c>
      <c r="B289" s="46">
        <v>84044</v>
      </c>
      <c r="C289" s="24">
        <v>843466</v>
      </c>
      <c r="D289" t="s">
        <v>974</v>
      </c>
      <c r="E289" t="str">
        <f t="shared" ca="1" si="16"/>
        <v>4C33BS89008-91</v>
      </c>
      <c r="I289">
        <f t="shared" ca="1" si="17"/>
        <v>4</v>
      </c>
      <c r="J289" t="s">
        <v>689</v>
      </c>
      <c r="K289">
        <f t="shared" ca="1" si="18"/>
        <v>33</v>
      </c>
      <c r="L289" t="s">
        <v>954</v>
      </c>
      <c r="M289" t="s">
        <v>2350</v>
      </c>
      <c r="N289" s="1">
        <v>89008</v>
      </c>
      <c r="O289" s="49" t="s">
        <v>2656</v>
      </c>
      <c r="P289">
        <f t="shared" ca="1" si="19"/>
        <v>91</v>
      </c>
    </row>
    <row r="290" spans="1:16">
      <c r="A290" s="1">
        <v>84814</v>
      </c>
      <c r="B290" s="46">
        <v>84045</v>
      </c>
      <c r="C290" s="24">
        <v>843466</v>
      </c>
      <c r="D290" t="s">
        <v>974</v>
      </c>
      <c r="E290" t="str">
        <f t="shared" ca="1" si="16"/>
        <v>9D34HT84814-70</v>
      </c>
      <c r="I290">
        <f t="shared" ca="1" si="17"/>
        <v>9</v>
      </c>
      <c r="J290" t="s">
        <v>2658</v>
      </c>
      <c r="K290">
        <f t="shared" ca="1" si="18"/>
        <v>34</v>
      </c>
      <c r="L290" t="s">
        <v>2660</v>
      </c>
      <c r="M290" t="s">
        <v>2657</v>
      </c>
      <c r="N290" s="1">
        <v>84814</v>
      </c>
      <c r="O290" s="49" t="s">
        <v>2656</v>
      </c>
      <c r="P290">
        <f t="shared" ca="1" si="19"/>
        <v>70</v>
      </c>
    </row>
    <row r="291" spans="1:16">
      <c r="A291" s="1">
        <v>84816</v>
      </c>
      <c r="B291" s="46">
        <v>89365</v>
      </c>
      <c r="C291" s="24">
        <v>843832</v>
      </c>
      <c r="D291" t="s">
        <v>983</v>
      </c>
      <c r="E291" t="str">
        <f t="shared" ca="1" si="16"/>
        <v>8B17IR84816-23</v>
      </c>
      <c r="I291">
        <f t="shared" ca="1" si="17"/>
        <v>8</v>
      </c>
      <c r="J291" t="s">
        <v>954</v>
      </c>
      <c r="K291">
        <f t="shared" ca="1" si="18"/>
        <v>17</v>
      </c>
      <c r="L291" t="s">
        <v>304</v>
      </c>
      <c r="M291" t="s">
        <v>1920</v>
      </c>
      <c r="N291" s="1">
        <v>84816</v>
      </c>
      <c r="O291" s="49" t="s">
        <v>2656</v>
      </c>
      <c r="P291">
        <f t="shared" ca="1" si="19"/>
        <v>23</v>
      </c>
    </row>
    <row r="292" spans="1:16">
      <c r="A292" s="1">
        <v>84815</v>
      </c>
      <c r="B292" s="46">
        <v>89363</v>
      </c>
      <c r="C292" s="24">
        <v>843832</v>
      </c>
      <c r="D292" t="s">
        <v>983</v>
      </c>
      <c r="E292" t="str">
        <f t="shared" ca="1" si="16"/>
        <v>5C80FS84815-41</v>
      </c>
      <c r="I292">
        <f t="shared" ca="1" si="17"/>
        <v>5</v>
      </c>
      <c r="J292" t="s">
        <v>689</v>
      </c>
      <c r="K292">
        <f t="shared" ca="1" si="18"/>
        <v>80</v>
      </c>
      <c r="L292" t="s">
        <v>2661</v>
      </c>
      <c r="M292" t="s">
        <v>2350</v>
      </c>
      <c r="N292" s="1">
        <v>84815</v>
      </c>
      <c r="O292" s="49" t="s">
        <v>2656</v>
      </c>
      <c r="P292">
        <f t="shared" ca="1" si="19"/>
        <v>41</v>
      </c>
    </row>
    <row r="293" spans="1:16">
      <c r="A293" s="1">
        <v>89084</v>
      </c>
      <c r="B293" s="46">
        <v>89364</v>
      </c>
      <c r="C293" s="24">
        <v>843832</v>
      </c>
      <c r="D293" t="s">
        <v>983</v>
      </c>
      <c r="E293" t="str">
        <f t="shared" ca="1" si="16"/>
        <v>3D93ET89084-30</v>
      </c>
      <c r="I293">
        <f t="shared" ca="1" si="17"/>
        <v>3</v>
      </c>
      <c r="J293" t="s">
        <v>2658</v>
      </c>
      <c r="K293">
        <f t="shared" ca="1" si="18"/>
        <v>93</v>
      </c>
      <c r="L293" t="s">
        <v>804</v>
      </c>
      <c r="M293" t="s">
        <v>2657</v>
      </c>
      <c r="N293" s="1">
        <v>89084</v>
      </c>
      <c r="O293" s="49" t="s">
        <v>2656</v>
      </c>
      <c r="P293">
        <f t="shared" ca="1" si="19"/>
        <v>30</v>
      </c>
    </row>
    <row r="294" spans="1:16">
      <c r="A294" s="1">
        <v>89083</v>
      </c>
      <c r="B294" s="46">
        <v>89526</v>
      </c>
      <c r="C294" s="24">
        <v>845568</v>
      </c>
      <c r="D294" t="s">
        <v>987</v>
      </c>
      <c r="E294" t="str">
        <f t="shared" ca="1" si="16"/>
        <v>7B13CR89083-58</v>
      </c>
      <c r="I294">
        <f t="shared" ca="1" si="17"/>
        <v>7</v>
      </c>
      <c r="J294" t="s">
        <v>954</v>
      </c>
      <c r="K294">
        <f t="shared" ca="1" si="18"/>
        <v>13</v>
      </c>
      <c r="L294" t="s">
        <v>689</v>
      </c>
      <c r="M294" t="s">
        <v>1920</v>
      </c>
      <c r="N294" s="1">
        <v>89083</v>
      </c>
      <c r="O294" s="49" t="s">
        <v>2656</v>
      </c>
      <c r="P294">
        <f t="shared" ca="1" si="19"/>
        <v>58</v>
      </c>
    </row>
    <row r="295" spans="1:16">
      <c r="A295" s="1">
        <v>89085</v>
      </c>
      <c r="B295" s="46">
        <v>89525</v>
      </c>
      <c r="C295" s="24">
        <v>845568</v>
      </c>
      <c r="D295" t="s">
        <v>987</v>
      </c>
      <c r="E295" t="str">
        <f t="shared" ca="1" si="16"/>
        <v>7C87GS89085-26</v>
      </c>
      <c r="I295">
        <f t="shared" ca="1" si="17"/>
        <v>7</v>
      </c>
      <c r="J295" t="s">
        <v>689</v>
      </c>
      <c r="K295">
        <f t="shared" ca="1" si="18"/>
        <v>87</v>
      </c>
      <c r="L295" t="s">
        <v>2659</v>
      </c>
      <c r="M295" t="s">
        <v>2350</v>
      </c>
      <c r="N295" s="1">
        <v>89085</v>
      </c>
      <c r="O295" s="49" t="s">
        <v>2656</v>
      </c>
      <c r="P295">
        <f t="shared" ca="1" si="19"/>
        <v>26</v>
      </c>
    </row>
    <row r="296" spans="1:16">
      <c r="A296" s="1">
        <v>89767</v>
      </c>
      <c r="B296" s="46">
        <v>89527</v>
      </c>
      <c r="C296" s="24">
        <v>845568</v>
      </c>
      <c r="D296" t="s">
        <v>987</v>
      </c>
      <c r="E296" t="str">
        <f t="shared" ca="1" si="16"/>
        <v>5D17HT89767-35</v>
      </c>
      <c r="I296">
        <f t="shared" ca="1" si="17"/>
        <v>5</v>
      </c>
      <c r="J296" t="s">
        <v>2658</v>
      </c>
      <c r="K296">
        <f t="shared" ca="1" si="18"/>
        <v>17</v>
      </c>
      <c r="L296" t="s">
        <v>2660</v>
      </c>
      <c r="M296" t="s">
        <v>2657</v>
      </c>
      <c r="N296" s="1">
        <v>89767</v>
      </c>
      <c r="O296" s="49" t="s">
        <v>2656</v>
      </c>
      <c r="P296">
        <f t="shared" ca="1" si="19"/>
        <v>35</v>
      </c>
    </row>
    <row r="297" spans="1:16">
      <c r="A297" s="1">
        <v>89766</v>
      </c>
      <c r="B297" s="46">
        <v>90192</v>
      </c>
      <c r="C297" s="24">
        <v>845686</v>
      </c>
      <c r="D297" t="s">
        <v>996</v>
      </c>
      <c r="E297" t="str">
        <f t="shared" ca="1" si="16"/>
        <v>6B29AR89766-19</v>
      </c>
      <c r="I297">
        <f t="shared" ca="1" si="17"/>
        <v>6</v>
      </c>
      <c r="J297" t="s">
        <v>954</v>
      </c>
      <c r="K297">
        <f t="shared" ca="1" si="18"/>
        <v>29</v>
      </c>
      <c r="L297" t="s">
        <v>425</v>
      </c>
      <c r="M297" t="s">
        <v>1920</v>
      </c>
      <c r="N297" s="1">
        <v>89766</v>
      </c>
      <c r="O297" s="49" t="s">
        <v>2656</v>
      </c>
      <c r="P297">
        <f t="shared" ca="1" si="19"/>
        <v>19</v>
      </c>
    </row>
    <row r="298" spans="1:16">
      <c r="A298" s="1">
        <v>86555</v>
      </c>
      <c r="B298" s="46">
        <v>90191</v>
      </c>
      <c r="C298" s="24">
        <v>845686</v>
      </c>
      <c r="D298" t="s">
        <v>996</v>
      </c>
      <c r="E298" t="str">
        <f t="shared" ca="1" si="16"/>
        <v>4C42BS86555-56</v>
      </c>
      <c r="I298">
        <f t="shared" ca="1" si="17"/>
        <v>4</v>
      </c>
      <c r="J298" t="s">
        <v>689</v>
      </c>
      <c r="K298">
        <f t="shared" ca="1" si="18"/>
        <v>42</v>
      </c>
      <c r="L298" t="s">
        <v>954</v>
      </c>
      <c r="M298" t="s">
        <v>2350</v>
      </c>
      <c r="N298" s="1">
        <v>86555</v>
      </c>
      <c r="O298" s="49" t="s">
        <v>2656</v>
      </c>
      <c r="P298">
        <f t="shared" ca="1" si="19"/>
        <v>56</v>
      </c>
    </row>
    <row r="299" spans="1:16">
      <c r="A299" s="1">
        <v>86557</v>
      </c>
      <c r="B299" s="46">
        <v>90164</v>
      </c>
      <c r="C299" s="24">
        <v>845630</v>
      </c>
      <c r="D299" t="s">
        <v>1001</v>
      </c>
      <c r="E299" t="str">
        <f t="shared" ca="1" si="16"/>
        <v>8D43CT86557-30</v>
      </c>
      <c r="I299">
        <f t="shared" ca="1" si="17"/>
        <v>8</v>
      </c>
      <c r="J299" t="s">
        <v>2658</v>
      </c>
      <c r="K299">
        <f t="shared" ca="1" si="18"/>
        <v>43</v>
      </c>
      <c r="L299" t="s">
        <v>689</v>
      </c>
      <c r="M299" t="s">
        <v>2657</v>
      </c>
      <c r="N299" s="1">
        <v>86557</v>
      </c>
      <c r="O299" s="49" t="s">
        <v>2656</v>
      </c>
      <c r="P299">
        <f t="shared" ca="1" si="19"/>
        <v>30</v>
      </c>
    </row>
    <row r="300" spans="1:16">
      <c r="A300" s="1">
        <v>86558</v>
      </c>
      <c r="B300" s="46">
        <v>90165</v>
      </c>
      <c r="C300" s="24">
        <v>845630</v>
      </c>
      <c r="D300" t="s">
        <v>1001</v>
      </c>
      <c r="E300" t="str">
        <f t="shared" ca="1" si="16"/>
        <v>6B73AR86558-74</v>
      </c>
      <c r="I300">
        <f t="shared" ca="1" si="17"/>
        <v>6</v>
      </c>
      <c r="J300" t="s">
        <v>954</v>
      </c>
      <c r="K300">
        <f t="shared" ca="1" si="18"/>
        <v>73</v>
      </c>
      <c r="L300" t="s">
        <v>425</v>
      </c>
      <c r="M300" t="s">
        <v>1920</v>
      </c>
      <c r="N300" s="1">
        <v>86558</v>
      </c>
      <c r="O300" s="49" t="s">
        <v>2656</v>
      </c>
      <c r="P300">
        <f t="shared" ca="1" si="19"/>
        <v>74</v>
      </c>
    </row>
    <row r="301" spans="1:16">
      <c r="A301" s="1">
        <v>86556</v>
      </c>
      <c r="B301" s="46">
        <v>90159</v>
      </c>
      <c r="C301" s="24">
        <v>845638</v>
      </c>
      <c r="D301" t="s">
        <v>1007</v>
      </c>
      <c r="E301" t="str">
        <f t="shared" ca="1" si="16"/>
        <v>7C81DS86556-94</v>
      </c>
      <c r="I301">
        <f t="shared" ca="1" si="17"/>
        <v>7</v>
      </c>
      <c r="J301" t="s">
        <v>689</v>
      </c>
      <c r="K301">
        <f t="shared" ca="1" si="18"/>
        <v>81</v>
      </c>
      <c r="L301" t="s">
        <v>2658</v>
      </c>
      <c r="M301" t="s">
        <v>2350</v>
      </c>
      <c r="N301" s="1">
        <v>86556</v>
      </c>
      <c r="O301" s="49" t="s">
        <v>2656</v>
      </c>
      <c r="P301">
        <f t="shared" ca="1" si="19"/>
        <v>94</v>
      </c>
    </row>
    <row r="302" spans="1:16">
      <c r="A302" s="1">
        <v>77007</v>
      </c>
      <c r="B302" s="46">
        <v>90157</v>
      </c>
      <c r="C302" s="24">
        <v>845638</v>
      </c>
      <c r="D302" t="s">
        <v>1007</v>
      </c>
      <c r="E302" t="str">
        <f t="shared" ca="1" si="16"/>
        <v>9D74IT77007-75</v>
      </c>
      <c r="I302">
        <f t="shared" ca="1" si="17"/>
        <v>9</v>
      </c>
      <c r="J302" t="s">
        <v>2658</v>
      </c>
      <c r="K302">
        <f t="shared" ca="1" si="18"/>
        <v>74</v>
      </c>
      <c r="L302" t="s">
        <v>304</v>
      </c>
      <c r="M302" t="s">
        <v>2657</v>
      </c>
      <c r="N302" s="1">
        <v>77007</v>
      </c>
      <c r="O302" s="49" t="s">
        <v>2656</v>
      </c>
      <c r="P302">
        <f t="shared" ca="1" si="19"/>
        <v>75</v>
      </c>
    </row>
    <row r="303" spans="1:16">
      <c r="A303" s="1">
        <v>77008</v>
      </c>
      <c r="B303" s="46">
        <v>90158</v>
      </c>
      <c r="C303" s="24">
        <v>845638</v>
      </c>
      <c r="D303" t="s">
        <v>1007</v>
      </c>
      <c r="E303" t="str">
        <f t="shared" ca="1" si="16"/>
        <v>2B90IR77008-98</v>
      </c>
      <c r="I303">
        <f t="shared" ca="1" si="17"/>
        <v>2</v>
      </c>
      <c r="J303" t="s">
        <v>954</v>
      </c>
      <c r="K303">
        <f t="shared" ca="1" si="18"/>
        <v>90</v>
      </c>
      <c r="L303" t="s">
        <v>304</v>
      </c>
      <c r="M303" t="s">
        <v>1920</v>
      </c>
      <c r="N303" s="1">
        <v>77008</v>
      </c>
      <c r="O303" s="49" t="s">
        <v>2656</v>
      </c>
      <c r="P303">
        <f t="shared" ca="1" si="19"/>
        <v>98</v>
      </c>
    </row>
    <row r="304" spans="1:16">
      <c r="A304" s="1">
        <v>77009</v>
      </c>
      <c r="B304" s="46">
        <v>90171</v>
      </c>
      <c r="C304" s="24">
        <v>845684</v>
      </c>
      <c r="D304" t="s">
        <v>1013</v>
      </c>
      <c r="E304" t="str">
        <f t="shared" ca="1" si="16"/>
        <v>9C90ES77009-77</v>
      </c>
      <c r="I304">
        <f t="shared" ca="1" si="17"/>
        <v>9</v>
      </c>
      <c r="J304" t="s">
        <v>689</v>
      </c>
      <c r="K304">
        <f t="shared" ca="1" si="18"/>
        <v>90</v>
      </c>
      <c r="L304" t="s">
        <v>804</v>
      </c>
      <c r="M304" t="s">
        <v>2350</v>
      </c>
      <c r="N304" s="1">
        <v>77009</v>
      </c>
      <c r="O304" s="49" t="s">
        <v>2656</v>
      </c>
      <c r="P304">
        <f t="shared" ca="1" si="19"/>
        <v>77</v>
      </c>
    </row>
    <row r="305" spans="1:16">
      <c r="A305" s="1">
        <v>85796</v>
      </c>
      <c r="B305" s="46">
        <v>90172</v>
      </c>
      <c r="C305" s="24">
        <v>845684</v>
      </c>
      <c r="D305" t="s">
        <v>1013</v>
      </c>
      <c r="E305" t="str">
        <f t="shared" ca="1" si="16"/>
        <v>6D39HT85796-16</v>
      </c>
      <c r="I305">
        <f t="shared" ca="1" si="17"/>
        <v>6</v>
      </c>
      <c r="J305" t="s">
        <v>2658</v>
      </c>
      <c r="K305">
        <f t="shared" ca="1" si="18"/>
        <v>39</v>
      </c>
      <c r="L305" t="s">
        <v>2660</v>
      </c>
      <c r="M305" t="s">
        <v>2657</v>
      </c>
      <c r="N305" s="1">
        <v>85796</v>
      </c>
      <c r="O305" s="49" t="s">
        <v>2656</v>
      </c>
      <c r="P305">
        <f t="shared" ca="1" si="19"/>
        <v>16</v>
      </c>
    </row>
    <row r="306" spans="1:16">
      <c r="A306" s="1">
        <v>85797</v>
      </c>
      <c r="B306" s="46">
        <v>89203</v>
      </c>
      <c r="C306" s="24">
        <v>845469</v>
      </c>
      <c r="D306" t="s">
        <v>1018</v>
      </c>
      <c r="E306" t="str">
        <f t="shared" ca="1" si="16"/>
        <v>8B96BR85797-20</v>
      </c>
      <c r="I306">
        <f t="shared" ca="1" si="17"/>
        <v>8</v>
      </c>
      <c r="J306" t="s">
        <v>954</v>
      </c>
      <c r="K306">
        <f t="shared" ca="1" si="18"/>
        <v>96</v>
      </c>
      <c r="L306" t="s">
        <v>954</v>
      </c>
      <c r="M306" t="s">
        <v>1920</v>
      </c>
      <c r="N306" s="1">
        <v>85797</v>
      </c>
      <c r="O306" s="49" t="s">
        <v>2656</v>
      </c>
      <c r="P306">
        <f t="shared" ca="1" si="19"/>
        <v>20</v>
      </c>
    </row>
    <row r="307" spans="1:16">
      <c r="A307" s="1">
        <v>85798</v>
      </c>
      <c r="B307" s="46">
        <v>89204</v>
      </c>
      <c r="C307" s="24">
        <v>845469</v>
      </c>
      <c r="D307" t="s">
        <v>1018</v>
      </c>
      <c r="E307" t="str">
        <f t="shared" ca="1" si="16"/>
        <v>3C99GS85798-18</v>
      </c>
      <c r="I307">
        <f t="shared" ca="1" si="17"/>
        <v>3</v>
      </c>
      <c r="J307" t="s">
        <v>689</v>
      </c>
      <c r="K307">
        <f t="shared" ca="1" si="18"/>
        <v>99</v>
      </c>
      <c r="L307" t="s">
        <v>2659</v>
      </c>
      <c r="M307" t="s">
        <v>2350</v>
      </c>
      <c r="N307" s="1">
        <v>85798</v>
      </c>
      <c r="O307" s="49" t="s">
        <v>2656</v>
      </c>
      <c r="P307">
        <f t="shared" ca="1" si="19"/>
        <v>18</v>
      </c>
    </row>
    <row r="308" spans="1:16">
      <c r="A308" s="1">
        <v>84547</v>
      </c>
      <c r="B308" s="46">
        <v>89205</v>
      </c>
      <c r="C308" s="24">
        <v>845469</v>
      </c>
      <c r="D308" t="s">
        <v>1018</v>
      </c>
      <c r="E308" t="str">
        <f t="shared" ca="1" si="16"/>
        <v>5D35BT84547-22</v>
      </c>
      <c r="I308">
        <f t="shared" ca="1" si="17"/>
        <v>5</v>
      </c>
      <c r="J308" t="s">
        <v>2658</v>
      </c>
      <c r="K308">
        <f t="shared" ca="1" si="18"/>
        <v>35</v>
      </c>
      <c r="L308" t="s">
        <v>954</v>
      </c>
      <c r="M308" t="s">
        <v>2657</v>
      </c>
      <c r="N308" s="1">
        <v>84547</v>
      </c>
      <c r="O308" s="49" t="s">
        <v>2656</v>
      </c>
      <c r="P308">
        <f t="shared" ca="1" si="19"/>
        <v>22</v>
      </c>
    </row>
    <row r="309" spans="1:16">
      <c r="A309" s="1">
        <v>84548</v>
      </c>
      <c r="B309" s="46">
        <v>89202</v>
      </c>
      <c r="C309" s="24">
        <v>845469</v>
      </c>
      <c r="D309" t="s">
        <v>1018</v>
      </c>
      <c r="E309" t="str">
        <f t="shared" ca="1" si="16"/>
        <v>3B51FR84548-53</v>
      </c>
      <c r="I309">
        <f t="shared" ca="1" si="17"/>
        <v>3</v>
      </c>
      <c r="J309" t="s">
        <v>954</v>
      </c>
      <c r="K309">
        <f t="shared" ca="1" si="18"/>
        <v>51</v>
      </c>
      <c r="L309" t="s">
        <v>2661</v>
      </c>
      <c r="M309" t="s">
        <v>1920</v>
      </c>
      <c r="N309" s="1">
        <v>84548</v>
      </c>
      <c r="O309" s="49" t="s">
        <v>2656</v>
      </c>
      <c r="P309">
        <f t="shared" ca="1" si="19"/>
        <v>53</v>
      </c>
    </row>
    <row r="310" spans="1:16">
      <c r="A310" s="1">
        <v>84549</v>
      </c>
      <c r="B310" s="46">
        <v>89200</v>
      </c>
      <c r="C310" s="24">
        <v>845450</v>
      </c>
      <c r="D310" t="s">
        <v>1024</v>
      </c>
      <c r="E310" t="str">
        <f t="shared" ca="1" si="16"/>
        <v>6C88AS84549-79</v>
      </c>
      <c r="I310">
        <f t="shared" ca="1" si="17"/>
        <v>6</v>
      </c>
      <c r="J310" t="s">
        <v>689</v>
      </c>
      <c r="K310">
        <f t="shared" ca="1" si="18"/>
        <v>88</v>
      </c>
      <c r="L310" t="s">
        <v>425</v>
      </c>
      <c r="M310" t="s">
        <v>2350</v>
      </c>
      <c r="N310" s="1">
        <v>84549</v>
      </c>
      <c r="O310" s="49" t="s">
        <v>2656</v>
      </c>
      <c r="P310">
        <f t="shared" ca="1" si="19"/>
        <v>79</v>
      </c>
    </row>
    <row r="311" spans="1:16">
      <c r="A311" s="1">
        <v>88137</v>
      </c>
      <c r="B311" s="46">
        <v>89198</v>
      </c>
      <c r="C311" s="24">
        <v>845450</v>
      </c>
      <c r="D311" t="s">
        <v>1024</v>
      </c>
      <c r="E311" t="str">
        <f t="shared" ca="1" si="16"/>
        <v>7D36BT88137-43</v>
      </c>
      <c r="I311">
        <f t="shared" ca="1" si="17"/>
        <v>7</v>
      </c>
      <c r="J311" t="s">
        <v>2658</v>
      </c>
      <c r="K311">
        <f t="shared" ca="1" si="18"/>
        <v>36</v>
      </c>
      <c r="L311" t="s">
        <v>954</v>
      </c>
      <c r="M311" t="s">
        <v>2657</v>
      </c>
      <c r="N311" s="1">
        <v>88137</v>
      </c>
      <c r="O311" s="49" t="s">
        <v>2656</v>
      </c>
      <c r="P311">
        <f t="shared" ca="1" si="19"/>
        <v>43</v>
      </c>
    </row>
    <row r="312" spans="1:16">
      <c r="A312" s="1">
        <v>88136</v>
      </c>
      <c r="B312" s="46">
        <v>89201</v>
      </c>
      <c r="C312" s="24">
        <v>845450</v>
      </c>
      <c r="D312" t="s">
        <v>1024</v>
      </c>
      <c r="E312" t="str">
        <f t="shared" ca="1" si="16"/>
        <v>4B63IR88136-36</v>
      </c>
      <c r="I312">
        <f t="shared" ca="1" si="17"/>
        <v>4</v>
      </c>
      <c r="J312" t="s">
        <v>954</v>
      </c>
      <c r="K312">
        <f t="shared" ca="1" si="18"/>
        <v>63</v>
      </c>
      <c r="L312" t="s">
        <v>304</v>
      </c>
      <c r="M312" t="s">
        <v>1920</v>
      </c>
      <c r="N312" s="1">
        <v>88136</v>
      </c>
      <c r="O312" s="49" t="s">
        <v>2656</v>
      </c>
      <c r="P312">
        <f t="shared" ca="1" si="19"/>
        <v>36</v>
      </c>
    </row>
    <row r="313" spans="1:16">
      <c r="A313" s="1">
        <v>88135</v>
      </c>
      <c r="B313" s="46">
        <v>89199</v>
      </c>
      <c r="C313" s="24">
        <v>845450</v>
      </c>
      <c r="D313" t="s">
        <v>1024</v>
      </c>
      <c r="E313" t="str">
        <f t="shared" ca="1" si="16"/>
        <v>8C74AS88135-14</v>
      </c>
      <c r="I313">
        <f t="shared" ca="1" si="17"/>
        <v>8</v>
      </c>
      <c r="J313" t="s">
        <v>689</v>
      </c>
      <c r="K313">
        <f t="shared" ca="1" si="18"/>
        <v>74</v>
      </c>
      <c r="L313" t="s">
        <v>425</v>
      </c>
      <c r="M313" t="s">
        <v>2350</v>
      </c>
      <c r="N313" s="1">
        <v>88135</v>
      </c>
      <c r="O313" s="49" t="s">
        <v>2656</v>
      </c>
      <c r="P313">
        <f t="shared" ca="1" si="19"/>
        <v>14</v>
      </c>
    </row>
    <row r="314" spans="1:16">
      <c r="A314" s="1">
        <v>84703</v>
      </c>
      <c r="B314" s="46">
        <v>89174</v>
      </c>
      <c r="C314" s="24">
        <v>845444</v>
      </c>
      <c r="D314" t="s">
        <v>1035</v>
      </c>
      <c r="E314" t="str">
        <f t="shared" ca="1" si="16"/>
        <v>7D50HT84703-90</v>
      </c>
      <c r="I314">
        <f t="shared" ca="1" si="17"/>
        <v>7</v>
      </c>
      <c r="J314" t="s">
        <v>2658</v>
      </c>
      <c r="K314">
        <f t="shared" ca="1" si="18"/>
        <v>50</v>
      </c>
      <c r="L314" t="s">
        <v>2660</v>
      </c>
      <c r="M314" t="s">
        <v>2657</v>
      </c>
      <c r="N314" s="1">
        <v>84703</v>
      </c>
      <c r="O314" s="49" t="s">
        <v>2656</v>
      </c>
      <c r="P314">
        <f t="shared" ca="1" si="19"/>
        <v>90</v>
      </c>
    </row>
    <row r="315" spans="1:16">
      <c r="A315" s="1">
        <v>84702</v>
      </c>
      <c r="B315" s="46">
        <v>89175</v>
      </c>
      <c r="C315" s="24">
        <v>845444</v>
      </c>
      <c r="D315" t="s">
        <v>1035</v>
      </c>
      <c r="E315" t="str">
        <f t="shared" ca="1" si="16"/>
        <v>9B93DR84702-57</v>
      </c>
      <c r="I315">
        <f t="shared" ca="1" si="17"/>
        <v>9</v>
      </c>
      <c r="J315" t="s">
        <v>954</v>
      </c>
      <c r="K315">
        <f t="shared" ca="1" si="18"/>
        <v>93</v>
      </c>
      <c r="L315" t="s">
        <v>2658</v>
      </c>
      <c r="M315" t="s">
        <v>1920</v>
      </c>
      <c r="N315" s="1">
        <v>84702</v>
      </c>
      <c r="O315" s="49" t="s">
        <v>2656</v>
      </c>
      <c r="P315">
        <f t="shared" ca="1" si="19"/>
        <v>57</v>
      </c>
    </row>
    <row r="316" spans="1:16">
      <c r="A316" s="1">
        <v>84701</v>
      </c>
      <c r="B316" s="46">
        <v>89176</v>
      </c>
      <c r="C316" s="24">
        <v>845444</v>
      </c>
      <c r="D316" t="s">
        <v>1035</v>
      </c>
      <c r="E316" t="str">
        <f t="shared" ca="1" si="16"/>
        <v>3C24CS84701-40</v>
      </c>
      <c r="I316">
        <f t="shared" ca="1" si="17"/>
        <v>3</v>
      </c>
      <c r="J316" t="s">
        <v>689</v>
      </c>
      <c r="K316">
        <f t="shared" ca="1" si="18"/>
        <v>24</v>
      </c>
      <c r="L316" t="s">
        <v>689</v>
      </c>
      <c r="M316" t="s">
        <v>2350</v>
      </c>
      <c r="N316" s="1">
        <v>84701</v>
      </c>
      <c r="O316" s="49" t="s">
        <v>2656</v>
      </c>
      <c r="P316">
        <f t="shared" ca="1" si="19"/>
        <v>40</v>
      </c>
    </row>
    <row r="317" spans="1:16">
      <c r="A317" s="1">
        <v>86184</v>
      </c>
      <c r="B317" s="46">
        <v>89177</v>
      </c>
      <c r="C317" s="24">
        <v>845444</v>
      </c>
      <c r="D317" t="s">
        <v>1035</v>
      </c>
      <c r="E317" t="str">
        <f t="shared" ca="1" si="16"/>
        <v>3D40CT86184-29</v>
      </c>
      <c r="I317">
        <f t="shared" ca="1" si="17"/>
        <v>3</v>
      </c>
      <c r="J317" t="s">
        <v>2658</v>
      </c>
      <c r="K317">
        <f t="shared" ca="1" si="18"/>
        <v>40</v>
      </c>
      <c r="L317" t="s">
        <v>689</v>
      </c>
      <c r="M317" t="s">
        <v>2657</v>
      </c>
      <c r="N317" s="1">
        <v>86184</v>
      </c>
      <c r="O317" s="49" t="s">
        <v>2656</v>
      </c>
      <c r="P317">
        <f t="shared" ca="1" si="19"/>
        <v>29</v>
      </c>
    </row>
    <row r="318" spans="1:16">
      <c r="A318" s="1">
        <v>86185</v>
      </c>
      <c r="B318" s="46">
        <v>88426</v>
      </c>
      <c r="C318" s="24">
        <v>845390</v>
      </c>
      <c r="D318" t="s">
        <v>1043</v>
      </c>
      <c r="E318" t="str">
        <f t="shared" ca="1" si="16"/>
        <v>1B97AR86185-45</v>
      </c>
      <c r="I318">
        <f t="shared" ca="1" si="17"/>
        <v>1</v>
      </c>
      <c r="J318" t="s">
        <v>954</v>
      </c>
      <c r="K318">
        <f t="shared" ca="1" si="18"/>
        <v>97</v>
      </c>
      <c r="L318" t="s">
        <v>425</v>
      </c>
      <c r="M318" t="s">
        <v>1920</v>
      </c>
      <c r="N318" s="1">
        <v>86185</v>
      </c>
      <c r="O318" s="49" t="s">
        <v>2656</v>
      </c>
      <c r="P318">
        <f t="shared" ca="1" si="19"/>
        <v>45</v>
      </c>
    </row>
    <row r="319" spans="1:16">
      <c r="A319" s="1">
        <v>86187</v>
      </c>
      <c r="B319" s="46">
        <v>88428</v>
      </c>
      <c r="C319" s="24">
        <v>845390</v>
      </c>
      <c r="D319" t="s">
        <v>1043</v>
      </c>
      <c r="E319" t="str">
        <f t="shared" ca="1" si="16"/>
        <v>5C53ES86187-72</v>
      </c>
      <c r="I319">
        <f t="shared" ca="1" si="17"/>
        <v>5</v>
      </c>
      <c r="J319" t="s">
        <v>689</v>
      </c>
      <c r="K319">
        <f t="shared" ca="1" si="18"/>
        <v>53</v>
      </c>
      <c r="L319" t="s">
        <v>804</v>
      </c>
      <c r="M319" t="s">
        <v>2350</v>
      </c>
      <c r="N319" s="1">
        <v>86187</v>
      </c>
      <c r="O319" s="49" t="s">
        <v>2656</v>
      </c>
      <c r="P319">
        <f t="shared" ca="1" si="19"/>
        <v>72</v>
      </c>
    </row>
    <row r="320" spans="1:16">
      <c r="A320" s="1">
        <v>86188</v>
      </c>
      <c r="B320" s="46">
        <v>88427</v>
      </c>
      <c r="C320" s="24">
        <v>845390</v>
      </c>
      <c r="D320" t="s">
        <v>1043</v>
      </c>
      <c r="E320" t="str">
        <f t="shared" ca="1" si="16"/>
        <v>6D83HT86188-35</v>
      </c>
      <c r="I320">
        <f t="shared" ca="1" si="17"/>
        <v>6</v>
      </c>
      <c r="J320" t="s">
        <v>2658</v>
      </c>
      <c r="K320">
        <f t="shared" ca="1" si="18"/>
        <v>83</v>
      </c>
      <c r="L320" t="s">
        <v>2660</v>
      </c>
      <c r="M320" t="s">
        <v>2657</v>
      </c>
      <c r="N320" s="1">
        <v>86188</v>
      </c>
      <c r="O320" s="49" t="s">
        <v>2656</v>
      </c>
      <c r="P320">
        <f t="shared" ca="1" si="19"/>
        <v>35</v>
      </c>
    </row>
    <row r="321" spans="1:16">
      <c r="A321" s="1">
        <v>86186</v>
      </c>
      <c r="B321" s="46">
        <v>88429</v>
      </c>
      <c r="C321" s="24">
        <v>845390</v>
      </c>
      <c r="D321" t="s">
        <v>1043</v>
      </c>
      <c r="E321" t="str">
        <f t="shared" ca="1" si="16"/>
        <v>7B39FR86186-96</v>
      </c>
      <c r="I321">
        <f t="shared" ca="1" si="17"/>
        <v>7</v>
      </c>
      <c r="J321" t="s">
        <v>954</v>
      </c>
      <c r="K321">
        <f t="shared" ca="1" si="18"/>
        <v>39</v>
      </c>
      <c r="L321" t="s">
        <v>2661</v>
      </c>
      <c r="M321" t="s">
        <v>1920</v>
      </c>
      <c r="N321" s="1">
        <v>86186</v>
      </c>
      <c r="O321" s="49" t="s">
        <v>2656</v>
      </c>
      <c r="P321">
        <f t="shared" ca="1" si="19"/>
        <v>96</v>
      </c>
    </row>
    <row r="322" spans="1:16">
      <c r="A322" s="1">
        <v>86640</v>
      </c>
      <c r="B322" s="46">
        <v>84862</v>
      </c>
      <c r="C322" s="24">
        <v>843861</v>
      </c>
      <c r="D322" t="s">
        <v>1047</v>
      </c>
      <c r="E322" t="str">
        <f t="shared" ca="1" si="16"/>
        <v>8C77GS86640-54</v>
      </c>
      <c r="I322">
        <f t="shared" ca="1" si="17"/>
        <v>8</v>
      </c>
      <c r="J322" t="s">
        <v>689</v>
      </c>
      <c r="K322">
        <f t="shared" ca="1" si="18"/>
        <v>77</v>
      </c>
      <c r="L322" t="s">
        <v>2659</v>
      </c>
      <c r="M322" t="s">
        <v>2350</v>
      </c>
      <c r="N322" s="1">
        <v>86640</v>
      </c>
      <c r="O322" s="49" t="s">
        <v>2656</v>
      </c>
      <c r="P322">
        <f t="shared" ca="1" si="19"/>
        <v>54</v>
      </c>
    </row>
    <row r="323" spans="1:16">
      <c r="A323" s="1">
        <v>86642</v>
      </c>
      <c r="B323" s="46">
        <v>84863</v>
      </c>
      <c r="C323" s="24">
        <v>843861</v>
      </c>
      <c r="D323" t="s">
        <v>1047</v>
      </c>
      <c r="E323" t="str">
        <f t="shared" ca="1" si="16"/>
        <v>5D55FT86642-76</v>
      </c>
      <c r="I323">
        <f t="shared" ca="1" si="17"/>
        <v>5</v>
      </c>
      <c r="J323" t="s">
        <v>2658</v>
      </c>
      <c r="K323">
        <f t="shared" ca="1" si="18"/>
        <v>55</v>
      </c>
      <c r="L323" t="s">
        <v>2661</v>
      </c>
      <c r="M323" t="s">
        <v>2657</v>
      </c>
      <c r="N323" s="1">
        <v>86642</v>
      </c>
      <c r="O323" s="49" t="s">
        <v>2656</v>
      </c>
      <c r="P323">
        <f t="shared" ca="1" si="19"/>
        <v>76</v>
      </c>
    </row>
    <row r="324" spans="1:16">
      <c r="A324" s="1">
        <v>86641</v>
      </c>
      <c r="B324" s="46">
        <v>87455</v>
      </c>
      <c r="C324" s="24">
        <v>843803</v>
      </c>
      <c r="D324" t="s">
        <v>1053</v>
      </c>
      <c r="E324" t="str">
        <f t="shared" ca="1" si="16"/>
        <v>3B70CR86641-20</v>
      </c>
      <c r="I324">
        <f t="shared" ca="1" si="17"/>
        <v>3</v>
      </c>
      <c r="J324" t="s">
        <v>954</v>
      </c>
      <c r="K324">
        <f t="shared" ca="1" si="18"/>
        <v>70</v>
      </c>
      <c r="L324" t="s">
        <v>689</v>
      </c>
      <c r="M324" t="s">
        <v>1920</v>
      </c>
      <c r="N324" s="1">
        <v>86641</v>
      </c>
      <c r="O324" s="49" t="s">
        <v>2656</v>
      </c>
      <c r="P324">
        <f t="shared" ca="1" si="19"/>
        <v>20</v>
      </c>
    </row>
    <row r="325" spans="1:16">
      <c r="A325" s="1">
        <v>88438</v>
      </c>
      <c r="B325" s="46">
        <v>87454</v>
      </c>
      <c r="C325" s="24">
        <v>843803</v>
      </c>
      <c r="D325" t="s">
        <v>1053</v>
      </c>
      <c r="E325" t="str">
        <f t="shared" ca="1" si="16"/>
        <v>3C37DS88438-86</v>
      </c>
      <c r="I325">
        <f t="shared" ca="1" si="17"/>
        <v>3</v>
      </c>
      <c r="J325" t="s">
        <v>689</v>
      </c>
      <c r="K325">
        <f t="shared" ca="1" si="18"/>
        <v>37</v>
      </c>
      <c r="L325" t="s">
        <v>2658</v>
      </c>
      <c r="M325" t="s">
        <v>2350</v>
      </c>
      <c r="N325" s="1">
        <v>88438</v>
      </c>
      <c r="O325" s="49" t="s">
        <v>2656</v>
      </c>
      <c r="P325">
        <f t="shared" ca="1" si="19"/>
        <v>86</v>
      </c>
    </row>
    <row r="326" spans="1:16">
      <c r="A326" s="1">
        <v>88437</v>
      </c>
      <c r="B326" s="46">
        <v>87456</v>
      </c>
      <c r="C326" s="24">
        <v>843803</v>
      </c>
      <c r="D326" t="s">
        <v>1053</v>
      </c>
      <c r="E326" t="str">
        <f t="shared" ca="1" si="16"/>
        <v>1D87ET88437-88</v>
      </c>
      <c r="I326">
        <f t="shared" ca="1" si="17"/>
        <v>1</v>
      </c>
      <c r="J326" t="s">
        <v>2658</v>
      </c>
      <c r="K326">
        <f t="shared" ca="1" si="18"/>
        <v>87</v>
      </c>
      <c r="L326" t="s">
        <v>804</v>
      </c>
      <c r="M326" t="s">
        <v>2657</v>
      </c>
      <c r="N326" s="1">
        <v>88437</v>
      </c>
      <c r="O326" s="49" t="s">
        <v>2656</v>
      </c>
      <c r="P326">
        <f t="shared" ca="1" si="19"/>
        <v>88</v>
      </c>
    </row>
    <row r="327" spans="1:16">
      <c r="A327" s="1">
        <v>86074</v>
      </c>
      <c r="B327" s="46">
        <v>89006</v>
      </c>
      <c r="C327" s="24">
        <v>843231</v>
      </c>
      <c r="D327" t="s">
        <v>1059</v>
      </c>
      <c r="E327" t="str">
        <f t="shared" ref="E327:E390" ca="1" si="20">CONCATENATE(I327,J327,K327,L327,M327,N327,O327,P327)</f>
        <v>7B30BR86074-21</v>
      </c>
      <c r="I327">
        <f t="shared" ref="I327:I390" ca="1" si="21">RANDBETWEEN(1,9)</f>
        <v>7</v>
      </c>
      <c r="J327" t="s">
        <v>954</v>
      </c>
      <c r="K327">
        <f t="shared" ref="K327:K390" ca="1" si="22">RANDBETWEEN(10,99)</f>
        <v>30</v>
      </c>
      <c r="L327" t="s">
        <v>954</v>
      </c>
      <c r="M327" t="s">
        <v>1920</v>
      </c>
      <c r="N327" s="1">
        <v>86074</v>
      </c>
      <c r="O327" s="49" t="s">
        <v>2656</v>
      </c>
      <c r="P327">
        <f t="shared" ref="P327:P390" ca="1" si="23">RANDBETWEEN(10,99)</f>
        <v>21</v>
      </c>
    </row>
    <row r="328" spans="1:16">
      <c r="A328" s="1">
        <v>86073</v>
      </c>
      <c r="B328" s="46">
        <v>89007</v>
      </c>
      <c r="C328" s="24">
        <v>843231</v>
      </c>
      <c r="D328" t="s">
        <v>1059</v>
      </c>
      <c r="E328" t="str">
        <f t="shared" ca="1" si="20"/>
        <v>3C69HS86073-27</v>
      </c>
      <c r="I328">
        <f t="shared" ca="1" si="21"/>
        <v>3</v>
      </c>
      <c r="J328" t="s">
        <v>689</v>
      </c>
      <c r="K328">
        <f t="shared" ca="1" si="22"/>
        <v>69</v>
      </c>
      <c r="L328" t="s">
        <v>2660</v>
      </c>
      <c r="M328" t="s">
        <v>2350</v>
      </c>
      <c r="N328" s="1">
        <v>86073</v>
      </c>
      <c r="O328" s="49" t="s">
        <v>2656</v>
      </c>
      <c r="P328">
        <f t="shared" ca="1" si="23"/>
        <v>27</v>
      </c>
    </row>
    <row r="329" spans="1:16">
      <c r="A329" s="1">
        <v>86072</v>
      </c>
      <c r="B329" s="46">
        <v>89008</v>
      </c>
      <c r="C329" s="24">
        <v>843231</v>
      </c>
      <c r="D329" t="s">
        <v>1059</v>
      </c>
      <c r="E329" t="str">
        <f t="shared" ca="1" si="20"/>
        <v>7D39ET86072-56</v>
      </c>
      <c r="I329">
        <f t="shared" ca="1" si="21"/>
        <v>7</v>
      </c>
      <c r="J329" t="s">
        <v>2658</v>
      </c>
      <c r="K329">
        <f t="shared" ca="1" si="22"/>
        <v>39</v>
      </c>
      <c r="L329" t="s">
        <v>804</v>
      </c>
      <c r="M329" t="s">
        <v>2657</v>
      </c>
      <c r="N329" s="1">
        <v>86072</v>
      </c>
      <c r="O329" s="49" t="s">
        <v>2656</v>
      </c>
      <c r="P329">
        <f t="shared" ca="1" si="23"/>
        <v>56</v>
      </c>
    </row>
    <row r="330" spans="1:16">
      <c r="A330" s="1">
        <v>86840</v>
      </c>
      <c r="B330" s="46">
        <v>84814</v>
      </c>
      <c r="C330" s="24">
        <v>841448</v>
      </c>
      <c r="D330" t="s">
        <v>1068</v>
      </c>
      <c r="E330" t="str">
        <f t="shared" ca="1" si="20"/>
        <v>7B51HR86840-86</v>
      </c>
      <c r="I330">
        <f t="shared" ca="1" si="21"/>
        <v>7</v>
      </c>
      <c r="J330" t="s">
        <v>954</v>
      </c>
      <c r="K330">
        <f t="shared" ca="1" si="22"/>
        <v>51</v>
      </c>
      <c r="L330" t="s">
        <v>2660</v>
      </c>
      <c r="M330" t="s">
        <v>1920</v>
      </c>
      <c r="N330" s="1">
        <v>86840</v>
      </c>
      <c r="O330" s="49" t="s">
        <v>2656</v>
      </c>
      <c r="P330">
        <f t="shared" ca="1" si="23"/>
        <v>86</v>
      </c>
    </row>
    <row r="331" spans="1:16">
      <c r="A331" s="1">
        <v>86839</v>
      </c>
      <c r="B331" s="46">
        <v>84816</v>
      </c>
      <c r="C331" s="24">
        <v>841448</v>
      </c>
      <c r="D331" t="s">
        <v>1068</v>
      </c>
      <c r="E331" t="str">
        <f t="shared" ca="1" si="20"/>
        <v>8C82HS86839-81</v>
      </c>
      <c r="I331">
        <f t="shared" ca="1" si="21"/>
        <v>8</v>
      </c>
      <c r="J331" t="s">
        <v>689</v>
      </c>
      <c r="K331">
        <f t="shared" ca="1" si="22"/>
        <v>82</v>
      </c>
      <c r="L331" t="s">
        <v>2660</v>
      </c>
      <c r="M331" t="s">
        <v>2350</v>
      </c>
      <c r="N331" s="1">
        <v>86839</v>
      </c>
      <c r="O331" s="49" t="s">
        <v>2656</v>
      </c>
      <c r="P331">
        <f t="shared" ca="1" si="23"/>
        <v>81</v>
      </c>
    </row>
    <row r="332" spans="1:16">
      <c r="A332" s="1">
        <v>86838</v>
      </c>
      <c r="B332" s="46">
        <v>84815</v>
      </c>
      <c r="C332" s="24">
        <v>841448</v>
      </c>
      <c r="D332" t="s">
        <v>1068</v>
      </c>
      <c r="E332" t="str">
        <f t="shared" ca="1" si="20"/>
        <v>9D20CT86838-77</v>
      </c>
      <c r="I332">
        <f t="shared" ca="1" si="21"/>
        <v>9</v>
      </c>
      <c r="J332" t="s">
        <v>2658</v>
      </c>
      <c r="K332">
        <f t="shared" ca="1" si="22"/>
        <v>20</v>
      </c>
      <c r="L332" t="s">
        <v>689</v>
      </c>
      <c r="M332" t="s">
        <v>2657</v>
      </c>
      <c r="N332" s="1">
        <v>86838</v>
      </c>
      <c r="O332" s="49" t="s">
        <v>2656</v>
      </c>
      <c r="P332">
        <f t="shared" ca="1" si="23"/>
        <v>77</v>
      </c>
    </row>
    <row r="333" spans="1:16">
      <c r="A333" s="1">
        <v>89048</v>
      </c>
      <c r="B333" s="46">
        <v>89084</v>
      </c>
      <c r="C333" s="24">
        <v>843163</v>
      </c>
      <c r="D333" t="s">
        <v>1073</v>
      </c>
      <c r="E333" t="str">
        <f t="shared" ca="1" si="20"/>
        <v>1B36BR89048-46</v>
      </c>
      <c r="I333">
        <f t="shared" ca="1" si="21"/>
        <v>1</v>
      </c>
      <c r="J333" t="s">
        <v>954</v>
      </c>
      <c r="K333">
        <f t="shared" ca="1" si="22"/>
        <v>36</v>
      </c>
      <c r="L333" t="s">
        <v>954</v>
      </c>
      <c r="M333" t="s">
        <v>1920</v>
      </c>
      <c r="N333" s="1">
        <v>89048</v>
      </c>
      <c r="O333" s="49" t="s">
        <v>2656</v>
      </c>
      <c r="P333">
        <f t="shared" ca="1" si="23"/>
        <v>46</v>
      </c>
    </row>
    <row r="334" spans="1:16">
      <c r="A334" s="1">
        <v>89046</v>
      </c>
      <c r="B334" s="46">
        <v>89083</v>
      </c>
      <c r="C334" s="24">
        <v>843163</v>
      </c>
      <c r="D334" t="s">
        <v>1073</v>
      </c>
      <c r="E334" t="str">
        <f t="shared" ca="1" si="20"/>
        <v>3C26ES89046-44</v>
      </c>
      <c r="I334">
        <f t="shared" ca="1" si="21"/>
        <v>3</v>
      </c>
      <c r="J334" t="s">
        <v>689</v>
      </c>
      <c r="K334">
        <f t="shared" ca="1" si="22"/>
        <v>26</v>
      </c>
      <c r="L334" t="s">
        <v>804</v>
      </c>
      <c r="M334" t="s">
        <v>2350</v>
      </c>
      <c r="N334" s="1">
        <v>89046</v>
      </c>
      <c r="O334" s="49" t="s">
        <v>2656</v>
      </c>
      <c r="P334">
        <f t="shared" ca="1" si="23"/>
        <v>44</v>
      </c>
    </row>
    <row r="335" spans="1:16">
      <c r="A335" s="1">
        <v>89047</v>
      </c>
      <c r="B335" s="46">
        <v>89085</v>
      </c>
      <c r="C335" s="24">
        <v>843163</v>
      </c>
      <c r="D335" t="s">
        <v>1073</v>
      </c>
      <c r="E335" t="str">
        <f t="shared" ca="1" si="20"/>
        <v>4D61DT89047-47</v>
      </c>
      <c r="I335">
        <f t="shared" ca="1" si="21"/>
        <v>4</v>
      </c>
      <c r="J335" t="s">
        <v>2658</v>
      </c>
      <c r="K335">
        <f t="shared" ca="1" si="22"/>
        <v>61</v>
      </c>
      <c r="L335" t="s">
        <v>2658</v>
      </c>
      <c r="M335" t="s">
        <v>2657</v>
      </c>
      <c r="N335" s="1">
        <v>89047</v>
      </c>
      <c r="O335" s="49" t="s">
        <v>2656</v>
      </c>
      <c r="P335">
        <f t="shared" ca="1" si="23"/>
        <v>47</v>
      </c>
    </row>
    <row r="336" spans="1:16">
      <c r="A336" s="1">
        <v>86044</v>
      </c>
      <c r="B336" s="46">
        <v>89767</v>
      </c>
      <c r="C336" s="24">
        <v>844240</v>
      </c>
      <c r="D336" t="s">
        <v>1082</v>
      </c>
      <c r="E336" t="str">
        <f t="shared" ca="1" si="20"/>
        <v>8B92DR86044-71</v>
      </c>
      <c r="I336">
        <f t="shared" ca="1" si="21"/>
        <v>8</v>
      </c>
      <c r="J336" t="s">
        <v>954</v>
      </c>
      <c r="K336">
        <f t="shared" ca="1" si="22"/>
        <v>92</v>
      </c>
      <c r="L336" t="s">
        <v>2658</v>
      </c>
      <c r="M336" t="s">
        <v>1920</v>
      </c>
      <c r="N336" s="1">
        <v>86044</v>
      </c>
      <c r="O336" s="49" t="s">
        <v>2656</v>
      </c>
      <c r="P336">
        <f t="shared" ca="1" si="23"/>
        <v>71</v>
      </c>
    </row>
    <row r="337" spans="1:16">
      <c r="A337" s="1">
        <v>86043</v>
      </c>
      <c r="B337" s="46">
        <v>89766</v>
      </c>
      <c r="C337" s="24">
        <v>844240</v>
      </c>
      <c r="D337" t="s">
        <v>1082</v>
      </c>
      <c r="E337" t="str">
        <f t="shared" ca="1" si="20"/>
        <v>9C56ES86043-27</v>
      </c>
      <c r="I337">
        <f t="shared" ca="1" si="21"/>
        <v>9</v>
      </c>
      <c r="J337" t="s">
        <v>689</v>
      </c>
      <c r="K337">
        <f t="shared" ca="1" si="22"/>
        <v>56</v>
      </c>
      <c r="L337" t="s">
        <v>804</v>
      </c>
      <c r="M337" t="s">
        <v>2350</v>
      </c>
      <c r="N337" s="1">
        <v>86043</v>
      </c>
      <c r="O337" s="49" t="s">
        <v>2656</v>
      </c>
      <c r="P337">
        <f t="shared" ca="1" si="23"/>
        <v>27</v>
      </c>
    </row>
    <row r="338" spans="1:16">
      <c r="A338" s="1">
        <v>86045</v>
      </c>
      <c r="B338" s="46">
        <v>86555</v>
      </c>
      <c r="C338" s="24">
        <v>844212</v>
      </c>
      <c r="D338" t="s">
        <v>1086</v>
      </c>
      <c r="E338" t="str">
        <f t="shared" ca="1" si="20"/>
        <v>8D15BT86045-23</v>
      </c>
      <c r="I338">
        <f t="shared" ca="1" si="21"/>
        <v>8</v>
      </c>
      <c r="J338" t="s">
        <v>2658</v>
      </c>
      <c r="K338">
        <f t="shared" ca="1" si="22"/>
        <v>15</v>
      </c>
      <c r="L338" t="s">
        <v>954</v>
      </c>
      <c r="M338" t="s">
        <v>2657</v>
      </c>
      <c r="N338" s="1">
        <v>86045</v>
      </c>
      <c r="O338" s="49" t="s">
        <v>2656</v>
      </c>
      <c r="P338">
        <f t="shared" ca="1" si="23"/>
        <v>23</v>
      </c>
    </row>
    <row r="339" spans="1:16">
      <c r="A339" s="1">
        <v>89547</v>
      </c>
      <c r="B339" s="46">
        <v>86557</v>
      </c>
      <c r="C339" s="24">
        <v>844212</v>
      </c>
      <c r="D339" t="s">
        <v>1086</v>
      </c>
      <c r="E339" t="str">
        <f t="shared" ca="1" si="20"/>
        <v>7B37IR89547-54</v>
      </c>
      <c r="I339">
        <f t="shared" ca="1" si="21"/>
        <v>7</v>
      </c>
      <c r="J339" t="s">
        <v>954</v>
      </c>
      <c r="K339">
        <f t="shared" ca="1" si="22"/>
        <v>37</v>
      </c>
      <c r="L339" t="s">
        <v>304</v>
      </c>
      <c r="M339" t="s">
        <v>1920</v>
      </c>
      <c r="N339" s="1">
        <v>89547</v>
      </c>
      <c r="O339" s="49" t="s">
        <v>2656</v>
      </c>
      <c r="P339">
        <f t="shared" ca="1" si="23"/>
        <v>54</v>
      </c>
    </row>
    <row r="340" spans="1:16">
      <c r="A340" s="1">
        <v>89545</v>
      </c>
      <c r="B340" s="46">
        <v>86558</v>
      </c>
      <c r="C340" s="24">
        <v>844212</v>
      </c>
      <c r="D340" t="s">
        <v>1086</v>
      </c>
      <c r="E340" t="str">
        <f t="shared" ca="1" si="20"/>
        <v>9C88DS89545-82</v>
      </c>
      <c r="I340">
        <f t="shared" ca="1" si="21"/>
        <v>9</v>
      </c>
      <c r="J340" t="s">
        <v>689</v>
      </c>
      <c r="K340">
        <f t="shared" ca="1" si="22"/>
        <v>88</v>
      </c>
      <c r="L340" t="s">
        <v>2658</v>
      </c>
      <c r="M340" t="s">
        <v>2350</v>
      </c>
      <c r="N340" s="1">
        <v>89545</v>
      </c>
      <c r="O340" s="49" t="s">
        <v>2656</v>
      </c>
      <c r="P340">
        <f t="shared" ca="1" si="23"/>
        <v>82</v>
      </c>
    </row>
    <row r="341" spans="1:16">
      <c r="A341" s="1">
        <v>89546</v>
      </c>
      <c r="B341" s="46">
        <v>86556</v>
      </c>
      <c r="C341" s="24">
        <v>844212</v>
      </c>
      <c r="D341" t="s">
        <v>1086</v>
      </c>
      <c r="E341" t="str">
        <f t="shared" ca="1" si="20"/>
        <v>3D87FT89546-76</v>
      </c>
      <c r="I341">
        <f t="shared" ca="1" si="21"/>
        <v>3</v>
      </c>
      <c r="J341" t="s">
        <v>2658</v>
      </c>
      <c r="K341">
        <f t="shared" ca="1" si="22"/>
        <v>87</v>
      </c>
      <c r="L341" t="s">
        <v>2661</v>
      </c>
      <c r="M341" t="s">
        <v>2657</v>
      </c>
      <c r="N341" s="1">
        <v>89546</v>
      </c>
      <c r="O341" s="49" t="s">
        <v>2656</v>
      </c>
      <c r="P341">
        <f t="shared" ca="1" si="23"/>
        <v>76</v>
      </c>
    </row>
    <row r="342" spans="1:16">
      <c r="A342" s="1">
        <v>89548</v>
      </c>
      <c r="B342" s="46">
        <v>77007</v>
      </c>
      <c r="C342" s="24">
        <v>839330</v>
      </c>
      <c r="D342" t="s">
        <v>1100</v>
      </c>
      <c r="E342" t="str">
        <f t="shared" ca="1" si="20"/>
        <v>7B90HR89548-40</v>
      </c>
      <c r="I342">
        <f t="shared" ca="1" si="21"/>
        <v>7</v>
      </c>
      <c r="J342" t="s">
        <v>954</v>
      </c>
      <c r="K342">
        <f t="shared" ca="1" si="22"/>
        <v>90</v>
      </c>
      <c r="L342" t="s">
        <v>2660</v>
      </c>
      <c r="M342" t="s">
        <v>1920</v>
      </c>
      <c r="N342" s="1">
        <v>89548</v>
      </c>
      <c r="O342" s="49" t="s">
        <v>2656</v>
      </c>
      <c r="P342">
        <f t="shared" ca="1" si="23"/>
        <v>40</v>
      </c>
    </row>
    <row r="343" spans="1:16">
      <c r="A343" s="1">
        <v>88171</v>
      </c>
      <c r="B343" s="46">
        <v>77008</v>
      </c>
      <c r="C343" s="24">
        <v>839330</v>
      </c>
      <c r="D343" t="s">
        <v>1100</v>
      </c>
      <c r="E343" t="str">
        <f t="shared" ca="1" si="20"/>
        <v>9C10FS88171-74</v>
      </c>
      <c r="I343">
        <f t="shared" ca="1" si="21"/>
        <v>9</v>
      </c>
      <c r="J343" t="s">
        <v>689</v>
      </c>
      <c r="K343">
        <f t="shared" ca="1" si="22"/>
        <v>10</v>
      </c>
      <c r="L343" t="s">
        <v>2661</v>
      </c>
      <c r="M343" t="s">
        <v>2350</v>
      </c>
      <c r="N343" s="1">
        <v>88171</v>
      </c>
      <c r="O343" s="49" t="s">
        <v>2656</v>
      </c>
      <c r="P343">
        <f t="shared" ca="1" si="23"/>
        <v>74</v>
      </c>
    </row>
    <row r="344" spans="1:16">
      <c r="A344" s="1">
        <v>88170</v>
      </c>
      <c r="B344" s="46">
        <v>77009</v>
      </c>
      <c r="C344" s="24">
        <v>839330</v>
      </c>
      <c r="D344" t="s">
        <v>1100</v>
      </c>
      <c r="E344" t="str">
        <f t="shared" ca="1" si="20"/>
        <v>8D11CT88170-48</v>
      </c>
      <c r="I344">
        <f t="shared" ca="1" si="21"/>
        <v>8</v>
      </c>
      <c r="J344" t="s">
        <v>2658</v>
      </c>
      <c r="K344">
        <f t="shared" ca="1" si="22"/>
        <v>11</v>
      </c>
      <c r="L344" t="s">
        <v>689</v>
      </c>
      <c r="M344" t="s">
        <v>2657</v>
      </c>
      <c r="N344" s="1">
        <v>88170</v>
      </c>
      <c r="O344" s="49" t="s">
        <v>2656</v>
      </c>
      <c r="P344">
        <f t="shared" ca="1" si="23"/>
        <v>48</v>
      </c>
    </row>
    <row r="345" spans="1:16">
      <c r="A345" s="1">
        <v>88172</v>
      </c>
      <c r="B345" s="46">
        <v>85796</v>
      </c>
      <c r="C345" s="24">
        <v>843830</v>
      </c>
      <c r="D345" t="s">
        <v>1100</v>
      </c>
      <c r="E345" t="str">
        <f t="shared" ca="1" si="20"/>
        <v>5B66HR88172-92</v>
      </c>
      <c r="I345">
        <f t="shared" ca="1" si="21"/>
        <v>5</v>
      </c>
      <c r="J345" t="s">
        <v>954</v>
      </c>
      <c r="K345">
        <f t="shared" ca="1" si="22"/>
        <v>66</v>
      </c>
      <c r="L345" t="s">
        <v>2660</v>
      </c>
      <c r="M345" t="s">
        <v>1920</v>
      </c>
      <c r="N345" s="1">
        <v>88172</v>
      </c>
      <c r="O345" s="49" t="s">
        <v>2656</v>
      </c>
      <c r="P345">
        <f t="shared" ca="1" si="23"/>
        <v>92</v>
      </c>
    </row>
    <row r="346" spans="1:16">
      <c r="A346" s="1">
        <v>89261</v>
      </c>
      <c r="B346" s="46">
        <v>85797</v>
      </c>
      <c r="C346" s="24">
        <v>843830</v>
      </c>
      <c r="D346" t="s">
        <v>1100</v>
      </c>
      <c r="E346" t="str">
        <f t="shared" ca="1" si="20"/>
        <v>8C79GS89261-19</v>
      </c>
      <c r="I346">
        <f t="shared" ca="1" si="21"/>
        <v>8</v>
      </c>
      <c r="J346" t="s">
        <v>689</v>
      </c>
      <c r="K346">
        <f t="shared" ca="1" si="22"/>
        <v>79</v>
      </c>
      <c r="L346" t="s">
        <v>2659</v>
      </c>
      <c r="M346" t="s">
        <v>2350</v>
      </c>
      <c r="N346" s="1">
        <v>89261</v>
      </c>
      <c r="O346" s="49" t="s">
        <v>2656</v>
      </c>
      <c r="P346">
        <f t="shared" ca="1" si="23"/>
        <v>19</v>
      </c>
    </row>
    <row r="347" spans="1:16">
      <c r="A347" s="1">
        <v>89262</v>
      </c>
      <c r="B347" s="46">
        <v>85798</v>
      </c>
      <c r="C347" s="24">
        <v>843830</v>
      </c>
      <c r="D347" t="s">
        <v>1100</v>
      </c>
      <c r="E347" t="str">
        <f t="shared" ca="1" si="20"/>
        <v>1D67BT89262-71</v>
      </c>
      <c r="I347">
        <f t="shared" ca="1" si="21"/>
        <v>1</v>
      </c>
      <c r="J347" t="s">
        <v>2658</v>
      </c>
      <c r="K347">
        <f t="shared" ca="1" si="22"/>
        <v>67</v>
      </c>
      <c r="L347" t="s">
        <v>954</v>
      </c>
      <c r="M347" t="s">
        <v>2657</v>
      </c>
      <c r="N347" s="1">
        <v>89262</v>
      </c>
      <c r="O347" s="49" t="s">
        <v>2656</v>
      </c>
      <c r="P347">
        <f t="shared" ca="1" si="23"/>
        <v>71</v>
      </c>
    </row>
    <row r="348" spans="1:16">
      <c r="A348" s="1">
        <v>89260</v>
      </c>
      <c r="B348" s="46">
        <v>84547</v>
      </c>
      <c r="C348" s="24">
        <v>843677</v>
      </c>
      <c r="D348" t="s">
        <v>1104</v>
      </c>
      <c r="E348" t="str">
        <f t="shared" ca="1" si="20"/>
        <v>4B14DR89260-11</v>
      </c>
      <c r="I348">
        <f t="shared" ca="1" si="21"/>
        <v>4</v>
      </c>
      <c r="J348" t="s">
        <v>954</v>
      </c>
      <c r="K348">
        <f t="shared" ca="1" si="22"/>
        <v>14</v>
      </c>
      <c r="L348" t="s">
        <v>2658</v>
      </c>
      <c r="M348" t="s">
        <v>1920</v>
      </c>
      <c r="N348" s="1">
        <v>89260</v>
      </c>
      <c r="O348" s="49" t="s">
        <v>2656</v>
      </c>
      <c r="P348">
        <f t="shared" ca="1" si="23"/>
        <v>11</v>
      </c>
    </row>
    <row r="349" spans="1:16">
      <c r="A349" s="1">
        <v>87141</v>
      </c>
      <c r="B349" s="46">
        <v>84548</v>
      </c>
      <c r="C349" s="24">
        <v>843677</v>
      </c>
      <c r="D349" t="s">
        <v>1104</v>
      </c>
      <c r="E349" t="str">
        <f t="shared" ca="1" si="20"/>
        <v>3C95CS87141-33</v>
      </c>
      <c r="I349">
        <f t="shared" ca="1" si="21"/>
        <v>3</v>
      </c>
      <c r="J349" t="s">
        <v>689</v>
      </c>
      <c r="K349">
        <f t="shared" ca="1" si="22"/>
        <v>95</v>
      </c>
      <c r="L349" t="s">
        <v>689</v>
      </c>
      <c r="M349" t="s">
        <v>2350</v>
      </c>
      <c r="N349" s="1">
        <v>87141</v>
      </c>
      <c r="O349" s="49" t="s">
        <v>2656</v>
      </c>
      <c r="P349">
        <f t="shared" ca="1" si="23"/>
        <v>33</v>
      </c>
    </row>
    <row r="350" spans="1:16">
      <c r="A350" s="1">
        <v>87142</v>
      </c>
      <c r="B350" s="46">
        <v>84549</v>
      </c>
      <c r="C350" s="24">
        <v>843677</v>
      </c>
      <c r="D350" t="s">
        <v>1104</v>
      </c>
      <c r="E350" t="str">
        <f t="shared" ca="1" si="20"/>
        <v>2D67GT87142-97</v>
      </c>
      <c r="I350">
        <f t="shared" ca="1" si="21"/>
        <v>2</v>
      </c>
      <c r="J350" t="s">
        <v>2658</v>
      </c>
      <c r="K350">
        <f t="shared" ca="1" si="22"/>
        <v>67</v>
      </c>
      <c r="L350" t="s">
        <v>2659</v>
      </c>
      <c r="M350" t="s">
        <v>2657</v>
      </c>
      <c r="N350" s="1">
        <v>87142</v>
      </c>
      <c r="O350" s="49" t="s">
        <v>2656</v>
      </c>
      <c r="P350">
        <f t="shared" ca="1" si="23"/>
        <v>97</v>
      </c>
    </row>
    <row r="351" spans="1:16">
      <c r="A351" s="1">
        <v>84008</v>
      </c>
      <c r="B351" s="46">
        <v>88137</v>
      </c>
      <c r="C351" s="24">
        <v>843311</v>
      </c>
      <c r="D351" t="s">
        <v>1109</v>
      </c>
      <c r="E351" t="str">
        <f t="shared" ca="1" si="20"/>
        <v>2B15HR84008-17</v>
      </c>
      <c r="I351">
        <f t="shared" ca="1" si="21"/>
        <v>2</v>
      </c>
      <c r="J351" t="s">
        <v>954</v>
      </c>
      <c r="K351">
        <f t="shared" ca="1" si="22"/>
        <v>15</v>
      </c>
      <c r="L351" t="s">
        <v>2660</v>
      </c>
      <c r="M351" t="s">
        <v>1920</v>
      </c>
      <c r="N351" s="1">
        <v>84008</v>
      </c>
      <c r="O351" s="49" t="s">
        <v>2656</v>
      </c>
      <c r="P351">
        <f t="shared" ca="1" si="23"/>
        <v>17</v>
      </c>
    </row>
    <row r="352" spans="1:16">
      <c r="A352" s="1">
        <v>84009</v>
      </c>
      <c r="B352" s="46">
        <v>88136</v>
      </c>
      <c r="C352" s="24">
        <v>843311</v>
      </c>
      <c r="D352" t="s">
        <v>1109</v>
      </c>
      <c r="E352" t="str">
        <f t="shared" ca="1" si="20"/>
        <v>9C73HS84009-64</v>
      </c>
      <c r="I352">
        <f t="shared" ca="1" si="21"/>
        <v>9</v>
      </c>
      <c r="J352" t="s">
        <v>689</v>
      </c>
      <c r="K352">
        <f t="shared" ca="1" si="22"/>
        <v>73</v>
      </c>
      <c r="L352" t="s">
        <v>2660</v>
      </c>
      <c r="M352" t="s">
        <v>2350</v>
      </c>
      <c r="N352" s="1">
        <v>84009</v>
      </c>
      <c r="O352" s="49" t="s">
        <v>2656</v>
      </c>
      <c r="P352">
        <f t="shared" ca="1" si="23"/>
        <v>64</v>
      </c>
    </row>
    <row r="353" spans="1:16">
      <c r="A353" s="1">
        <v>88761</v>
      </c>
      <c r="B353" s="46">
        <v>88135</v>
      </c>
      <c r="C353" s="24">
        <v>843311</v>
      </c>
      <c r="D353" t="s">
        <v>1109</v>
      </c>
      <c r="E353" t="str">
        <f t="shared" ca="1" si="20"/>
        <v>5D29HT88761-44</v>
      </c>
      <c r="I353">
        <f t="shared" ca="1" si="21"/>
        <v>5</v>
      </c>
      <c r="J353" t="s">
        <v>2658</v>
      </c>
      <c r="K353">
        <f t="shared" ca="1" si="22"/>
        <v>29</v>
      </c>
      <c r="L353" t="s">
        <v>2660</v>
      </c>
      <c r="M353" t="s">
        <v>2657</v>
      </c>
      <c r="N353" s="1">
        <v>88761</v>
      </c>
      <c r="O353" s="49" t="s">
        <v>2656</v>
      </c>
      <c r="P353">
        <f t="shared" ca="1" si="23"/>
        <v>44</v>
      </c>
    </row>
    <row r="354" spans="1:16">
      <c r="A354" s="1">
        <v>88759</v>
      </c>
      <c r="B354" s="46">
        <v>84703</v>
      </c>
      <c r="C354" s="24">
        <v>843783</v>
      </c>
      <c r="D354" t="s">
        <v>1119</v>
      </c>
      <c r="E354" t="str">
        <f t="shared" ca="1" si="20"/>
        <v>9B43AR88759-15</v>
      </c>
      <c r="I354">
        <f t="shared" ca="1" si="21"/>
        <v>9</v>
      </c>
      <c r="J354" t="s">
        <v>954</v>
      </c>
      <c r="K354">
        <f t="shared" ca="1" si="22"/>
        <v>43</v>
      </c>
      <c r="L354" t="s">
        <v>425</v>
      </c>
      <c r="M354" t="s">
        <v>1920</v>
      </c>
      <c r="N354" s="1">
        <v>88759</v>
      </c>
      <c r="O354" s="49" t="s">
        <v>2656</v>
      </c>
      <c r="P354">
        <f t="shared" ca="1" si="23"/>
        <v>15</v>
      </c>
    </row>
    <row r="355" spans="1:16">
      <c r="A355" s="1">
        <v>88760</v>
      </c>
      <c r="B355" s="46">
        <v>84702</v>
      </c>
      <c r="C355" s="24">
        <v>843783</v>
      </c>
      <c r="D355" t="s">
        <v>1119</v>
      </c>
      <c r="E355" t="str">
        <f t="shared" ca="1" si="20"/>
        <v>6C72GS88760-86</v>
      </c>
      <c r="I355">
        <f t="shared" ca="1" si="21"/>
        <v>6</v>
      </c>
      <c r="J355" t="s">
        <v>689</v>
      </c>
      <c r="K355">
        <f t="shared" ca="1" si="22"/>
        <v>72</v>
      </c>
      <c r="L355" t="s">
        <v>2659</v>
      </c>
      <c r="M355" t="s">
        <v>2350</v>
      </c>
      <c r="N355" s="1">
        <v>88760</v>
      </c>
      <c r="O355" s="49" t="s">
        <v>2656</v>
      </c>
      <c r="P355">
        <f t="shared" ca="1" si="23"/>
        <v>86</v>
      </c>
    </row>
    <row r="356" spans="1:16">
      <c r="A356" s="1">
        <v>86230</v>
      </c>
      <c r="B356" s="46">
        <v>84701</v>
      </c>
      <c r="C356" s="24">
        <v>843783</v>
      </c>
      <c r="D356" t="s">
        <v>1119</v>
      </c>
      <c r="E356" t="str">
        <f t="shared" ca="1" si="20"/>
        <v>9D35AT86230-86</v>
      </c>
      <c r="I356">
        <f t="shared" ca="1" si="21"/>
        <v>9</v>
      </c>
      <c r="J356" t="s">
        <v>2658</v>
      </c>
      <c r="K356">
        <f t="shared" ca="1" si="22"/>
        <v>35</v>
      </c>
      <c r="L356" t="s">
        <v>425</v>
      </c>
      <c r="M356" t="s">
        <v>2657</v>
      </c>
      <c r="N356" s="1">
        <v>86230</v>
      </c>
      <c r="O356" s="49" t="s">
        <v>2656</v>
      </c>
      <c r="P356">
        <f t="shared" ca="1" si="23"/>
        <v>86</v>
      </c>
    </row>
    <row r="357" spans="1:16">
      <c r="A357" s="1">
        <v>86229</v>
      </c>
      <c r="B357" s="46">
        <v>86184</v>
      </c>
      <c r="C357" s="24">
        <v>844595</v>
      </c>
      <c r="D357" t="s">
        <v>1123</v>
      </c>
      <c r="E357" t="str">
        <f t="shared" ca="1" si="20"/>
        <v>1B45ER86229-39</v>
      </c>
      <c r="I357">
        <f t="shared" ca="1" si="21"/>
        <v>1</v>
      </c>
      <c r="J357" t="s">
        <v>954</v>
      </c>
      <c r="K357">
        <f t="shared" ca="1" si="22"/>
        <v>45</v>
      </c>
      <c r="L357" t="s">
        <v>804</v>
      </c>
      <c r="M357" t="s">
        <v>1920</v>
      </c>
      <c r="N357" s="1">
        <v>86229</v>
      </c>
      <c r="O357" s="49" t="s">
        <v>2656</v>
      </c>
      <c r="P357">
        <f t="shared" ca="1" si="23"/>
        <v>39</v>
      </c>
    </row>
    <row r="358" spans="1:16">
      <c r="A358" s="1">
        <v>86231</v>
      </c>
      <c r="B358" s="46">
        <v>86185</v>
      </c>
      <c r="C358" s="24">
        <v>844595</v>
      </c>
      <c r="D358" t="s">
        <v>1123</v>
      </c>
      <c r="E358" t="str">
        <f t="shared" ca="1" si="20"/>
        <v>5C87DS86231-13</v>
      </c>
      <c r="I358">
        <f t="shared" ca="1" si="21"/>
        <v>5</v>
      </c>
      <c r="J358" t="s">
        <v>689</v>
      </c>
      <c r="K358">
        <f t="shared" ca="1" si="22"/>
        <v>87</v>
      </c>
      <c r="L358" t="s">
        <v>2658</v>
      </c>
      <c r="M358" t="s">
        <v>2350</v>
      </c>
      <c r="N358" s="1">
        <v>86231</v>
      </c>
      <c r="O358" s="49" t="s">
        <v>2656</v>
      </c>
      <c r="P358">
        <f t="shared" ca="1" si="23"/>
        <v>13</v>
      </c>
    </row>
    <row r="359" spans="1:16">
      <c r="A359" s="1">
        <v>90448</v>
      </c>
      <c r="B359" s="46">
        <v>86187</v>
      </c>
      <c r="C359" s="24">
        <v>844595</v>
      </c>
      <c r="D359" t="s">
        <v>1123</v>
      </c>
      <c r="E359" t="str">
        <f t="shared" ca="1" si="20"/>
        <v>8D40IT90448-30</v>
      </c>
      <c r="I359">
        <f t="shared" ca="1" si="21"/>
        <v>8</v>
      </c>
      <c r="J359" t="s">
        <v>2658</v>
      </c>
      <c r="K359">
        <f t="shared" ca="1" si="22"/>
        <v>40</v>
      </c>
      <c r="L359" t="s">
        <v>304</v>
      </c>
      <c r="M359" t="s">
        <v>2657</v>
      </c>
      <c r="N359" s="1">
        <v>90448</v>
      </c>
      <c r="O359" s="49" t="s">
        <v>2656</v>
      </c>
      <c r="P359">
        <f t="shared" ca="1" si="23"/>
        <v>30</v>
      </c>
    </row>
    <row r="360" spans="1:16">
      <c r="A360" s="1">
        <v>90449</v>
      </c>
      <c r="B360" s="46">
        <v>86188</v>
      </c>
      <c r="C360" s="24">
        <v>844595</v>
      </c>
      <c r="D360" t="s">
        <v>1123</v>
      </c>
      <c r="E360" t="str">
        <f t="shared" ca="1" si="20"/>
        <v>2B41CR90449-55</v>
      </c>
      <c r="I360">
        <f t="shared" ca="1" si="21"/>
        <v>2</v>
      </c>
      <c r="J360" t="s">
        <v>954</v>
      </c>
      <c r="K360">
        <f t="shared" ca="1" si="22"/>
        <v>41</v>
      </c>
      <c r="L360" t="s">
        <v>689</v>
      </c>
      <c r="M360" t="s">
        <v>1920</v>
      </c>
      <c r="N360" s="1">
        <v>90449</v>
      </c>
      <c r="O360" s="49" t="s">
        <v>2656</v>
      </c>
      <c r="P360">
        <f t="shared" ca="1" si="23"/>
        <v>55</v>
      </c>
    </row>
    <row r="361" spans="1:16">
      <c r="A361" s="1">
        <v>90450</v>
      </c>
      <c r="B361" s="46">
        <v>86186</v>
      </c>
      <c r="C361" s="24">
        <v>844595</v>
      </c>
      <c r="D361" t="s">
        <v>1123</v>
      </c>
      <c r="E361" t="str">
        <f t="shared" ca="1" si="20"/>
        <v>5C92ES90450-37</v>
      </c>
      <c r="I361">
        <f t="shared" ca="1" si="21"/>
        <v>5</v>
      </c>
      <c r="J361" t="s">
        <v>689</v>
      </c>
      <c r="K361">
        <f t="shared" ca="1" si="22"/>
        <v>92</v>
      </c>
      <c r="L361" t="s">
        <v>804</v>
      </c>
      <c r="M361" t="s">
        <v>2350</v>
      </c>
      <c r="N361" s="1">
        <v>90450</v>
      </c>
      <c r="O361" s="49" t="s">
        <v>2656</v>
      </c>
      <c r="P361">
        <f t="shared" ca="1" si="23"/>
        <v>37</v>
      </c>
    </row>
    <row r="362" spans="1:16">
      <c r="A362" s="1">
        <v>89234</v>
      </c>
      <c r="B362" s="46">
        <v>86640</v>
      </c>
      <c r="C362" s="24">
        <v>844116</v>
      </c>
      <c r="D362" t="s">
        <v>1134</v>
      </c>
      <c r="E362" t="str">
        <f t="shared" ca="1" si="20"/>
        <v>2D35GT89234-93</v>
      </c>
      <c r="I362">
        <f t="shared" ca="1" si="21"/>
        <v>2</v>
      </c>
      <c r="J362" t="s">
        <v>2658</v>
      </c>
      <c r="K362">
        <f t="shared" ca="1" si="22"/>
        <v>35</v>
      </c>
      <c r="L362" t="s">
        <v>2659</v>
      </c>
      <c r="M362" t="s">
        <v>2657</v>
      </c>
      <c r="N362" s="1">
        <v>89234</v>
      </c>
      <c r="O362" s="49" t="s">
        <v>2656</v>
      </c>
      <c r="P362">
        <f t="shared" ca="1" si="23"/>
        <v>93</v>
      </c>
    </row>
    <row r="363" spans="1:16">
      <c r="A363" s="1">
        <v>89232</v>
      </c>
      <c r="B363" s="46">
        <v>86642</v>
      </c>
      <c r="C363" s="24">
        <v>844116</v>
      </c>
      <c r="D363" t="s">
        <v>1134</v>
      </c>
      <c r="E363" t="str">
        <f t="shared" ca="1" si="20"/>
        <v>2B46DR89232-66</v>
      </c>
      <c r="I363">
        <f t="shared" ca="1" si="21"/>
        <v>2</v>
      </c>
      <c r="J363" t="s">
        <v>954</v>
      </c>
      <c r="K363">
        <f t="shared" ca="1" si="22"/>
        <v>46</v>
      </c>
      <c r="L363" t="s">
        <v>2658</v>
      </c>
      <c r="M363" t="s">
        <v>1920</v>
      </c>
      <c r="N363" s="1">
        <v>89232</v>
      </c>
      <c r="O363" s="49" t="s">
        <v>2656</v>
      </c>
      <c r="P363">
        <f t="shared" ca="1" si="23"/>
        <v>66</v>
      </c>
    </row>
    <row r="364" spans="1:16">
      <c r="A364" s="1">
        <v>89233</v>
      </c>
      <c r="B364" s="46">
        <v>86641</v>
      </c>
      <c r="C364" s="24">
        <v>844116</v>
      </c>
      <c r="D364" t="s">
        <v>1134</v>
      </c>
      <c r="E364" t="str">
        <f t="shared" ca="1" si="20"/>
        <v>1C72AS89233-90</v>
      </c>
      <c r="I364">
        <f t="shared" ca="1" si="21"/>
        <v>1</v>
      </c>
      <c r="J364" t="s">
        <v>689</v>
      </c>
      <c r="K364">
        <f t="shared" ca="1" si="22"/>
        <v>72</v>
      </c>
      <c r="L364" t="s">
        <v>425</v>
      </c>
      <c r="M364" t="s">
        <v>2350</v>
      </c>
      <c r="N364" s="1">
        <v>89233</v>
      </c>
      <c r="O364" s="49" t="s">
        <v>2656</v>
      </c>
      <c r="P364">
        <f t="shared" ca="1" si="23"/>
        <v>90</v>
      </c>
    </row>
    <row r="365" spans="1:16">
      <c r="A365" s="1">
        <v>89912</v>
      </c>
      <c r="B365" s="46">
        <v>88438</v>
      </c>
      <c r="C365" s="24">
        <v>844605</v>
      </c>
      <c r="D365" t="s">
        <v>1140</v>
      </c>
      <c r="E365" t="str">
        <f t="shared" ca="1" si="20"/>
        <v>4D20DT89912-19</v>
      </c>
      <c r="I365">
        <f t="shared" ca="1" si="21"/>
        <v>4</v>
      </c>
      <c r="J365" t="s">
        <v>2658</v>
      </c>
      <c r="K365">
        <f t="shared" ca="1" si="22"/>
        <v>20</v>
      </c>
      <c r="L365" t="s">
        <v>2658</v>
      </c>
      <c r="M365" t="s">
        <v>2657</v>
      </c>
      <c r="N365" s="1">
        <v>89912</v>
      </c>
      <c r="O365" s="49" t="s">
        <v>2656</v>
      </c>
      <c r="P365">
        <f t="shared" ca="1" si="23"/>
        <v>19</v>
      </c>
    </row>
    <row r="366" spans="1:16">
      <c r="A366" s="1">
        <v>89913</v>
      </c>
      <c r="B366" s="46">
        <v>88437</v>
      </c>
      <c r="C366" s="24">
        <v>844605</v>
      </c>
      <c r="D366" t="s">
        <v>1140</v>
      </c>
      <c r="E366" t="str">
        <f t="shared" ca="1" si="20"/>
        <v>1B93ER89913-43</v>
      </c>
      <c r="I366">
        <f t="shared" ca="1" si="21"/>
        <v>1</v>
      </c>
      <c r="J366" t="s">
        <v>954</v>
      </c>
      <c r="K366">
        <f t="shared" ca="1" si="22"/>
        <v>93</v>
      </c>
      <c r="L366" t="s">
        <v>804</v>
      </c>
      <c r="M366" t="s">
        <v>1920</v>
      </c>
      <c r="N366" s="1">
        <v>89913</v>
      </c>
      <c r="O366" s="49" t="s">
        <v>2656</v>
      </c>
      <c r="P366">
        <f t="shared" ca="1" si="23"/>
        <v>43</v>
      </c>
    </row>
    <row r="367" spans="1:16">
      <c r="A367" s="1">
        <v>89914</v>
      </c>
      <c r="B367" s="46">
        <v>86074</v>
      </c>
      <c r="C367" s="24">
        <v>843438</v>
      </c>
      <c r="D367" t="s">
        <v>1146</v>
      </c>
      <c r="E367" t="str">
        <f t="shared" ca="1" si="20"/>
        <v>6C54GS89914-47</v>
      </c>
      <c r="I367">
        <f t="shared" ca="1" si="21"/>
        <v>6</v>
      </c>
      <c r="J367" t="s">
        <v>689</v>
      </c>
      <c r="K367">
        <f t="shared" ca="1" si="22"/>
        <v>54</v>
      </c>
      <c r="L367" t="s">
        <v>2659</v>
      </c>
      <c r="M367" t="s">
        <v>2350</v>
      </c>
      <c r="N367" s="1">
        <v>89914</v>
      </c>
      <c r="O367" s="49" t="s">
        <v>2656</v>
      </c>
      <c r="P367">
        <f t="shared" ca="1" si="23"/>
        <v>47</v>
      </c>
    </row>
    <row r="368" spans="1:16">
      <c r="A368" s="1">
        <v>90677</v>
      </c>
      <c r="B368" s="46">
        <v>86073</v>
      </c>
      <c r="C368" s="24">
        <v>843438</v>
      </c>
      <c r="D368" t="s">
        <v>1146</v>
      </c>
      <c r="E368" t="str">
        <f t="shared" ca="1" si="20"/>
        <v>1D52AT90677-94</v>
      </c>
      <c r="I368">
        <f t="shared" ca="1" si="21"/>
        <v>1</v>
      </c>
      <c r="J368" t="s">
        <v>2658</v>
      </c>
      <c r="K368">
        <f t="shared" ca="1" si="22"/>
        <v>52</v>
      </c>
      <c r="L368" t="s">
        <v>425</v>
      </c>
      <c r="M368" t="s">
        <v>2657</v>
      </c>
      <c r="N368" s="1">
        <v>90677</v>
      </c>
      <c r="O368" s="49" t="s">
        <v>2656</v>
      </c>
      <c r="P368">
        <f t="shared" ca="1" si="23"/>
        <v>94</v>
      </c>
    </row>
    <row r="369" spans="1:16">
      <c r="A369" s="1">
        <v>90678</v>
      </c>
      <c r="B369" s="46">
        <v>86072</v>
      </c>
      <c r="C369" s="24">
        <v>843438</v>
      </c>
      <c r="D369" t="s">
        <v>1146</v>
      </c>
      <c r="E369" t="str">
        <f t="shared" ca="1" si="20"/>
        <v>3B24BR90678-64</v>
      </c>
      <c r="I369">
        <f t="shared" ca="1" si="21"/>
        <v>3</v>
      </c>
      <c r="J369" t="s">
        <v>954</v>
      </c>
      <c r="K369">
        <f t="shared" ca="1" si="22"/>
        <v>24</v>
      </c>
      <c r="L369" t="s">
        <v>954</v>
      </c>
      <c r="M369" t="s">
        <v>1920</v>
      </c>
      <c r="N369" s="1">
        <v>90678</v>
      </c>
      <c r="O369" s="49" t="s">
        <v>2656</v>
      </c>
      <c r="P369">
        <f t="shared" ca="1" si="23"/>
        <v>64</v>
      </c>
    </row>
    <row r="370" spans="1:16">
      <c r="A370" s="1">
        <v>90679</v>
      </c>
      <c r="B370" s="46">
        <v>86840</v>
      </c>
      <c r="C370" s="24">
        <v>844821</v>
      </c>
      <c r="D370" t="s">
        <v>1151</v>
      </c>
      <c r="E370" t="str">
        <f t="shared" ca="1" si="20"/>
        <v>4C64IS90679-70</v>
      </c>
      <c r="I370">
        <f t="shared" ca="1" si="21"/>
        <v>4</v>
      </c>
      <c r="J370" t="s">
        <v>689</v>
      </c>
      <c r="K370">
        <f t="shared" ca="1" si="22"/>
        <v>64</v>
      </c>
      <c r="L370" t="s">
        <v>304</v>
      </c>
      <c r="M370" t="s">
        <v>2350</v>
      </c>
      <c r="N370" s="1">
        <v>90679</v>
      </c>
      <c r="O370" s="49" t="s">
        <v>2656</v>
      </c>
      <c r="P370">
        <f t="shared" ca="1" si="23"/>
        <v>70</v>
      </c>
    </row>
    <row r="371" spans="1:16">
      <c r="A371" s="1">
        <v>77801</v>
      </c>
      <c r="B371" s="46">
        <v>86839</v>
      </c>
      <c r="C371" s="24">
        <v>844821</v>
      </c>
      <c r="D371" t="s">
        <v>1151</v>
      </c>
      <c r="E371" t="str">
        <f t="shared" ca="1" si="20"/>
        <v>5D31GT77801-40</v>
      </c>
      <c r="I371">
        <f t="shared" ca="1" si="21"/>
        <v>5</v>
      </c>
      <c r="J371" t="s">
        <v>2658</v>
      </c>
      <c r="K371">
        <f t="shared" ca="1" si="22"/>
        <v>31</v>
      </c>
      <c r="L371" t="s">
        <v>2659</v>
      </c>
      <c r="M371" t="s">
        <v>2657</v>
      </c>
      <c r="N371" s="1">
        <v>77801</v>
      </c>
      <c r="O371" s="49" t="s">
        <v>2656</v>
      </c>
      <c r="P371">
        <f t="shared" ca="1" si="23"/>
        <v>40</v>
      </c>
    </row>
    <row r="372" spans="1:16">
      <c r="A372" s="1">
        <v>77802</v>
      </c>
      <c r="B372" s="46">
        <v>86838</v>
      </c>
      <c r="C372" s="24">
        <v>844821</v>
      </c>
      <c r="D372" t="s">
        <v>1151</v>
      </c>
      <c r="E372" t="str">
        <f t="shared" ca="1" si="20"/>
        <v>2B12FR77802-88</v>
      </c>
      <c r="I372">
        <f t="shared" ca="1" si="21"/>
        <v>2</v>
      </c>
      <c r="J372" t="s">
        <v>954</v>
      </c>
      <c r="K372">
        <f t="shared" ca="1" si="22"/>
        <v>12</v>
      </c>
      <c r="L372" t="s">
        <v>2661</v>
      </c>
      <c r="M372" t="s">
        <v>1920</v>
      </c>
      <c r="N372" s="1">
        <v>77802</v>
      </c>
      <c r="O372" s="49" t="s">
        <v>2656</v>
      </c>
      <c r="P372">
        <f t="shared" ca="1" si="23"/>
        <v>88</v>
      </c>
    </row>
    <row r="373" spans="1:16">
      <c r="A373" s="1">
        <v>88903</v>
      </c>
      <c r="B373" s="46">
        <v>89048</v>
      </c>
      <c r="C373" s="24">
        <v>843862</v>
      </c>
      <c r="D373" t="s">
        <v>1155</v>
      </c>
      <c r="E373" t="str">
        <f t="shared" ca="1" si="20"/>
        <v>7C83CS88903-49</v>
      </c>
      <c r="I373">
        <f t="shared" ca="1" si="21"/>
        <v>7</v>
      </c>
      <c r="J373" t="s">
        <v>689</v>
      </c>
      <c r="K373">
        <f t="shared" ca="1" si="22"/>
        <v>83</v>
      </c>
      <c r="L373" t="s">
        <v>689</v>
      </c>
      <c r="M373" t="s">
        <v>2350</v>
      </c>
      <c r="N373" s="1">
        <v>88903</v>
      </c>
      <c r="O373" s="49" t="s">
        <v>2656</v>
      </c>
      <c r="P373">
        <f t="shared" ca="1" si="23"/>
        <v>49</v>
      </c>
    </row>
    <row r="374" spans="1:16">
      <c r="A374" s="1">
        <v>88901</v>
      </c>
      <c r="B374" s="46">
        <v>89046</v>
      </c>
      <c r="C374" s="24">
        <v>843862</v>
      </c>
      <c r="D374" t="s">
        <v>1155</v>
      </c>
      <c r="E374" t="str">
        <f t="shared" ca="1" si="20"/>
        <v>9D44AT88901-83</v>
      </c>
      <c r="I374">
        <f t="shared" ca="1" si="21"/>
        <v>9</v>
      </c>
      <c r="J374" t="s">
        <v>2658</v>
      </c>
      <c r="K374">
        <f t="shared" ca="1" si="22"/>
        <v>44</v>
      </c>
      <c r="L374" t="s">
        <v>425</v>
      </c>
      <c r="M374" t="s">
        <v>2657</v>
      </c>
      <c r="N374" s="1">
        <v>88901</v>
      </c>
      <c r="O374" s="49" t="s">
        <v>2656</v>
      </c>
      <c r="P374">
        <f t="shared" ca="1" si="23"/>
        <v>83</v>
      </c>
    </row>
    <row r="375" spans="1:16">
      <c r="A375" s="1">
        <v>88904</v>
      </c>
      <c r="B375" s="46">
        <v>89047</v>
      </c>
      <c r="C375" s="24">
        <v>843862</v>
      </c>
      <c r="D375" t="s">
        <v>1155</v>
      </c>
      <c r="E375" t="str">
        <f t="shared" ca="1" si="20"/>
        <v>1B84ER88904-67</v>
      </c>
      <c r="I375">
        <f t="shared" ca="1" si="21"/>
        <v>1</v>
      </c>
      <c r="J375" t="s">
        <v>954</v>
      </c>
      <c r="K375">
        <f t="shared" ca="1" si="22"/>
        <v>84</v>
      </c>
      <c r="L375" t="s">
        <v>804</v>
      </c>
      <c r="M375" t="s">
        <v>1920</v>
      </c>
      <c r="N375" s="1">
        <v>88904</v>
      </c>
      <c r="O375" s="49" t="s">
        <v>2656</v>
      </c>
      <c r="P375">
        <f t="shared" ca="1" si="23"/>
        <v>67</v>
      </c>
    </row>
    <row r="376" spans="1:16">
      <c r="A376" s="1">
        <v>88902</v>
      </c>
      <c r="B376" s="46">
        <v>86044</v>
      </c>
      <c r="C376" s="24">
        <v>844298</v>
      </c>
      <c r="D376" t="s">
        <v>1164</v>
      </c>
      <c r="E376" t="str">
        <f t="shared" ca="1" si="20"/>
        <v>5C40ES88902-34</v>
      </c>
      <c r="I376">
        <f t="shared" ca="1" si="21"/>
        <v>5</v>
      </c>
      <c r="J376" t="s">
        <v>689</v>
      </c>
      <c r="K376">
        <f t="shared" ca="1" si="22"/>
        <v>40</v>
      </c>
      <c r="L376" t="s">
        <v>804</v>
      </c>
      <c r="M376" t="s">
        <v>2350</v>
      </c>
      <c r="N376" s="1">
        <v>88902</v>
      </c>
      <c r="O376" s="49" t="s">
        <v>2656</v>
      </c>
      <c r="P376">
        <f t="shared" ca="1" si="23"/>
        <v>34</v>
      </c>
    </row>
    <row r="377" spans="1:16">
      <c r="A377" s="1">
        <v>90187</v>
      </c>
      <c r="B377" s="46">
        <v>86043</v>
      </c>
      <c r="C377" s="24">
        <v>844298</v>
      </c>
      <c r="D377" t="s">
        <v>1164</v>
      </c>
      <c r="E377" t="str">
        <f t="shared" ca="1" si="20"/>
        <v>3D27CT90187-69</v>
      </c>
      <c r="I377">
        <f t="shared" ca="1" si="21"/>
        <v>3</v>
      </c>
      <c r="J377" t="s">
        <v>2658</v>
      </c>
      <c r="K377">
        <f t="shared" ca="1" si="22"/>
        <v>27</v>
      </c>
      <c r="L377" t="s">
        <v>689</v>
      </c>
      <c r="M377" t="s">
        <v>2657</v>
      </c>
      <c r="N377" s="1">
        <v>90187</v>
      </c>
      <c r="O377" s="49" t="s">
        <v>2656</v>
      </c>
      <c r="P377">
        <f t="shared" ca="1" si="23"/>
        <v>69</v>
      </c>
    </row>
    <row r="378" spans="1:16">
      <c r="A378" s="1">
        <v>90188</v>
      </c>
      <c r="B378" s="46">
        <v>86045</v>
      </c>
      <c r="C378" s="24">
        <v>844298</v>
      </c>
      <c r="D378" t="s">
        <v>1164</v>
      </c>
      <c r="E378" t="str">
        <f t="shared" ca="1" si="20"/>
        <v>7B72HR90188-86</v>
      </c>
      <c r="I378">
        <f t="shared" ca="1" si="21"/>
        <v>7</v>
      </c>
      <c r="J378" t="s">
        <v>954</v>
      </c>
      <c r="K378">
        <f t="shared" ca="1" si="22"/>
        <v>72</v>
      </c>
      <c r="L378" t="s">
        <v>2660</v>
      </c>
      <c r="M378" t="s">
        <v>1920</v>
      </c>
      <c r="N378" s="1">
        <v>90188</v>
      </c>
      <c r="O378" s="49" t="s">
        <v>2656</v>
      </c>
      <c r="P378">
        <f t="shared" ca="1" si="23"/>
        <v>86</v>
      </c>
    </row>
    <row r="379" spans="1:16">
      <c r="A379" s="1">
        <v>86068</v>
      </c>
      <c r="B379" s="46">
        <v>89547</v>
      </c>
      <c r="C379" s="24">
        <v>844436</v>
      </c>
      <c r="D379" t="s">
        <v>1168</v>
      </c>
      <c r="E379" t="str">
        <f t="shared" ca="1" si="20"/>
        <v>6C52CS86068-90</v>
      </c>
      <c r="I379">
        <f t="shared" ca="1" si="21"/>
        <v>6</v>
      </c>
      <c r="J379" t="s">
        <v>689</v>
      </c>
      <c r="K379">
        <f t="shared" ca="1" si="22"/>
        <v>52</v>
      </c>
      <c r="L379" t="s">
        <v>689</v>
      </c>
      <c r="M379" t="s">
        <v>2350</v>
      </c>
      <c r="N379" s="1">
        <v>86068</v>
      </c>
      <c r="O379" s="49" t="s">
        <v>2656</v>
      </c>
      <c r="P379">
        <f t="shared" ca="1" si="23"/>
        <v>90</v>
      </c>
    </row>
    <row r="380" spans="1:16">
      <c r="A380" s="1">
        <v>86067</v>
      </c>
      <c r="B380" s="46">
        <v>89545</v>
      </c>
      <c r="C380" s="24">
        <v>844436</v>
      </c>
      <c r="D380" t="s">
        <v>1168</v>
      </c>
      <c r="E380" t="str">
        <f t="shared" ca="1" si="20"/>
        <v>6D41ET86067-13</v>
      </c>
      <c r="I380">
        <f t="shared" ca="1" si="21"/>
        <v>6</v>
      </c>
      <c r="J380" t="s">
        <v>2658</v>
      </c>
      <c r="K380">
        <f t="shared" ca="1" si="22"/>
        <v>41</v>
      </c>
      <c r="L380" t="s">
        <v>804</v>
      </c>
      <c r="M380" t="s">
        <v>2657</v>
      </c>
      <c r="N380" s="1">
        <v>86067</v>
      </c>
      <c r="O380" s="49" t="s">
        <v>2656</v>
      </c>
      <c r="P380">
        <f t="shared" ca="1" si="23"/>
        <v>13</v>
      </c>
    </row>
    <row r="381" spans="1:16">
      <c r="A381" s="1">
        <v>86069</v>
      </c>
      <c r="B381" s="46">
        <v>89546</v>
      </c>
      <c r="C381" s="24">
        <v>844436</v>
      </c>
      <c r="D381" t="s">
        <v>1168</v>
      </c>
      <c r="E381" t="str">
        <f t="shared" ca="1" si="20"/>
        <v>8B80FR86069-62</v>
      </c>
      <c r="I381">
        <f t="shared" ca="1" si="21"/>
        <v>8</v>
      </c>
      <c r="J381" t="s">
        <v>954</v>
      </c>
      <c r="K381">
        <f t="shared" ca="1" si="22"/>
        <v>80</v>
      </c>
      <c r="L381" t="s">
        <v>2661</v>
      </c>
      <c r="M381" t="s">
        <v>1920</v>
      </c>
      <c r="N381" s="1">
        <v>86069</v>
      </c>
      <c r="O381" s="49" t="s">
        <v>2656</v>
      </c>
      <c r="P381">
        <f t="shared" ca="1" si="23"/>
        <v>62</v>
      </c>
    </row>
    <row r="382" spans="1:16">
      <c r="A382" s="1">
        <v>90889</v>
      </c>
      <c r="B382" s="46">
        <v>89548</v>
      </c>
      <c r="C382" s="24">
        <v>844436</v>
      </c>
      <c r="D382" t="s">
        <v>1168</v>
      </c>
      <c r="E382" t="str">
        <f t="shared" ca="1" si="20"/>
        <v>3C58CS90889-61</v>
      </c>
      <c r="I382">
        <f t="shared" ca="1" si="21"/>
        <v>3</v>
      </c>
      <c r="J382" t="s">
        <v>689</v>
      </c>
      <c r="K382">
        <f t="shared" ca="1" si="22"/>
        <v>58</v>
      </c>
      <c r="L382" t="s">
        <v>689</v>
      </c>
      <c r="M382" t="s">
        <v>2350</v>
      </c>
      <c r="N382" s="1">
        <v>90889</v>
      </c>
      <c r="O382" s="49" t="s">
        <v>2656</v>
      </c>
      <c r="P382">
        <f t="shared" ca="1" si="23"/>
        <v>61</v>
      </c>
    </row>
    <row r="383" spans="1:16">
      <c r="A383" s="1">
        <v>90888</v>
      </c>
      <c r="B383" s="46">
        <v>88171</v>
      </c>
      <c r="C383" s="24">
        <v>842702</v>
      </c>
      <c r="D383" t="s">
        <v>1173</v>
      </c>
      <c r="E383" t="str">
        <f t="shared" ca="1" si="20"/>
        <v>8D20IT90888-47</v>
      </c>
      <c r="I383">
        <f t="shared" ca="1" si="21"/>
        <v>8</v>
      </c>
      <c r="J383" t="s">
        <v>2658</v>
      </c>
      <c r="K383">
        <f t="shared" ca="1" si="22"/>
        <v>20</v>
      </c>
      <c r="L383" t="s">
        <v>304</v>
      </c>
      <c r="M383" t="s">
        <v>2657</v>
      </c>
      <c r="N383" s="1">
        <v>90888</v>
      </c>
      <c r="O383" s="49" t="s">
        <v>2656</v>
      </c>
      <c r="P383">
        <f t="shared" ca="1" si="23"/>
        <v>47</v>
      </c>
    </row>
    <row r="384" spans="1:16">
      <c r="A384" s="1">
        <v>90890</v>
      </c>
      <c r="B384" s="46">
        <v>88170</v>
      </c>
      <c r="C384" s="24">
        <v>842702</v>
      </c>
      <c r="D384" t="s">
        <v>1173</v>
      </c>
      <c r="E384" t="str">
        <f t="shared" ca="1" si="20"/>
        <v>8B55FR90890-47</v>
      </c>
      <c r="I384">
        <f t="shared" ca="1" si="21"/>
        <v>8</v>
      </c>
      <c r="J384" t="s">
        <v>954</v>
      </c>
      <c r="K384">
        <f t="shared" ca="1" si="22"/>
        <v>55</v>
      </c>
      <c r="L384" t="s">
        <v>2661</v>
      </c>
      <c r="M384" t="s">
        <v>1920</v>
      </c>
      <c r="N384" s="1">
        <v>90890</v>
      </c>
      <c r="O384" s="49" t="s">
        <v>2656</v>
      </c>
      <c r="P384">
        <f t="shared" ca="1" si="23"/>
        <v>47</v>
      </c>
    </row>
    <row r="385" spans="1:16">
      <c r="A385" s="1">
        <v>90657</v>
      </c>
      <c r="B385" s="46">
        <v>88172</v>
      </c>
      <c r="C385" s="24">
        <v>842702</v>
      </c>
      <c r="D385" t="s">
        <v>1173</v>
      </c>
      <c r="E385" t="str">
        <f t="shared" ca="1" si="20"/>
        <v>9C53AS90657-69</v>
      </c>
      <c r="I385">
        <f t="shared" ca="1" si="21"/>
        <v>9</v>
      </c>
      <c r="J385" t="s">
        <v>689</v>
      </c>
      <c r="K385">
        <f t="shared" ca="1" si="22"/>
        <v>53</v>
      </c>
      <c r="L385" t="s">
        <v>425</v>
      </c>
      <c r="M385" t="s">
        <v>2350</v>
      </c>
      <c r="N385" s="1">
        <v>90657</v>
      </c>
      <c r="O385" s="49" t="s">
        <v>2656</v>
      </c>
      <c r="P385">
        <f t="shared" ca="1" si="23"/>
        <v>69</v>
      </c>
    </row>
    <row r="386" spans="1:16">
      <c r="A386" s="1">
        <v>90656</v>
      </c>
      <c r="B386" s="46">
        <v>89261</v>
      </c>
      <c r="C386" s="24">
        <v>843561</v>
      </c>
      <c r="D386" t="s">
        <v>1179</v>
      </c>
      <c r="E386" t="str">
        <f t="shared" ca="1" si="20"/>
        <v>6D63DT90656-83</v>
      </c>
      <c r="I386">
        <f t="shared" ca="1" si="21"/>
        <v>6</v>
      </c>
      <c r="J386" t="s">
        <v>2658</v>
      </c>
      <c r="K386">
        <f t="shared" ca="1" si="22"/>
        <v>63</v>
      </c>
      <c r="L386" t="s">
        <v>2658</v>
      </c>
      <c r="M386" t="s">
        <v>2657</v>
      </c>
      <c r="N386" s="1">
        <v>90656</v>
      </c>
      <c r="O386" s="49" t="s">
        <v>2656</v>
      </c>
      <c r="P386">
        <f t="shared" ca="1" si="23"/>
        <v>83</v>
      </c>
    </row>
    <row r="387" spans="1:16">
      <c r="A387" s="1">
        <v>90658</v>
      </c>
      <c r="B387" s="46">
        <v>89262</v>
      </c>
      <c r="C387" s="24">
        <v>843561</v>
      </c>
      <c r="D387" t="s">
        <v>1179</v>
      </c>
      <c r="E387" t="str">
        <f t="shared" ca="1" si="20"/>
        <v>1B67AR90658-11</v>
      </c>
      <c r="I387">
        <f t="shared" ca="1" si="21"/>
        <v>1</v>
      </c>
      <c r="J387" t="s">
        <v>954</v>
      </c>
      <c r="K387">
        <f t="shared" ca="1" si="22"/>
        <v>67</v>
      </c>
      <c r="L387" t="s">
        <v>425</v>
      </c>
      <c r="M387" t="s">
        <v>1920</v>
      </c>
      <c r="N387" s="1">
        <v>90658</v>
      </c>
      <c r="O387" s="49" t="s">
        <v>2656</v>
      </c>
      <c r="P387">
        <f t="shared" ca="1" si="23"/>
        <v>11</v>
      </c>
    </row>
    <row r="388" spans="1:16">
      <c r="A388" s="1">
        <v>90691</v>
      </c>
      <c r="B388" s="46">
        <v>89260</v>
      </c>
      <c r="C388" s="24">
        <v>843561</v>
      </c>
      <c r="D388" t="s">
        <v>1179</v>
      </c>
      <c r="E388" t="str">
        <f t="shared" ca="1" si="20"/>
        <v>1C86ES90691-35</v>
      </c>
      <c r="I388">
        <f t="shared" ca="1" si="21"/>
        <v>1</v>
      </c>
      <c r="J388" t="s">
        <v>689</v>
      </c>
      <c r="K388">
        <f t="shared" ca="1" si="22"/>
        <v>86</v>
      </c>
      <c r="L388" t="s">
        <v>804</v>
      </c>
      <c r="M388" t="s">
        <v>2350</v>
      </c>
      <c r="N388" s="1">
        <v>90691</v>
      </c>
      <c r="O388" s="49" t="s">
        <v>2656</v>
      </c>
      <c r="P388">
        <f t="shared" ca="1" si="23"/>
        <v>35</v>
      </c>
    </row>
    <row r="389" spans="1:16">
      <c r="A389" s="1">
        <v>90689</v>
      </c>
      <c r="B389" s="46">
        <v>87141</v>
      </c>
      <c r="C389" s="24">
        <v>843282</v>
      </c>
      <c r="D389" t="s">
        <v>1185</v>
      </c>
      <c r="E389" t="str">
        <f t="shared" ca="1" si="20"/>
        <v>6D32HT90689-98</v>
      </c>
      <c r="I389">
        <f t="shared" ca="1" si="21"/>
        <v>6</v>
      </c>
      <c r="J389" t="s">
        <v>2658</v>
      </c>
      <c r="K389">
        <f t="shared" ca="1" si="22"/>
        <v>32</v>
      </c>
      <c r="L389" t="s">
        <v>2660</v>
      </c>
      <c r="M389" t="s">
        <v>2657</v>
      </c>
      <c r="N389" s="1">
        <v>90689</v>
      </c>
      <c r="O389" s="49" t="s">
        <v>2656</v>
      </c>
      <c r="P389">
        <f t="shared" ca="1" si="23"/>
        <v>98</v>
      </c>
    </row>
    <row r="390" spans="1:16">
      <c r="A390" s="1">
        <v>90690</v>
      </c>
      <c r="B390" s="46">
        <v>87142</v>
      </c>
      <c r="C390" s="24">
        <v>843282</v>
      </c>
      <c r="D390" t="s">
        <v>1185</v>
      </c>
      <c r="E390" t="str">
        <f t="shared" ca="1" si="20"/>
        <v>6B24HR90690-94</v>
      </c>
      <c r="I390">
        <f t="shared" ca="1" si="21"/>
        <v>6</v>
      </c>
      <c r="J390" t="s">
        <v>954</v>
      </c>
      <c r="K390">
        <f t="shared" ca="1" si="22"/>
        <v>24</v>
      </c>
      <c r="L390" t="s">
        <v>2660</v>
      </c>
      <c r="M390" t="s">
        <v>1920</v>
      </c>
      <c r="N390" s="1">
        <v>90690</v>
      </c>
      <c r="O390" s="49" t="s">
        <v>2656</v>
      </c>
      <c r="P390">
        <f t="shared" ca="1" si="23"/>
        <v>94</v>
      </c>
    </row>
    <row r="391" spans="1:16">
      <c r="A391" s="1">
        <v>90738</v>
      </c>
      <c r="B391" s="46">
        <v>84008</v>
      </c>
      <c r="C391" s="24">
        <v>843363</v>
      </c>
      <c r="D391" t="s">
        <v>1191</v>
      </c>
      <c r="E391" t="str">
        <f t="shared" ref="E391:E454" ca="1" si="24">CONCATENATE(I391,J391,K391,L391,M391,N391,O391,P391)</f>
        <v>4C77FS90738-93</v>
      </c>
      <c r="I391">
        <f t="shared" ref="I391:I454" ca="1" si="25">RANDBETWEEN(1,9)</f>
        <v>4</v>
      </c>
      <c r="J391" t="s">
        <v>689</v>
      </c>
      <c r="K391">
        <f t="shared" ref="K391:K454" ca="1" si="26">RANDBETWEEN(10,99)</f>
        <v>77</v>
      </c>
      <c r="L391" t="s">
        <v>2661</v>
      </c>
      <c r="M391" t="s">
        <v>2350</v>
      </c>
      <c r="N391" s="1">
        <v>90738</v>
      </c>
      <c r="O391" s="49" t="s">
        <v>2656</v>
      </c>
      <c r="P391">
        <f t="shared" ref="P391:P454" ca="1" si="27">RANDBETWEEN(10,99)</f>
        <v>93</v>
      </c>
    </row>
    <row r="392" spans="1:16">
      <c r="A392" s="1">
        <v>90740</v>
      </c>
      <c r="B392" s="46">
        <v>84009</v>
      </c>
      <c r="C392" s="24">
        <v>843363</v>
      </c>
      <c r="D392" t="s">
        <v>1191</v>
      </c>
      <c r="E392" t="str">
        <f t="shared" ca="1" si="24"/>
        <v>7D38FT90740-28</v>
      </c>
      <c r="I392">
        <f t="shared" ca="1" si="25"/>
        <v>7</v>
      </c>
      <c r="J392" t="s">
        <v>2658</v>
      </c>
      <c r="K392">
        <f t="shared" ca="1" si="26"/>
        <v>38</v>
      </c>
      <c r="L392" t="s">
        <v>2661</v>
      </c>
      <c r="M392" t="s">
        <v>2657</v>
      </c>
      <c r="N392" s="1">
        <v>90740</v>
      </c>
      <c r="O392" s="49" t="s">
        <v>2656</v>
      </c>
      <c r="P392">
        <f t="shared" ca="1" si="27"/>
        <v>28</v>
      </c>
    </row>
    <row r="393" spans="1:16">
      <c r="A393" s="1">
        <v>90739</v>
      </c>
      <c r="B393" s="46">
        <v>88761</v>
      </c>
      <c r="C393" s="24">
        <v>839994</v>
      </c>
      <c r="D393" t="s">
        <v>1198</v>
      </c>
      <c r="E393" t="str">
        <f t="shared" ca="1" si="24"/>
        <v>3B33GR90739-20</v>
      </c>
      <c r="I393">
        <f t="shared" ca="1" si="25"/>
        <v>3</v>
      </c>
      <c r="J393" t="s">
        <v>954</v>
      </c>
      <c r="K393">
        <f t="shared" ca="1" si="26"/>
        <v>33</v>
      </c>
      <c r="L393" t="s">
        <v>2659</v>
      </c>
      <c r="M393" t="s">
        <v>1920</v>
      </c>
      <c r="N393" s="1">
        <v>90739</v>
      </c>
      <c r="O393" s="49" t="s">
        <v>2656</v>
      </c>
      <c r="P393">
        <f t="shared" ca="1" si="27"/>
        <v>20</v>
      </c>
    </row>
    <row r="394" spans="1:16">
      <c r="A394" s="1">
        <v>90877</v>
      </c>
      <c r="B394" s="46">
        <v>88759</v>
      </c>
      <c r="C394" s="24">
        <v>839994</v>
      </c>
      <c r="D394" t="s">
        <v>1198</v>
      </c>
      <c r="E394" t="str">
        <f t="shared" ca="1" si="24"/>
        <v>5C76BS90877-18</v>
      </c>
      <c r="I394">
        <f t="shared" ca="1" si="25"/>
        <v>5</v>
      </c>
      <c r="J394" t="s">
        <v>689</v>
      </c>
      <c r="K394">
        <f t="shared" ca="1" si="26"/>
        <v>76</v>
      </c>
      <c r="L394" t="s">
        <v>954</v>
      </c>
      <c r="M394" t="s">
        <v>2350</v>
      </c>
      <c r="N394" s="1">
        <v>90877</v>
      </c>
      <c r="O394" s="49" t="s">
        <v>2656</v>
      </c>
      <c r="P394">
        <f t="shared" ca="1" si="27"/>
        <v>18</v>
      </c>
    </row>
    <row r="395" spans="1:16">
      <c r="A395" s="1">
        <v>90876</v>
      </c>
      <c r="B395" s="46">
        <v>88760</v>
      </c>
      <c r="C395" s="24">
        <v>839994</v>
      </c>
      <c r="D395" t="s">
        <v>1198</v>
      </c>
      <c r="E395" t="str">
        <f t="shared" ca="1" si="24"/>
        <v>7D21BT90876-35</v>
      </c>
      <c r="I395">
        <f t="shared" ca="1" si="25"/>
        <v>7</v>
      </c>
      <c r="J395" t="s">
        <v>2658</v>
      </c>
      <c r="K395">
        <f t="shared" ca="1" si="26"/>
        <v>21</v>
      </c>
      <c r="L395" t="s">
        <v>954</v>
      </c>
      <c r="M395" t="s">
        <v>2657</v>
      </c>
      <c r="N395" s="1">
        <v>90876</v>
      </c>
      <c r="O395" s="49" t="s">
        <v>2656</v>
      </c>
      <c r="P395">
        <f t="shared" ca="1" si="27"/>
        <v>35</v>
      </c>
    </row>
    <row r="396" spans="1:16">
      <c r="A396" s="1">
        <v>90875</v>
      </c>
      <c r="B396" s="46">
        <v>86230</v>
      </c>
      <c r="C396" s="24">
        <v>843309</v>
      </c>
      <c r="D396" t="s">
        <v>1205</v>
      </c>
      <c r="E396" t="str">
        <f t="shared" ca="1" si="24"/>
        <v>6B45GR90875-68</v>
      </c>
      <c r="I396">
        <f t="shared" ca="1" si="25"/>
        <v>6</v>
      </c>
      <c r="J396" t="s">
        <v>954</v>
      </c>
      <c r="K396">
        <f t="shared" ca="1" si="26"/>
        <v>45</v>
      </c>
      <c r="L396" t="s">
        <v>2659</v>
      </c>
      <c r="M396" t="s">
        <v>1920</v>
      </c>
      <c r="N396" s="1">
        <v>90875</v>
      </c>
      <c r="O396" s="49" t="s">
        <v>2656</v>
      </c>
      <c r="P396">
        <f t="shared" ca="1" si="27"/>
        <v>68</v>
      </c>
    </row>
    <row r="397" spans="1:16">
      <c r="A397" s="1">
        <v>90326</v>
      </c>
      <c r="B397" s="46">
        <v>86229</v>
      </c>
      <c r="C397" s="24">
        <v>843309</v>
      </c>
      <c r="D397" t="s">
        <v>1205</v>
      </c>
      <c r="E397" t="str">
        <f t="shared" ca="1" si="24"/>
        <v>8C70GS90326-37</v>
      </c>
      <c r="I397">
        <f t="shared" ca="1" si="25"/>
        <v>8</v>
      </c>
      <c r="J397" t="s">
        <v>689</v>
      </c>
      <c r="K397">
        <f t="shared" ca="1" si="26"/>
        <v>70</v>
      </c>
      <c r="L397" t="s">
        <v>2659</v>
      </c>
      <c r="M397" t="s">
        <v>2350</v>
      </c>
      <c r="N397" s="1">
        <v>90326</v>
      </c>
      <c r="O397" s="49" t="s">
        <v>2656</v>
      </c>
      <c r="P397">
        <f t="shared" ca="1" si="27"/>
        <v>37</v>
      </c>
    </row>
    <row r="398" spans="1:16">
      <c r="A398" s="1">
        <v>90327</v>
      </c>
      <c r="B398" s="46">
        <v>86231</v>
      </c>
      <c r="C398" s="24">
        <v>843309</v>
      </c>
      <c r="D398" t="s">
        <v>1205</v>
      </c>
      <c r="E398" t="str">
        <f t="shared" ca="1" si="24"/>
        <v>4D68FT90327-19</v>
      </c>
      <c r="I398">
        <f t="shared" ca="1" si="25"/>
        <v>4</v>
      </c>
      <c r="J398" t="s">
        <v>2658</v>
      </c>
      <c r="K398">
        <f t="shared" ca="1" si="26"/>
        <v>68</v>
      </c>
      <c r="L398" t="s">
        <v>2661</v>
      </c>
      <c r="M398" t="s">
        <v>2657</v>
      </c>
      <c r="N398" s="1">
        <v>90327</v>
      </c>
      <c r="O398" s="49" t="s">
        <v>2656</v>
      </c>
      <c r="P398">
        <f t="shared" ca="1" si="27"/>
        <v>19</v>
      </c>
    </row>
    <row r="399" spans="1:16">
      <c r="A399" s="1">
        <v>89764</v>
      </c>
      <c r="B399" s="46">
        <v>90448</v>
      </c>
      <c r="C399" s="24">
        <v>845259</v>
      </c>
      <c r="D399" t="s">
        <v>1210</v>
      </c>
      <c r="E399" t="str">
        <f t="shared" ca="1" si="24"/>
        <v>3B18BR89764-51</v>
      </c>
      <c r="I399">
        <f t="shared" ca="1" si="25"/>
        <v>3</v>
      </c>
      <c r="J399" t="s">
        <v>954</v>
      </c>
      <c r="K399">
        <f t="shared" ca="1" si="26"/>
        <v>18</v>
      </c>
      <c r="L399" t="s">
        <v>954</v>
      </c>
      <c r="M399" t="s">
        <v>1920</v>
      </c>
      <c r="N399" s="1">
        <v>89764</v>
      </c>
      <c r="O399" s="49" t="s">
        <v>2656</v>
      </c>
      <c r="P399">
        <f t="shared" ca="1" si="27"/>
        <v>51</v>
      </c>
    </row>
    <row r="400" spans="1:16">
      <c r="A400" s="1">
        <v>89765</v>
      </c>
      <c r="B400" s="46">
        <v>90449</v>
      </c>
      <c r="C400" s="24">
        <v>845259</v>
      </c>
      <c r="D400" t="s">
        <v>1210</v>
      </c>
      <c r="E400" t="str">
        <f t="shared" ca="1" si="24"/>
        <v>8C40HS89765-73</v>
      </c>
      <c r="I400">
        <f t="shared" ca="1" si="25"/>
        <v>8</v>
      </c>
      <c r="J400" t="s">
        <v>689</v>
      </c>
      <c r="K400">
        <f t="shared" ca="1" si="26"/>
        <v>40</v>
      </c>
      <c r="L400" t="s">
        <v>2660</v>
      </c>
      <c r="M400" t="s">
        <v>2350</v>
      </c>
      <c r="N400" s="1">
        <v>89765</v>
      </c>
      <c r="O400" s="49" t="s">
        <v>2656</v>
      </c>
      <c r="P400">
        <f t="shared" ca="1" si="27"/>
        <v>73</v>
      </c>
    </row>
    <row r="401" spans="1:16">
      <c r="A401" s="1">
        <v>88796</v>
      </c>
      <c r="B401" s="46">
        <v>90450</v>
      </c>
      <c r="C401" s="24">
        <v>845259</v>
      </c>
      <c r="D401" t="s">
        <v>1210</v>
      </c>
      <c r="E401" t="str">
        <f t="shared" ca="1" si="24"/>
        <v>1D40IT88796-97</v>
      </c>
      <c r="I401">
        <f t="shared" ca="1" si="25"/>
        <v>1</v>
      </c>
      <c r="J401" t="s">
        <v>2658</v>
      </c>
      <c r="K401">
        <f t="shared" ca="1" si="26"/>
        <v>40</v>
      </c>
      <c r="L401" t="s">
        <v>304</v>
      </c>
      <c r="M401" t="s">
        <v>2657</v>
      </c>
      <c r="N401" s="1">
        <v>88796</v>
      </c>
      <c r="O401" s="49" t="s">
        <v>2656</v>
      </c>
      <c r="P401">
        <f t="shared" ca="1" si="27"/>
        <v>97</v>
      </c>
    </row>
    <row r="402" spans="1:16">
      <c r="A402" s="1">
        <v>88795</v>
      </c>
      <c r="B402" s="46">
        <v>89234</v>
      </c>
      <c r="C402" s="24">
        <v>843064</v>
      </c>
      <c r="D402" t="s">
        <v>1215</v>
      </c>
      <c r="E402" t="str">
        <f t="shared" ca="1" si="24"/>
        <v>4B39CR88795-92</v>
      </c>
      <c r="I402">
        <f t="shared" ca="1" si="25"/>
        <v>4</v>
      </c>
      <c r="J402" t="s">
        <v>954</v>
      </c>
      <c r="K402">
        <f t="shared" ca="1" si="26"/>
        <v>39</v>
      </c>
      <c r="L402" t="s">
        <v>689</v>
      </c>
      <c r="M402" t="s">
        <v>1920</v>
      </c>
      <c r="N402" s="1">
        <v>88795</v>
      </c>
      <c r="O402" s="49" t="s">
        <v>2656</v>
      </c>
      <c r="P402">
        <f t="shared" ca="1" si="27"/>
        <v>92</v>
      </c>
    </row>
    <row r="403" spans="1:16">
      <c r="A403" s="1">
        <v>88797</v>
      </c>
      <c r="B403" s="46">
        <v>89232</v>
      </c>
      <c r="C403" s="24">
        <v>843064</v>
      </c>
      <c r="D403" t="s">
        <v>1215</v>
      </c>
      <c r="E403" t="str">
        <f t="shared" ca="1" si="24"/>
        <v>8C68ES88797-95</v>
      </c>
      <c r="I403">
        <f t="shared" ca="1" si="25"/>
        <v>8</v>
      </c>
      <c r="J403" t="s">
        <v>689</v>
      </c>
      <c r="K403">
        <f t="shared" ca="1" si="26"/>
        <v>68</v>
      </c>
      <c r="L403" t="s">
        <v>804</v>
      </c>
      <c r="M403" t="s">
        <v>2350</v>
      </c>
      <c r="N403" s="1">
        <v>88797</v>
      </c>
      <c r="O403" s="49" t="s">
        <v>2656</v>
      </c>
      <c r="P403">
        <f t="shared" ca="1" si="27"/>
        <v>95</v>
      </c>
    </row>
    <row r="404" spans="1:16">
      <c r="A404" s="1">
        <v>87858</v>
      </c>
      <c r="B404" s="46">
        <v>89233</v>
      </c>
      <c r="C404" s="24">
        <v>843064</v>
      </c>
      <c r="D404" t="s">
        <v>1215</v>
      </c>
      <c r="E404" t="str">
        <f t="shared" ca="1" si="24"/>
        <v>5D12IT87858-32</v>
      </c>
      <c r="I404">
        <f t="shared" ca="1" si="25"/>
        <v>5</v>
      </c>
      <c r="J404" t="s">
        <v>2658</v>
      </c>
      <c r="K404">
        <f t="shared" ca="1" si="26"/>
        <v>12</v>
      </c>
      <c r="L404" t="s">
        <v>304</v>
      </c>
      <c r="M404" t="s">
        <v>2657</v>
      </c>
      <c r="N404" s="1">
        <v>87858</v>
      </c>
      <c r="O404" s="49" t="s">
        <v>2656</v>
      </c>
      <c r="P404">
        <f t="shared" ca="1" si="27"/>
        <v>32</v>
      </c>
    </row>
    <row r="405" spans="1:16">
      <c r="A405" s="1">
        <v>87856</v>
      </c>
      <c r="B405" s="46">
        <v>89912</v>
      </c>
      <c r="C405" s="24">
        <v>843254</v>
      </c>
      <c r="D405" t="s">
        <v>1221</v>
      </c>
      <c r="E405" t="str">
        <f t="shared" ca="1" si="24"/>
        <v>6B71IR87856-43</v>
      </c>
      <c r="I405">
        <f t="shared" ca="1" si="25"/>
        <v>6</v>
      </c>
      <c r="J405" t="s">
        <v>954</v>
      </c>
      <c r="K405">
        <f t="shared" ca="1" si="26"/>
        <v>71</v>
      </c>
      <c r="L405" t="s">
        <v>304</v>
      </c>
      <c r="M405" t="s">
        <v>1920</v>
      </c>
      <c r="N405" s="1">
        <v>87856</v>
      </c>
      <c r="O405" s="49" t="s">
        <v>2656</v>
      </c>
      <c r="P405">
        <f t="shared" ca="1" si="27"/>
        <v>43</v>
      </c>
    </row>
    <row r="406" spans="1:16">
      <c r="A406" s="1">
        <v>87857</v>
      </c>
      <c r="B406" s="46">
        <v>89913</v>
      </c>
      <c r="C406" s="24">
        <v>843254</v>
      </c>
      <c r="D406" t="s">
        <v>1221</v>
      </c>
      <c r="E406" t="str">
        <f t="shared" ca="1" si="24"/>
        <v>9C41HS87857-58</v>
      </c>
      <c r="I406">
        <f t="shared" ca="1" si="25"/>
        <v>9</v>
      </c>
      <c r="J406" t="s">
        <v>689</v>
      </c>
      <c r="K406">
        <f t="shared" ca="1" si="26"/>
        <v>41</v>
      </c>
      <c r="L406" t="s">
        <v>2660</v>
      </c>
      <c r="M406" t="s">
        <v>2350</v>
      </c>
      <c r="N406" s="1">
        <v>87857</v>
      </c>
      <c r="O406" s="49" t="s">
        <v>2656</v>
      </c>
      <c r="P406">
        <f t="shared" ca="1" si="27"/>
        <v>58</v>
      </c>
    </row>
    <row r="407" spans="1:16">
      <c r="A407" s="1">
        <v>83521</v>
      </c>
      <c r="B407" s="46">
        <v>89914</v>
      </c>
      <c r="C407" s="24">
        <v>843254</v>
      </c>
      <c r="D407" t="s">
        <v>1221</v>
      </c>
      <c r="E407" t="str">
        <f t="shared" ca="1" si="24"/>
        <v>4D71CT83521-76</v>
      </c>
      <c r="I407">
        <f t="shared" ca="1" si="25"/>
        <v>4</v>
      </c>
      <c r="J407" t="s">
        <v>2658</v>
      </c>
      <c r="K407">
        <f t="shared" ca="1" si="26"/>
        <v>71</v>
      </c>
      <c r="L407" t="s">
        <v>689</v>
      </c>
      <c r="M407" t="s">
        <v>2657</v>
      </c>
      <c r="N407" s="1">
        <v>83521</v>
      </c>
      <c r="O407" s="49" t="s">
        <v>2656</v>
      </c>
      <c r="P407">
        <f t="shared" ca="1" si="27"/>
        <v>76</v>
      </c>
    </row>
    <row r="408" spans="1:16">
      <c r="A408" s="1">
        <v>83522</v>
      </c>
      <c r="B408" s="46">
        <v>90677</v>
      </c>
      <c r="C408" s="24">
        <v>845559</v>
      </c>
      <c r="D408" t="s">
        <v>1226</v>
      </c>
      <c r="E408" t="str">
        <f t="shared" ca="1" si="24"/>
        <v>4B23BR83522-11</v>
      </c>
      <c r="I408">
        <f t="shared" ca="1" si="25"/>
        <v>4</v>
      </c>
      <c r="J408" t="s">
        <v>954</v>
      </c>
      <c r="K408">
        <f t="shared" ca="1" si="26"/>
        <v>23</v>
      </c>
      <c r="L408" t="s">
        <v>954</v>
      </c>
      <c r="M408" t="s">
        <v>1920</v>
      </c>
      <c r="N408" s="1">
        <v>83522</v>
      </c>
      <c r="O408" s="49" t="s">
        <v>2656</v>
      </c>
      <c r="P408">
        <f t="shared" ca="1" si="27"/>
        <v>11</v>
      </c>
    </row>
    <row r="409" spans="1:16">
      <c r="A409" s="1">
        <v>83523</v>
      </c>
      <c r="B409" s="46">
        <v>90678</v>
      </c>
      <c r="C409" s="24">
        <v>845559</v>
      </c>
      <c r="D409" t="s">
        <v>1226</v>
      </c>
      <c r="E409" t="str">
        <f t="shared" ca="1" si="24"/>
        <v>1C91CS83523-43</v>
      </c>
      <c r="I409">
        <f t="shared" ca="1" si="25"/>
        <v>1</v>
      </c>
      <c r="J409" t="s">
        <v>689</v>
      </c>
      <c r="K409">
        <f t="shared" ca="1" si="26"/>
        <v>91</v>
      </c>
      <c r="L409" t="s">
        <v>689</v>
      </c>
      <c r="M409" t="s">
        <v>2350</v>
      </c>
      <c r="N409" s="1">
        <v>83523</v>
      </c>
      <c r="O409" s="49" t="s">
        <v>2656</v>
      </c>
      <c r="P409">
        <f t="shared" ca="1" si="27"/>
        <v>43</v>
      </c>
    </row>
    <row r="410" spans="1:16">
      <c r="A410" s="1">
        <v>90475</v>
      </c>
      <c r="B410" s="46">
        <v>90679</v>
      </c>
      <c r="C410" s="24">
        <v>845559</v>
      </c>
      <c r="D410" t="s">
        <v>1226</v>
      </c>
      <c r="E410" t="str">
        <f t="shared" ca="1" si="24"/>
        <v>2D87GT90475-92</v>
      </c>
      <c r="I410">
        <f t="shared" ca="1" si="25"/>
        <v>2</v>
      </c>
      <c r="J410" t="s">
        <v>2658</v>
      </c>
      <c r="K410">
        <f t="shared" ca="1" si="26"/>
        <v>87</v>
      </c>
      <c r="L410" t="s">
        <v>2659</v>
      </c>
      <c r="M410" t="s">
        <v>2657</v>
      </c>
      <c r="N410" s="1">
        <v>90475</v>
      </c>
      <c r="O410" s="49" t="s">
        <v>2656</v>
      </c>
      <c r="P410">
        <f t="shared" ca="1" si="27"/>
        <v>92</v>
      </c>
    </row>
    <row r="411" spans="1:16">
      <c r="A411" s="1">
        <v>90474</v>
      </c>
      <c r="B411" s="46">
        <v>77801</v>
      </c>
      <c r="C411" s="24">
        <v>840766</v>
      </c>
      <c r="D411" t="s">
        <v>1230</v>
      </c>
      <c r="E411" t="str">
        <f t="shared" ca="1" si="24"/>
        <v>9B25HR90474-70</v>
      </c>
      <c r="I411">
        <f t="shared" ca="1" si="25"/>
        <v>9</v>
      </c>
      <c r="J411" t="s">
        <v>954</v>
      </c>
      <c r="K411">
        <f t="shared" ca="1" si="26"/>
        <v>25</v>
      </c>
      <c r="L411" t="s">
        <v>2660</v>
      </c>
      <c r="M411" t="s">
        <v>1920</v>
      </c>
      <c r="N411" s="1">
        <v>90474</v>
      </c>
      <c r="O411" s="49" t="s">
        <v>2656</v>
      </c>
      <c r="P411">
        <f t="shared" ca="1" si="27"/>
        <v>70</v>
      </c>
    </row>
    <row r="412" spans="1:16">
      <c r="A412" s="1">
        <v>89452</v>
      </c>
      <c r="B412" s="46">
        <v>77802</v>
      </c>
      <c r="C412" s="24">
        <v>840766</v>
      </c>
      <c r="D412" t="s">
        <v>1230</v>
      </c>
      <c r="E412" t="str">
        <f t="shared" ca="1" si="24"/>
        <v>5C34IS89452-77</v>
      </c>
      <c r="I412">
        <f t="shared" ca="1" si="25"/>
        <v>5</v>
      </c>
      <c r="J412" t="s">
        <v>689</v>
      </c>
      <c r="K412">
        <f t="shared" ca="1" si="26"/>
        <v>34</v>
      </c>
      <c r="L412" t="s">
        <v>304</v>
      </c>
      <c r="M412" t="s">
        <v>2350</v>
      </c>
      <c r="N412" s="1">
        <v>89452</v>
      </c>
      <c r="O412" s="49" t="s">
        <v>2656</v>
      </c>
      <c r="P412">
        <f t="shared" ca="1" si="27"/>
        <v>77</v>
      </c>
    </row>
    <row r="413" spans="1:16">
      <c r="A413" s="1">
        <v>89451</v>
      </c>
      <c r="B413" s="46">
        <v>88903</v>
      </c>
      <c r="C413" s="24">
        <v>843623</v>
      </c>
      <c r="D413" t="s">
        <v>1235</v>
      </c>
      <c r="E413" t="str">
        <f t="shared" ca="1" si="24"/>
        <v>9D70HT89451-16</v>
      </c>
      <c r="I413">
        <f t="shared" ca="1" si="25"/>
        <v>9</v>
      </c>
      <c r="J413" t="s">
        <v>2658</v>
      </c>
      <c r="K413">
        <f t="shared" ca="1" si="26"/>
        <v>70</v>
      </c>
      <c r="L413" t="s">
        <v>2660</v>
      </c>
      <c r="M413" t="s">
        <v>2657</v>
      </c>
      <c r="N413" s="1">
        <v>89451</v>
      </c>
      <c r="O413" s="49" t="s">
        <v>2656</v>
      </c>
      <c r="P413">
        <f t="shared" ca="1" si="27"/>
        <v>16</v>
      </c>
    </row>
    <row r="414" spans="1:16">
      <c r="A414" s="1">
        <v>89453</v>
      </c>
      <c r="B414" s="46">
        <v>88901</v>
      </c>
      <c r="C414" s="24">
        <v>843623</v>
      </c>
      <c r="D414" t="s">
        <v>1235</v>
      </c>
      <c r="E414" t="str">
        <f t="shared" ca="1" si="24"/>
        <v>3B60HR89453-93</v>
      </c>
      <c r="I414">
        <f t="shared" ca="1" si="25"/>
        <v>3</v>
      </c>
      <c r="J414" t="s">
        <v>954</v>
      </c>
      <c r="K414">
        <f t="shared" ca="1" si="26"/>
        <v>60</v>
      </c>
      <c r="L414" t="s">
        <v>2660</v>
      </c>
      <c r="M414" t="s">
        <v>1920</v>
      </c>
      <c r="N414" s="1">
        <v>89453</v>
      </c>
      <c r="O414" s="49" t="s">
        <v>2656</v>
      </c>
      <c r="P414">
        <f t="shared" ca="1" si="27"/>
        <v>93</v>
      </c>
    </row>
    <row r="415" spans="1:16">
      <c r="A415" s="1">
        <v>88814</v>
      </c>
      <c r="B415" s="46">
        <v>88904</v>
      </c>
      <c r="C415" s="24">
        <v>843623</v>
      </c>
      <c r="D415" t="s">
        <v>1235</v>
      </c>
      <c r="E415" t="str">
        <f t="shared" ca="1" si="24"/>
        <v>8C38IS88814-68</v>
      </c>
      <c r="I415">
        <f t="shared" ca="1" si="25"/>
        <v>8</v>
      </c>
      <c r="J415" t="s">
        <v>689</v>
      </c>
      <c r="K415">
        <f t="shared" ca="1" si="26"/>
        <v>38</v>
      </c>
      <c r="L415" t="s">
        <v>304</v>
      </c>
      <c r="M415" t="s">
        <v>2350</v>
      </c>
      <c r="N415" s="1">
        <v>88814</v>
      </c>
      <c r="O415" s="49" t="s">
        <v>2656</v>
      </c>
      <c r="P415">
        <f t="shared" ca="1" si="27"/>
        <v>68</v>
      </c>
    </row>
    <row r="416" spans="1:16">
      <c r="A416" s="1">
        <v>88813</v>
      </c>
      <c r="B416" s="46">
        <v>88902</v>
      </c>
      <c r="C416" s="24">
        <v>843623</v>
      </c>
      <c r="D416" t="s">
        <v>1235</v>
      </c>
      <c r="E416" t="str">
        <f t="shared" ca="1" si="24"/>
        <v>3D23ET88813-13</v>
      </c>
      <c r="I416">
        <f t="shared" ca="1" si="25"/>
        <v>3</v>
      </c>
      <c r="J416" t="s">
        <v>2658</v>
      </c>
      <c r="K416">
        <f t="shared" ca="1" si="26"/>
        <v>23</v>
      </c>
      <c r="L416" t="s">
        <v>804</v>
      </c>
      <c r="M416" t="s">
        <v>2657</v>
      </c>
      <c r="N416" s="1">
        <v>88813</v>
      </c>
      <c r="O416" s="49" t="s">
        <v>2656</v>
      </c>
      <c r="P416">
        <f t="shared" ca="1" si="27"/>
        <v>13</v>
      </c>
    </row>
    <row r="417" spans="1:16">
      <c r="A417" s="1">
        <v>88815</v>
      </c>
      <c r="B417" s="46">
        <v>90187</v>
      </c>
      <c r="C417" s="24">
        <v>845437</v>
      </c>
      <c r="D417" t="s">
        <v>1240</v>
      </c>
      <c r="E417" t="str">
        <f t="shared" ca="1" si="24"/>
        <v>4B54DR88815-18</v>
      </c>
      <c r="I417">
        <f t="shared" ca="1" si="25"/>
        <v>4</v>
      </c>
      <c r="J417" t="s">
        <v>954</v>
      </c>
      <c r="K417">
        <f t="shared" ca="1" si="26"/>
        <v>54</v>
      </c>
      <c r="L417" t="s">
        <v>2658</v>
      </c>
      <c r="M417" t="s">
        <v>1920</v>
      </c>
      <c r="N417" s="1">
        <v>88815</v>
      </c>
      <c r="O417" s="49" t="s">
        <v>2656</v>
      </c>
      <c r="P417">
        <f t="shared" ca="1" si="27"/>
        <v>18</v>
      </c>
    </row>
    <row r="418" spans="1:16">
      <c r="A418" s="1">
        <v>90836</v>
      </c>
      <c r="B418" s="46">
        <v>90188</v>
      </c>
      <c r="C418" s="24">
        <v>845437</v>
      </c>
      <c r="D418" t="s">
        <v>1240</v>
      </c>
      <c r="E418" t="str">
        <f t="shared" ca="1" si="24"/>
        <v>3C64BS90836-21</v>
      </c>
      <c r="I418">
        <f t="shared" ca="1" si="25"/>
        <v>3</v>
      </c>
      <c r="J418" t="s">
        <v>689</v>
      </c>
      <c r="K418">
        <f t="shared" ca="1" si="26"/>
        <v>64</v>
      </c>
      <c r="L418" t="s">
        <v>954</v>
      </c>
      <c r="M418" t="s">
        <v>2350</v>
      </c>
      <c r="N418" s="1">
        <v>90836</v>
      </c>
      <c r="O418" s="49" t="s">
        <v>2656</v>
      </c>
      <c r="P418">
        <f t="shared" ca="1" si="27"/>
        <v>21</v>
      </c>
    </row>
    <row r="419" spans="1:16">
      <c r="A419" s="1">
        <v>90835</v>
      </c>
      <c r="B419" s="46">
        <v>86068</v>
      </c>
      <c r="C419" s="24">
        <v>844004</v>
      </c>
      <c r="D419" t="s">
        <v>1245</v>
      </c>
      <c r="E419" t="str">
        <f t="shared" ca="1" si="24"/>
        <v>8D32CT90835-52</v>
      </c>
      <c r="I419">
        <f t="shared" ca="1" si="25"/>
        <v>8</v>
      </c>
      <c r="J419" t="s">
        <v>2658</v>
      </c>
      <c r="K419">
        <f t="shared" ca="1" si="26"/>
        <v>32</v>
      </c>
      <c r="L419" t="s">
        <v>689</v>
      </c>
      <c r="M419" t="s">
        <v>2657</v>
      </c>
      <c r="N419" s="1">
        <v>90835</v>
      </c>
      <c r="O419" s="49" t="s">
        <v>2656</v>
      </c>
      <c r="P419">
        <f t="shared" ca="1" si="27"/>
        <v>52</v>
      </c>
    </row>
    <row r="420" spans="1:16">
      <c r="A420" s="1">
        <v>90834</v>
      </c>
      <c r="B420" s="46">
        <v>86067</v>
      </c>
      <c r="C420" s="24">
        <v>844004</v>
      </c>
      <c r="D420" t="s">
        <v>1245</v>
      </c>
      <c r="E420" t="str">
        <f t="shared" ca="1" si="24"/>
        <v>4B46ER90834-96</v>
      </c>
      <c r="I420">
        <f t="shared" ca="1" si="25"/>
        <v>4</v>
      </c>
      <c r="J420" t="s">
        <v>954</v>
      </c>
      <c r="K420">
        <f t="shared" ca="1" si="26"/>
        <v>46</v>
      </c>
      <c r="L420" t="s">
        <v>804</v>
      </c>
      <c r="M420" t="s">
        <v>1920</v>
      </c>
      <c r="N420" s="1">
        <v>90834</v>
      </c>
      <c r="O420" s="49" t="s">
        <v>2656</v>
      </c>
      <c r="P420">
        <f t="shared" ca="1" si="27"/>
        <v>96</v>
      </c>
    </row>
    <row r="421" spans="1:16">
      <c r="A421" s="1">
        <v>87402</v>
      </c>
      <c r="B421" s="46">
        <v>86069</v>
      </c>
      <c r="C421" s="24">
        <v>844004</v>
      </c>
      <c r="D421" t="s">
        <v>1245</v>
      </c>
      <c r="E421" t="str">
        <f t="shared" ca="1" si="24"/>
        <v>7C61FS87402-82</v>
      </c>
      <c r="I421">
        <f t="shared" ca="1" si="25"/>
        <v>7</v>
      </c>
      <c r="J421" t="s">
        <v>689</v>
      </c>
      <c r="K421">
        <f t="shared" ca="1" si="26"/>
        <v>61</v>
      </c>
      <c r="L421" t="s">
        <v>2661</v>
      </c>
      <c r="M421" t="s">
        <v>2350</v>
      </c>
      <c r="N421" s="1">
        <v>87402</v>
      </c>
      <c r="O421" s="49" t="s">
        <v>2656</v>
      </c>
      <c r="P421">
        <f t="shared" ca="1" si="27"/>
        <v>82</v>
      </c>
    </row>
    <row r="422" spans="1:16">
      <c r="A422" s="1">
        <v>87404</v>
      </c>
      <c r="B422" s="46">
        <v>90889</v>
      </c>
      <c r="C422" s="24">
        <v>845943</v>
      </c>
      <c r="D422" t="s">
        <v>1254</v>
      </c>
      <c r="E422" t="str">
        <f t="shared" ca="1" si="24"/>
        <v>5D86ET87404-90</v>
      </c>
      <c r="I422">
        <f t="shared" ca="1" si="25"/>
        <v>5</v>
      </c>
      <c r="J422" t="s">
        <v>2658</v>
      </c>
      <c r="K422">
        <f t="shared" ca="1" si="26"/>
        <v>86</v>
      </c>
      <c r="L422" t="s">
        <v>804</v>
      </c>
      <c r="M422" t="s">
        <v>2657</v>
      </c>
      <c r="N422" s="1">
        <v>87404</v>
      </c>
      <c r="O422" s="49" t="s">
        <v>2656</v>
      </c>
      <c r="P422">
        <f t="shared" ca="1" si="27"/>
        <v>90</v>
      </c>
    </row>
    <row r="423" spans="1:16">
      <c r="A423" s="1">
        <v>87403</v>
      </c>
      <c r="B423" s="46">
        <v>90888</v>
      </c>
      <c r="C423" s="24">
        <v>845943</v>
      </c>
      <c r="D423" t="s">
        <v>1254</v>
      </c>
      <c r="E423" t="str">
        <f t="shared" ca="1" si="24"/>
        <v>1B67ER87403-97</v>
      </c>
      <c r="I423">
        <f t="shared" ca="1" si="25"/>
        <v>1</v>
      </c>
      <c r="J423" t="s">
        <v>954</v>
      </c>
      <c r="K423">
        <f t="shared" ca="1" si="26"/>
        <v>67</v>
      </c>
      <c r="L423" t="s">
        <v>804</v>
      </c>
      <c r="M423" t="s">
        <v>1920</v>
      </c>
      <c r="N423" s="1">
        <v>87403</v>
      </c>
      <c r="O423" s="49" t="s">
        <v>2656</v>
      </c>
      <c r="P423">
        <f t="shared" ca="1" si="27"/>
        <v>97</v>
      </c>
    </row>
    <row r="424" spans="1:16">
      <c r="A424" s="1">
        <v>83133</v>
      </c>
      <c r="B424" s="46">
        <v>90890</v>
      </c>
      <c r="C424" s="24">
        <v>845943</v>
      </c>
      <c r="D424" t="s">
        <v>1254</v>
      </c>
      <c r="E424" t="str">
        <f t="shared" ca="1" si="24"/>
        <v>2C64IS83133-58</v>
      </c>
      <c r="I424">
        <f t="shared" ca="1" si="25"/>
        <v>2</v>
      </c>
      <c r="J424" t="s">
        <v>689</v>
      </c>
      <c r="K424">
        <f t="shared" ca="1" si="26"/>
        <v>64</v>
      </c>
      <c r="L424" t="s">
        <v>304</v>
      </c>
      <c r="M424" t="s">
        <v>2350</v>
      </c>
      <c r="N424" s="1">
        <v>83133</v>
      </c>
      <c r="O424" s="49" t="s">
        <v>2656</v>
      </c>
      <c r="P424">
        <f t="shared" ca="1" si="27"/>
        <v>58</v>
      </c>
    </row>
    <row r="425" spans="1:16">
      <c r="A425" s="1">
        <v>83134</v>
      </c>
      <c r="B425" s="46">
        <v>90657</v>
      </c>
      <c r="C425" s="24">
        <v>845923</v>
      </c>
      <c r="D425" t="s">
        <v>1258</v>
      </c>
      <c r="E425" t="str">
        <f t="shared" ca="1" si="24"/>
        <v>1D72BT83134-12</v>
      </c>
      <c r="I425">
        <f t="shared" ca="1" si="25"/>
        <v>1</v>
      </c>
      <c r="J425" t="s">
        <v>2658</v>
      </c>
      <c r="K425">
        <f t="shared" ca="1" si="26"/>
        <v>72</v>
      </c>
      <c r="L425" t="s">
        <v>954</v>
      </c>
      <c r="M425" t="s">
        <v>2657</v>
      </c>
      <c r="N425" s="1">
        <v>83134</v>
      </c>
      <c r="O425" s="49" t="s">
        <v>2656</v>
      </c>
      <c r="P425">
        <f t="shared" ca="1" si="27"/>
        <v>12</v>
      </c>
    </row>
    <row r="426" spans="1:16">
      <c r="A426" s="1">
        <v>87416</v>
      </c>
      <c r="B426" s="46">
        <v>90656</v>
      </c>
      <c r="C426" s="24">
        <v>845923</v>
      </c>
      <c r="D426" t="s">
        <v>1258</v>
      </c>
      <c r="E426" t="str">
        <f t="shared" ca="1" si="24"/>
        <v>9B95ER87416-70</v>
      </c>
      <c r="I426">
        <f t="shared" ca="1" si="25"/>
        <v>9</v>
      </c>
      <c r="J426" t="s">
        <v>954</v>
      </c>
      <c r="K426">
        <f t="shared" ca="1" si="26"/>
        <v>95</v>
      </c>
      <c r="L426" t="s">
        <v>804</v>
      </c>
      <c r="M426" t="s">
        <v>1920</v>
      </c>
      <c r="N426" s="1">
        <v>87416</v>
      </c>
      <c r="O426" s="49" t="s">
        <v>2656</v>
      </c>
      <c r="P426">
        <f t="shared" ca="1" si="27"/>
        <v>70</v>
      </c>
    </row>
    <row r="427" spans="1:16">
      <c r="A427" s="1">
        <v>87414</v>
      </c>
      <c r="B427" s="46">
        <v>90658</v>
      </c>
      <c r="C427" s="24">
        <v>845923</v>
      </c>
      <c r="D427" t="s">
        <v>1258</v>
      </c>
      <c r="E427" t="str">
        <f t="shared" ca="1" si="24"/>
        <v>3C47DS87414-34</v>
      </c>
      <c r="I427">
        <f t="shared" ca="1" si="25"/>
        <v>3</v>
      </c>
      <c r="J427" t="s">
        <v>689</v>
      </c>
      <c r="K427">
        <f t="shared" ca="1" si="26"/>
        <v>47</v>
      </c>
      <c r="L427" t="s">
        <v>2658</v>
      </c>
      <c r="M427" t="s">
        <v>2350</v>
      </c>
      <c r="N427" s="1">
        <v>87414</v>
      </c>
      <c r="O427" s="49" t="s">
        <v>2656</v>
      </c>
      <c r="P427">
        <f t="shared" ca="1" si="27"/>
        <v>34</v>
      </c>
    </row>
    <row r="428" spans="1:16">
      <c r="A428" s="1">
        <v>87415</v>
      </c>
      <c r="B428" s="46">
        <v>90691</v>
      </c>
      <c r="C428" s="24">
        <v>845931</v>
      </c>
      <c r="D428" t="s">
        <v>1262</v>
      </c>
      <c r="E428" t="str">
        <f t="shared" ca="1" si="24"/>
        <v>9D57DT87415-67</v>
      </c>
      <c r="I428">
        <f t="shared" ca="1" si="25"/>
        <v>9</v>
      </c>
      <c r="J428" t="s">
        <v>2658</v>
      </c>
      <c r="K428">
        <f t="shared" ca="1" si="26"/>
        <v>57</v>
      </c>
      <c r="L428" t="s">
        <v>2658</v>
      </c>
      <c r="M428" t="s">
        <v>2657</v>
      </c>
      <c r="N428" s="1">
        <v>87415</v>
      </c>
      <c r="O428" s="49" t="s">
        <v>2656</v>
      </c>
      <c r="P428">
        <f t="shared" ca="1" si="27"/>
        <v>67</v>
      </c>
    </row>
    <row r="429" spans="1:16">
      <c r="A429" s="1">
        <v>76987</v>
      </c>
      <c r="B429" s="46">
        <v>90689</v>
      </c>
      <c r="C429" s="24">
        <v>845931</v>
      </c>
      <c r="D429" t="s">
        <v>1262</v>
      </c>
      <c r="E429" t="str">
        <f t="shared" ca="1" si="24"/>
        <v>8B11CR76987-83</v>
      </c>
      <c r="I429">
        <f t="shared" ca="1" si="25"/>
        <v>8</v>
      </c>
      <c r="J429" t="s">
        <v>954</v>
      </c>
      <c r="K429">
        <f t="shared" ca="1" si="26"/>
        <v>11</v>
      </c>
      <c r="L429" t="s">
        <v>689</v>
      </c>
      <c r="M429" t="s">
        <v>1920</v>
      </c>
      <c r="N429" s="1">
        <v>76987</v>
      </c>
      <c r="O429" s="49" t="s">
        <v>2656</v>
      </c>
      <c r="P429">
        <f t="shared" ca="1" si="27"/>
        <v>83</v>
      </c>
    </row>
    <row r="430" spans="1:16">
      <c r="A430" s="1">
        <v>76989</v>
      </c>
      <c r="B430" s="46">
        <v>90690</v>
      </c>
      <c r="C430" s="24">
        <v>845931</v>
      </c>
      <c r="D430" t="s">
        <v>1262</v>
      </c>
      <c r="E430" t="str">
        <f t="shared" ca="1" si="24"/>
        <v>3C60HS76989-41</v>
      </c>
      <c r="I430">
        <f t="shared" ca="1" si="25"/>
        <v>3</v>
      </c>
      <c r="J430" t="s">
        <v>689</v>
      </c>
      <c r="K430">
        <f t="shared" ca="1" si="26"/>
        <v>60</v>
      </c>
      <c r="L430" t="s">
        <v>2660</v>
      </c>
      <c r="M430" t="s">
        <v>2350</v>
      </c>
      <c r="N430" s="1">
        <v>76989</v>
      </c>
      <c r="O430" s="49" t="s">
        <v>2656</v>
      </c>
      <c r="P430">
        <f t="shared" ca="1" si="27"/>
        <v>41</v>
      </c>
    </row>
    <row r="431" spans="1:16">
      <c r="A431" s="1">
        <v>76988</v>
      </c>
      <c r="B431" s="46">
        <v>90738</v>
      </c>
      <c r="C431" s="24">
        <v>845935</v>
      </c>
      <c r="D431" t="s">
        <v>1266</v>
      </c>
      <c r="E431" t="str">
        <f t="shared" ca="1" si="24"/>
        <v>8D41AT76988-14</v>
      </c>
      <c r="I431">
        <f t="shared" ca="1" si="25"/>
        <v>8</v>
      </c>
      <c r="J431" t="s">
        <v>2658</v>
      </c>
      <c r="K431">
        <f t="shared" ca="1" si="26"/>
        <v>41</v>
      </c>
      <c r="L431" t="s">
        <v>425</v>
      </c>
      <c r="M431" t="s">
        <v>2657</v>
      </c>
      <c r="N431" s="1">
        <v>76988</v>
      </c>
      <c r="O431" s="49" t="s">
        <v>2656</v>
      </c>
      <c r="P431">
        <f t="shared" ca="1" si="27"/>
        <v>14</v>
      </c>
    </row>
    <row r="432" spans="1:16">
      <c r="A432" s="1">
        <v>87155</v>
      </c>
      <c r="B432" s="46">
        <v>90740</v>
      </c>
      <c r="C432" s="24">
        <v>845935</v>
      </c>
      <c r="D432" t="s">
        <v>1266</v>
      </c>
      <c r="E432" t="str">
        <f t="shared" ca="1" si="24"/>
        <v>3B11HR87155-20</v>
      </c>
      <c r="I432">
        <f t="shared" ca="1" si="25"/>
        <v>3</v>
      </c>
      <c r="J432" t="s">
        <v>954</v>
      </c>
      <c r="K432">
        <f t="shared" ca="1" si="26"/>
        <v>11</v>
      </c>
      <c r="L432" t="s">
        <v>2660</v>
      </c>
      <c r="M432" t="s">
        <v>1920</v>
      </c>
      <c r="N432" s="1">
        <v>87155</v>
      </c>
      <c r="O432" s="49" t="s">
        <v>2656</v>
      </c>
      <c r="P432">
        <f t="shared" ca="1" si="27"/>
        <v>20</v>
      </c>
    </row>
    <row r="433" spans="1:16">
      <c r="A433" s="1">
        <v>87154</v>
      </c>
      <c r="B433" s="46">
        <v>90739</v>
      </c>
      <c r="C433" s="24">
        <v>845935</v>
      </c>
      <c r="D433" t="s">
        <v>1266</v>
      </c>
      <c r="E433" t="str">
        <f t="shared" ca="1" si="24"/>
        <v>6C15AS87154-45</v>
      </c>
      <c r="I433">
        <f t="shared" ca="1" si="25"/>
        <v>6</v>
      </c>
      <c r="J433" t="s">
        <v>689</v>
      </c>
      <c r="K433">
        <f t="shared" ca="1" si="26"/>
        <v>15</v>
      </c>
      <c r="L433" t="s">
        <v>425</v>
      </c>
      <c r="M433" t="s">
        <v>2350</v>
      </c>
      <c r="N433" s="1">
        <v>87154</v>
      </c>
      <c r="O433" s="49" t="s">
        <v>2656</v>
      </c>
      <c r="P433">
        <f t="shared" ca="1" si="27"/>
        <v>45</v>
      </c>
    </row>
    <row r="434" spans="1:16">
      <c r="A434" s="1">
        <v>86530</v>
      </c>
      <c r="B434" s="46">
        <v>90877</v>
      </c>
      <c r="C434" s="24">
        <v>845938</v>
      </c>
      <c r="D434" t="s">
        <v>1270</v>
      </c>
      <c r="E434" t="str">
        <f t="shared" ca="1" si="24"/>
        <v>8D83FT86530-80</v>
      </c>
      <c r="I434">
        <f t="shared" ca="1" si="25"/>
        <v>8</v>
      </c>
      <c r="J434" t="s">
        <v>2658</v>
      </c>
      <c r="K434">
        <f t="shared" ca="1" si="26"/>
        <v>83</v>
      </c>
      <c r="L434" t="s">
        <v>2661</v>
      </c>
      <c r="M434" t="s">
        <v>2657</v>
      </c>
      <c r="N434" s="1">
        <v>86530</v>
      </c>
      <c r="O434" s="49" t="s">
        <v>2656</v>
      </c>
      <c r="P434">
        <f t="shared" ca="1" si="27"/>
        <v>80</v>
      </c>
    </row>
    <row r="435" spans="1:16">
      <c r="A435" s="1">
        <v>86531</v>
      </c>
      <c r="B435" s="46">
        <v>90876</v>
      </c>
      <c r="C435" s="24">
        <v>845938</v>
      </c>
      <c r="D435" t="s">
        <v>1270</v>
      </c>
      <c r="E435" t="str">
        <f t="shared" ca="1" si="24"/>
        <v>6B33FR86531-77</v>
      </c>
      <c r="I435">
        <f t="shared" ca="1" si="25"/>
        <v>6</v>
      </c>
      <c r="J435" t="s">
        <v>954</v>
      </c>
      <c r="K435">
        <f t="shared" ca="1" si="26"/>
        <v>33</v>
      </c>
      <c r="L435" t="s">
        <v>2661</v>
      </c>
      <c r="M435" t="s">
        <v>1920</v>
      </c>
      <c r="N435" s="1">
        <v>86531</v>
      </c>
      <c r="O435" s="49" t="s">
        <v>2656</v>
      </c>
      <c r="P435">
        <f t="shared" ca="1" si="27"/>
        <v>77</v>
      </c>
    </row>
    <row r="436" spans="1:16">
      <c r="A436" s="1">
        <v>86532</v>
      </c>
      <c r="B436" s="46">
        <v>90875</v>
      </c>
      <c r="C436" s="24">
        <v>845938</v>
      </c>
      <c r="D436" t="s">
        <v>1270</v>
      </c>
      <c r="E436" t="str">
        <f t="shared" ca="1" si="24"/>
        <v>6C30DS86532-38</v>
      </c>
      <c r="I436">
        <f t="shared" ca="1" si="25"/>
        <v>6</v>
      </c>
      <c r="J436" t="s">
        <v>689</v>
      </c>
      <c r="K436">
        <f t="shared" ca="1" si="26"/>
        <v>30</v>
      </c>
      <c r="L436" t="s">
        <v>2658</v>
      </c>
      <c r="M436" t="s">
        <v>2350</v>
      </c>
      <c r="N436" s="1">
        <v>86532</v>
      </c>
      <c r="O436" s="49" t="s">
        <v>2656</v>
      </c>
      <c r="P436">
        <f t="shared" ca="1" si="27"/>
        <v>38</v>
      </c>
    </row>
    <row r="437" spans="1:16">
      <c r="A437" s="1">
        <v>90255</v>
      </c>
      <c r="B437" s="46">
        <v>90326</v>
      </c>
      <c r="C437" s="24">
        <v>844844</v>
      </c>
      <c r="D437" t="s">
        <v>1274</v>
      </c>
      <c r="E437" t="str">
        <f t="shared" ca="1" si="24"/>
        <v>3D57GT90255-38</v>
      </c>
      <c r="I437">
        <f t="shared" ca="1" si="25"/>
        <v>3</v>
      </c>
      <c r="J437" t="s">
        <v>2658</v>
      </c>
      <c r="K437">
        <f t="shared" ca="1" si="26"/>
        <v>57</v>
      </c>
      <c r="L437" t="s">
        <v>2659</v>
      </c>
      <c r="M437" t="s">
        <v>2657</v>
      </c>
      <c r="N437" s="1">
        <v>90255</v>
      </c>
      <c r="O437" s="49" t="s">
        <v>2656</v>
      </c>
      <c r="P437">
        <f t="shared" ca="1" si="27"/>
        <v>38</v>
      </c>
    </row>
    <row r="438" spans="1:16">
      <c r="A438" s="1">
        <v>90254</v>
      </c>
      <c r="B438" s="46">
        <v>90327</v>
      </c>
      <c r="C438" s="24">
        <v>844844</v>
      </c>
      <c r="D438" t="s">
        <v>1274</v>
      </c>
      <c r="E438" t="str">
        <f t="shared" ca="1" si="24"/>
        <v>1B95ER90254-35</v>
      </c>
      <c r="I438">
        <f t="shared" ca="1" si="25"/>
        <v>1</v>
      </c>
      <c r="J438" t="s">
        <v>954</v>
      </c>
      <c r="K438">
        <f t="shared" ca="1" si="26"/>
        <v>95</v>
      </c>
      <c r="L438" t="s">
        <v>804</v>
      </c>
      <c r="M438" t="s">
        <v>1920</v>
      </c>
      <c r="N438" s="1">
        <v>90254</v>
      </c>
      <c r="O438" s="49" t="s">
        <v>2656</v>
      </c>
      <c r="P438">
        <f t="shared" ca="1" si="27"/>
        <v>35</v>
      </c>
    </row>
    <row r="439" spans="1:16">
      <c r="A439" s="1">
        <v>90253</v>
      </c>
      <c r="B439" s="46">
        <v>89764</v>
      </c>
      <c r="C439" s="24">
        <v>845613</v>
      </c>
      <c r="D439" t="s">
        <v>1278</v>
      </c>
      <c r="E439" t="str">
        <f t="shared" ca="1" si="24"/>
        <v>3C93HS90253-11</v>
      </c>
      <c r="I439">
        <f t="shared" ca="1" si="25"/>
        <v>3</v>
      </c>
      <c r="J439" t="s">
        <v>689</v>
      </c>
      <c r="K439">
        <f t="shared" ca="1" si="26"/>
        <v>93</v>
      </c>
      <c r="L439" t="s">
        <v>2660</v>
      </c>
      <c r="M439" t="s">
        <v>2350</v>
      </c>
      <c r="N439" s="1">
        <v>90253</v>
      </c>
      <c r="O439" s="49" t="s">
        <v>2656</v>
      </c>
      <c r="P439">
        <f t="shared" ca="1" si="27"/>
        <v>11</v>
      </c>
    </row>
    <row r="440" spans="1:16">
      <c r="A440" s="1">
        <v>84432</v>
      </c>
      <c r="B440" s="46">
        <v>89765</v>
      </c>
      <c r="C440" s="24">
        <v>845613</v>
      </c>
      <c r="D440" t="s">
        <v>1278</v>
      </c>
      <c r="E440" t="str">
        <f t="shared" ca="1" si="24"/>
        <v>9D79AT84432-81</v>
      </c>
      <c r="I440">
        <f t="shared" ca="1" si="25"/>
        <v>9</v>
      </c>
      <c r="J440" t="s">
        <v>2658</v>
      </c>
      <c r="K440">
        <f t="shared" ca="1" si="26"/>
        <v>79</v>
      </c>
      <c r="L440" t="s">
        <v>425</v>
      </c>
      <c r="M440" t="s">
        <v>2657</v>
      </c>
      <c r="N440" s="1">
        <v>84432</v>
      </c>
      <c r="O440" s="49" t="s">
        <v>2656</v>
      </c>
      <c r="P440">
        <f t="shared" ca="1" si="27"/>
        <v>81</v>
      </c>
    </row>
    <row r="441" spans="1:16">
      <c r="A441" s="1">
        <v>84434</v>
      </c>
      <c r="B441" s="46">
        <v>88796</v>
      </c>
      <c r="C441" s="24">
        <v>841785</v>
      </c>
      <c r="D441" t="s">
        <v>1284</v>
      </c>
      <c r="E441" t="str">
        <f t="shared" ca="1" si="24"/>
        <v>3B77DR84434-32</v>
      </c>
      <c r="I441">
        <f t="shared" ca="1" si="25"/>
        <v>3</v>
      </c>
      <c r="J441" t="s">
        <v>954</v>
      </c>
      <c r="K441">
        <f t="shared" ca="1" si="26"/>
        <v>77</v>
      </c>
      <c r="L441" t="s">
        <v>2658</v>
      </c>
      <c r="M441" t="s">
        <v>1920</v>
      </c>
      <c r="N441" s="1">
        <v>84434</v>
      </c>
      <c r="O441" s="49" t="s">
        <v>2656</v>
      </c>
      <c r="P441">
        <f t="shared" ca="1" si="27"/>
        <v>32</v>
      </c>
    </row>
    <row r="442" spans="1:16">
      <c r="A442" s="1">
        <v>84433</v>
      </c>
      <c r="B442" s="46">
        <v>88795</v>
      </c>
      <c r="C442" s="24">
        <v>841785</v>
      </c>
      <c r="D442" t="s">
        <v>1284</v>
      </c>
      <c r="E442" t="str">
        <f t="shared" ca="1" si="24"/>
        <v>5C62BS84433-57</v>
      </c>
      <c r="I442">
        <f t="shared" ca="1" si="25"/>
        <v>5</v>
      </c>
      <c r="J442" t="s">
        <v>689</v>
      </c>
      <c r="K442">
        <f t="shared" ca="1" si="26"/>
        <v>62</v>
      </c>
      <c r="L442" t="s">
        <v>954</v>
      </c>
      <c r="M442" t="s">
        <v>2350</v>
      </c>
      <c r="N442" s="1">
        <v>84433</v>
      </c>
      <c r="O442" s="49" t="s">
        <v>2656</v>
      </c>
      <c r="P442">
        <f t="shared" ca="1" si="27"/>
        <v>57</v>
      </c>
    </row>
    <row r="443" spans="1:16">
      <c r="A443" s="1">
        <v>89002</v>
      </c>
      <c r="B443" s="46">
        <v>88797</v>
      </c>
      <c r="C443" s="24">
        <v>841785</v>
      </c>
      <c r="D443" t="s">
        <v>1284</v>
      </c>
      <c r="E443" t="str">
        <f t="shared" ca="1" si="24"/>
        <v>5D14GT89002-96</v>
      </c>
      <c r="I443">
        <f t="shared" ca="1" si="25"/>
        <v>5</v>
      </c>
      <c r="J443" t="s">
        <v>2658</v>
      </c>
      <c r="K443">
        <f t="shared" ca="1" si="26"/>
        <v>14</v>
      </c>
      <c r="L443" t="s">
        <v>2659</v>
      </c>
      <c r="M443" t="s">
        <v>2657</v>
      </c>
      <c r="N443" s="1">
        <v>89002</v>
      </c>
      <c r="O443" s="49" t="s">
        <v>2656</v>
      </c>
      <c r="P443">
        <f t="shared" ca="1" si="27"/>
        <v>96</v>
      </c>
    </row>
    <row r="444" spans="1:16">
      <c r="A444" s="1">
        <v>89003</v>
      </c>
      <c r="B444" s="46">
        <v>87858</v>
      </c>
      <c r="C444" s="24">
        <v>842709</v>
      </c>
      <c r="D444" t="s">
        <v>1288</v>
      </c>
      <c r="E444" t="str">
        <f t="shared" ca="1" si="24"/>
        <v>2B84FR89003-31</v>
      </c>
      <c r="I444">
        <f t="shared" ca="1" si="25"/>
        <v>2</v>
      </c>
      <c r="J444" t="s">
        <v>954</v>
      </c>
      <c r="K444">
        <f t="shared" ca="1" si="26"/>
        <v>84</v>
      </c>
      <c r="L444" t="s">
        <v>2661</v>
      </c>
      <c r="M444" t="s">
        <v>1920</v>
      </c>
      <c r="N444" s="1">
        <v>89003</v>
      </c>
      <c r="O444" s="49" t="s">
        <v>2656</v>
      </c>
      <c r="P444">
        <f t="shared" ca="1" si="27"/>
        <v>31</v>
      </c>
    </row>
    <row r="445" spans="1:16">
      <c r="A445" s="1">
        <v>89005</v>
      </c>
      <c r="B445" s="46">
        <v>87856</v>
      </c>
      <c r="C445" s="24">
        <v>842709</v>
      </c>
      <c r="D445" t="s">
        <v>1288</v>
      </c>
      <c r="E445" t="str">
        <f t="shared" ca="1" si="24"/>
        <v>9C49CS89005-12</v>
      </c>
      <c r="I445">
        <f t="shared" ca="1" si="25"/>
        <v>9</v>
      </c>
      <c r="J445" t="s">
        <v>689</v>
      </c>
      <c r="K445">
        <f t="shared" ca="1" si="26"/>
        <v>49</v>
      </c>
      <c r="L445" t="s">
        <v>689</v>
      </c>
      <c r="M445" t="s">
        <v>2350</v>
      </c>
      <c r="N445" s="1">
        <v>89005</v>
      </c>
      <c r="O445" s="49" t="s">
        <v>2656</v>
      </c>
      <c r="P445">
        <f t="shared" ca="1" si="27"/>
        <v>12</v>
      </c>
    </row>
    <row r="446" spans="1:16">
      <c r="A446" s="1">
        <v>89004</v>
      </c>
      <c r="B446" s="46">
        <v>87857</v>
      </c>
      <c r="C446" s="24">
        <v>842709</v>
      </c>
      <c r="D446" t="s">
        <v>1288</v>
      </c>
      <c r="E446" t="str">
        <f t="shared" ca="1" si="24"/>
        <v>5D93FT89004-41</v>
      </c>
      <c r="I446">
        <f t="shared" ca="1" si="25"/>
        <v>5</v>
      </c>
      <c r="J446" t="s">
        <v>2658</v>
      </c>
      <c r="K446">
        <f t="shared" ca="1" si="26"/>
        <v>93</v>
      </c>
      <c r="L446" t="s">
        <v>2661</v>
      </c>
      <c r="M446" t="s">
        <v>2657</v>
      </c>
      <c r="N446" s="1">
        <v>89004</v>
      </c>
      <c r="O446" s="49" t="s">
        <v>2656</v>
      </c>
      <c r="P446">
        <f t="shared" ca="1" si="27"/>
        <v>41</v>
      </c>
    </row>
    <row r="447" spans="1:16">
      <c r="A447" s="1">
        <v>88279</v>
      </c>
      <c r="B447" s="46">
        <v>83521</v>
      </c>
      <c r="C447" s="24">
        <v>842059</v>
      </c>
      <c r="D447" t="s">
        <v>1296</v>
      </c>
      <c r="E447" t="str">
        <f t="shared" ca="1" si="24"/>
        <v>9B62BR88279-86</v>
      </c>
      <c r="I447">
        <f t="shared" ca="1" si="25"/>
        <v>9</v>
      </c>
      <c r="J447" t="s">
        <v>954</v>
      </c>
      <c r="K447">
        <f t="shared" ca="1" si="26"/>
        <v>62</v>
      </c>
      <c r="L447" t="s">
        <v>954</v>
      </c>
      <c r="M447" t="s">
        <v>1920</v>
      </c>
      <c r="N447" s="1">
        <v>88279</v>
      </c>
      <c r="O447" s="49" t="s">
        <v>2656</v>
      </c>
      <c r="P447">
        <f t="shared" ca="1" si="27"/>
        <v>86</v>
      </c>
    </row>
    <row r="448" spans="1:16">
      <c r="A448" s="1">
        <v>88278</v>
      </c>
      <c r="B448" s="46">
        <v>83522</v>
      </c>
      <c r="C448" s="24">
        <v>842059</v>
      </c>
      <c r="D448" t="s">
        <v>1296</v>
      </c>
      <c r="E448" t="str">
        <f t="shared" ca="1" si="24"/>
        <v>7C60IS88278-86</v>
      </c>
      <c r="I448">
        <f t="shared" ca="1" si="25"/>
        <v>7</v>
      </c>
      <c r="J448" t="s">
        <v>689</v>
      </c>
      <c r="K448">
        <f t="shared" ca="1" si="26"/>
        <v>60</v>
      </c>
      <c r="L448" t="s">
        <v>304</v>
      </c>
      <c r="M448" t="s">
        <v>2350</v>
      </c>
      <c r="N448" s="1">
        <v>88278</v>
      </c>
      <c r="O448" s="49" t="s">
        <v>2656</v>
      </c>
      <c r="P448">
        <f t="shared" ca="1" si="27"/>
        <v>86</v>
      </c>
    </row>
    <row r="449" spans="1:16">
      <c r="A449" s="1">
        <v>88280</v>
      </c>
      <c r="B449" s="46">
        <v>83523</v>
      </c>
      <c r="C449" s="24">
        <v>842059</v>
      </c>
      <c r="D449" t="s">
        <v>1296</v>
      </c>
      <c r="E449" t="str">
        <f t="shared" ca="1" si="24"/>
        <v>3D97AT88280-46</v>
      </c>
      <c r="I449">
        <f t="shared" ca="1" si="25"/>
        <v>3</v>
      </c>
      <c r="J449" t="s">
        <v>2658</v>
      </c>
      <c r="K449">
        <f t="shared" ca="1" si="26"/>
        <v>97</v>
      </c>
      <c r="L449" t="s">
        <v>425</v>
      </c>
      <c r="M449" t="s">
        <v>2657</v>
      </c>
      <c r="N449" s="1">
        <v>88280</v>
      </c>
      <c r="O449" s="49" t="s">
        <v>2656</v>
      </c>
      <c r="P449">
        <f t="shared" ca="1" si="27"/>
        <v>46</v>
      </c>
    </row>
    <row r="450" spans="1:16">
      <c r="A450" s="1">
        <v>84098</v>
      </c>
      <c r="B450" s="46">
        <v>90475</v>
      </c>
      <c r="C450" s="24">
        <v>845774</v>
      </c>
      <c r="D450" t="s">
        <v>1300</v>
      </c>
      <c r="E450" t="str">
        <f t="shared" ca="1" si="24"/>
        <v>9B18CR84098-25</v>
      </c>
      <c r="I450">
        <f t="shared" ca="1" si="25"/>
        <v>9</v>
      </c>
      <c r="J450" t="s">
        <v>954</v>
      </c>
      <c r="K450">
        <f t="shared" ca="1" si="26"/>
        <v>18</v>
      </c>
      <c r="L450" t="s">
        <v>689</v>
      </c>
      <c r="M450" t="s">
        <v>1920</v>
      </c>
      <c r="N450" s="1">
        <v>84098</v>
      </c>
      <c r="O450" s="49" t="s">
        <v>2656</v>
      </c>
      <c r="P450">
        <f t="shared" ca="1" si="27"/>
        <v>25</v>
      </c>
    </row>
    <row r="451" spans="1:16">
      <c r="A451" s="1">
        <v>84097</v>
      </c>
      <c r="B451" s="46">
        <v>90474</v>
      </c>
      <c r="C451" s="24">
        <v>845774</v>
      </c>
      <c r="D451" t="s">
        <v>1300</v>
      </c>
      <c r="E451" t="str">
        <f t="shared" ca="1" si="24"/>
        <v>7C81ES84097-85</v>
      </c>
      <c r="I451">
        <f t="shared" ca="1" si="25"/>
        <v>7</v>
      </c>
      <c r="J451" t="s">
        <v>689</v>
      </c>
      <c r="K451">
        <f t="shared" ca="1" si="26"/>
        <v>81</v>
      </c>
      <c r="L451" t="s">
        <v>804</v>
      </c>
      <c r="M451" t="s">
        <v>2350</v>
      </c>
      <c r="N451" s="1">
        <v>84097</v>
      </c>
      <c r="O451" s="49" t="s">
        <v>2656</v>
      </c>
      <c r="P451">
        <f t="shared" ca="1" si="27"/>
        <v>85</v>
      </c>
    </row>
    <row r="452" spans="1:16">
      <c r="A452" s="1">
        <v>84096</v>
      </c>
      <c r="B452" s="46">
        <v>89452</v>
      </c>
      <c r="C452" s="24">
        <v>844099</v>
      </c>
      <c r="D452" t="s">
        <v>1305</v>
      </c>
      <c r="E452" t="str">
        <f t="shared" ca="1" si="24"/>
        <v>1D73DT84096-97</v>
      </c>
      <c r="I452">
        <f t="shared" ca="1" si="25"/>
        <v>1</v>
      </c>
      <c r="J452" t="s">
        <v>2658</v>
      </c>
      <c r="K452">
        <f t="shared" ca="1" si="26"/>
        <v>73</v>
      </c>
      <c r="L452" t="s">
        <v>2658</v>
      </c>
      <c r="M452" t="s">
        <v>2657</v>
      </c>
      <c r="N452" s="1">
        <v>84096</v>
      </c>
      <c r="O452" s="49" t="s">
        <v>2656</v>
      </c>
      <c r="P452">
        <f t="shared" ca="1" si="27"/>
        <v>97</v>
      </c>
    </row>
    <row r="453" spans="1:16">
      <c r="A453" s="1">
        <v>87172</v>
      </c>
      <c r="B453" s="46">
        <v>89451</v>
      </c>
      <c r="C453" s="24">
        <v>844099</v>
      </c>
      <c r="D453" t="s">
        <v>1305</v>
      </c>
      <c r="E453" t="str">
        <f t="shared" ca="1" si="24"/>
        <v>4B22HR87172-65</v>
      </c>
      <c r="I453">
        <f t="shared" ca="1" si="25"/>
        <v>4</v>
      </c>
      <c r="J453" t="s">
        <v>954</v>
      </c>
      <c r="K453">
        <f t="shared" ca="1" si="26"/>
        <v>22</v>
      </c>
      <c r="L453" t="s">
        <v>2660</v>
      </c>
      <c r="M453" t="s">
        <v>1920</v>
      </c>
      <c r="N453" s="1">
        <v>87172</v>
      </c>
      <c r="O453" s="49" t="s">
        <v>2656</v>
      </c>
      <c r="P453">
        <f t="shared" ca="1" si="27"/>
        <v>65</v>
      </c>
    </row>
    <row r="454" spans="1:16">
      <c r="A454" s="1">
        <v>87173</v>
      </c>
      <c r="B454" s="46">
        <v>89453</v>
      </c>
      <c r="C454" s="24">
        <v>844099</v>
      </c>
      <c r="D454" t="s">
        <v>1305</v>
      </c>
      <c r="E454" t="str">
        <f t="shared" ca="1" si="24"/>
        <v>8C59DS87173-58</v>
      </c>
      <c r="I454">
        <f t="shared" ca="1" si="25"/>
        <v>8</v>
      </c>
      <c r="J454" t="s">
        <v>689</v>
      </c>
      <c r="K454">
        <f t="shared" ca="1" si="26"/>
        <v>59</v>
      </c>
      <c r="L454" t="s">
        <v>2658</v>
      </c>
      <c r="M454" t="s">
        <v>2350</v>
      </c>
      <c r="N454" s="1">
        <v>87173</v>
      </c>
      <c r="O454" s="49" t="s">
        <v>2656</v>
      </c>
      <c r="P454">
        <f t="shared" ca="1" si="27"/>
        <v>58</v>
      </c>
    </row>
    <row r="455" spans="1:16">
      <c r="A455" s="1">
        <v>83584</v>
      </c>
      <c r="B455" s="46">
        <v>88814</v>
      </c>
      <c r="C455" s="24">
        <v>845214</v>
      </c>
      <c r="D455" t="s">
        <v>1309</v>
      </c>
      <c r="E455" t="str">
        <f t="shared" ref="E455:E518" ca="1" si="28">CONCATENATE(I455,J455,K455,L455,M455,N455,O455,P455)</f>
        <v>8D72DT83584-98</v>
      </c>
      <c r="I455">
        <f t="shared" ref="I455:I518" ca="1" si="29">RANDBETWEEN(1,9)</f>
        <v>8</v>
      </c>
      <c r="J455" t="s">
        <v>2658</v>
      </c>
      <c r="K455">
        <f t="shared" ref="K455:K518" ca="1" si="30">RANDBETWEEN(10,99)</f>
        <v>72</v>
      </c>
      <c r="L455" t="s">
        <v>2658</v>
      </c>
      <c r="M455" t="s">
        <v>2657</v>
      </c>
      <c r="N455" s="1">
        <v>83584</v>
      </c>
      <c r="O455" s="49" t="s">
        <v>2656</v>
      </c>
      <c r="P455">
        <f t="shared" ref="P455:P518" ca="1" si="31">RANDBETWEEN(10,99)</f>
        <v>98</v>
      </c>
    </row>
    <row r="456" spans="1:16">
      <c r="A456" s="1">
        <v>83583</v>
      </c>
      <c r="B456" s="46">
        <v>88813</v>
      </c>
      <c r="C456" s="24">
        <v>845214</v>
      </c>
      <c r="D456" t="s">
        <v>1309</v>
      </c>
      <c r="E456" t="str">
        <f t="shared" ca="1" si="28"/>
        <v>2B91CR83583-76</v>
      </c>
      <c r="I456">
        <f t="shared" ca="1" si="29"/>
        <v>2</v>
      </c>
      <c r="J456" t="s">
        <v>954</v>
      </c>
      <c r="K456">
        <f t="shared" ca="1" si="30"/>
        <v>91</v>
      </c>
      <c r="L456" t="s">
        <v>689</v>
      </c>
      <c r="M456" t="s">
        <v>1920</v>
      </c>
      <c r="N456" s="1">
        <v>83583</v>
      </c>
      <c r="O456" s="49" t="s">
        <v>2656</v>
      </c>
      <c r="P456">
        <f t="shared" ca="1" si="31"/>
        <v>76</v>
      </c>
    </row>
    <row r="457" spans="1:16">
      <c r="A457" s="1">
        <v>83582</v>
      </c>
      <c r="B457" s="46">
        <v>88815</v>
      </c>
      <c r="C457" s="24">
        <v>845214</v>
      </c>
      <c r="D457" t="s">
        <v>1309</v>
      </c>
      <c r="E457" t="str">
        <f t="shared" ca="1" si="28"/>
        <v>5C53CS83582-32</v>
      </c>
      <c r="I457">
        <f t="shared" ca="1" si="29"/>
        <v>5</v>
      </c>
      <c r="J457" t="s">
        <v>689</v>
      </c>
      <c r="K457">
        <f t="shared" ca="1" si="30"/>
        <v>53</v>
      </c>
      <c r="L457" t="s">
        <v>689</v>
      </c>
      <c r="M457" t="s">
        <v>2350</v>
      </c>
      <c r="N457" s="1">
        <v>83582</v>
      </c>
      <c r="O457" s="49" t="s">
        <v>2656</v>
      </c>
      <c r="P457">
        <f t="shared" ca="1" si="31"/>
        <v>32</v>
      </c>
    </row>
    <row r="458" spans="1:16">
      <c r="A458" s="1">
        <v>87111</v>
      </c>
      <c r="B458" s="46">
        <v>90836</v>
      </c>
      <c r="C458" s="24">
        <v>845518</v>
      </c>
      <c r="D458" t="s">
        <v>1315</v>
      </c>
      <c r="E458" t="str">
        <f t="shared" ca="1" si="28"/>
        <v>4D98IT87111-98</v>
      </c>
      <c r="I458">
        <f t="shared" ca="1" si="29"/>
        <v>4</v>
      </c>
      <c r="J458" t="s">
        <v>2658</v>
      </c>
      <c r="K458">
        <f t="shared" ca="1" si="30"/>
        <v>98</v>
      </c>
      <c r="L458" t="s">
        <v>304</v>
      </c>
      <c r="M458" t="s">
        <v>2657</v>
      </c>
      <c r="N458" s="1">
        <v>87111</v>
      </c>
      <c r="O458" s="49" t="s">
        <v>2656</v>
      </c>
      <c r="P458">
        <f t="shared" ca="1" si="31"/>
        <v>98</v>
      </c>
    </row>
    <row r="459" spans="1:16">
      <c r="A459" s="1">
        <v>87112</v>
      </c>
      <c r="B459" s="46">
        <v>90835</v>
      </c>
      <c r="C459" s="24">
        <v>845518</v>
      </c>
      <c r="D459" t="s">
        <v>1315</v>
      </c>
      <c r="E459" t="str">
        <f t="shared" ca="1" si="28"/>
        <v>8B90FR87112-47</v>
      </c>
      <c r="I459">
        <f t="shared" ca="1" si="29"/>
        <v>8</v>
      </c>
      <c r="J459" t="s">
        <v>954</v>
      </c>
      <c r="K459">
        <f t="shared" ca="1" si="30"/>
        <v>90</v>
      </c>
      <c r="L459" t="s">
        <v>2661</v>
      </c>
      <c r="M459" t="s">
        <v>1920</v>
      </c>
      <c r="N459" s="1">
        <v>87112</v>
      </c>
      <c r="O459" s="49" t="s">
        <v>2656</v>
      </c>
      <c r="P459">
        <f t="shared" ca="1" si="31"/>
        <v>47</v>
      </c>
    </row>
    <row r="460" spans="1:16">
      <c r="A460" s="1">
        <v>89009</v>
      </c>
      <c r="B460" s="46">
        <v>90834</v>
      </c>
      <c r="C460" s="24">
        <v>845518</v>
      </c>
      <c r="D460" t="s">
        <v>1315</v>
      </c>
      <c r="E460" t="str">
        <f t="shared" ca="1" si="28"/>
        <v>9C68DS89009-30</v>
      </c>
      <c r="I460">
        <f t="shared" ca="1" si="29"/>
        <v>9</v>
      </c>
      <c r="J460" t="s">
        <v>689</v>
      </c>
      <c r="K460">
        <f t="shared" ca="1" si="30"/>
        <v>68</v>
      </c>
      <c r="L460" t="s">
        <v>2658</v>
      </c>
      <c r="M460" t="s">
        <v>2350</v>
      </c>
      <c r="N460" s="1">
        <v>89009</v>
      </c>
      <c r="O460" s="49" t="s">
        <v>2656</v>
      </c>
      <c r="P460">
        <f t="shared" ca="1" si="31"/>
        <v>30</v>
      </c>
    </row>
    <row r="461" spans="1:16">
      <c r="A461" s="1">
        <v>89010</v>
      </c>
      <c r="B461" s="46">
        <v>87402</v>
      </c>
      <c r="C461" s="24">
        <v>844883</v>
      </c>
      <c r="D461" t="s">
        <v>1319</v>
      </c>
      <c r="E461" t="str">
        <f t="shared" ca="1" si="28"/>
        <v>2D54ET89010-34</v>
      </c>
      <c r="I461">
        <f t="shared" ca="1" si="29"/>
        <v>2</v>
      </c>
      <c r="J461" t="s">
        <v>2658</v>
      </c>
      <c r="K461">
        <f t="shared" ca="1" si="30"/>
        <v>54</v>
      </c>
      <c r="L461" t="s">
        <v>804</v>
      </c>
      <c r="M461" t="s">
        <v>2657</v>
      </c>
      <c r="N461" s="1">
        <v>89010</v>
      </c>
      <c r="O461" s="49" t="s">
        <v>2656</v>
      </c>
      <c r="P461">
        <f t="shared" ca="1" si="31"/>
        <v>34</v>
      </c>
    </row>
    <row r="462" spans="1:16">
      <c r="A462" s="1">
        <v>89012</v>
      </c>
      <c r="B462" s="46">
        <v>87404</v>
      </c>
      <c r="C462" s="24">
        <v>844883</v>
      </c>
      <c r="D462" t="s">
        <v>1319</v>
      </c>
      <c r="E462" t="str">
        <f t="shared" ca="1" si="28"/>
        <v>7B35HR89012-79</v>
      </c>
      <c r="I462">
        <f t="shared" ca="1" si="29"/>
        <v>7</v>
      </c>
      <c r="J462" t="s">
        <v>954</v>
      </c>
      <c r="K462">
        <f t="shared" ca="1" si="30"/>
        <v>35</v>
      </c>
      <c r="L462" t="s">
        <v>2660</v>
      </c>
      <c r="M462" t="s">
        <v>1920</v>
      </c>
      <c r="N462" s="1">
        <v>89012</v>
      </c>
      <c r="O462" s="49" t="s">
        <v>2656</v>
      </c>
      <c r="P462">
        <f t="shared" ca="1" si="31"/>
        <v>79</v>
      </c>
    </row>
    <row r="463" spans="1:16">
      <c r="A463" s="1">
        <v>89011</v>
      </c>
      <c r="B463" s="46">
        <v>87403</v>
      </c>
      <c r="C463" s="24">
        <v>844883</v>
      </c>
      <c r="D463" t="s">
        <v>1319</v>
      </c>
      <c r="E463" t="str">
        <f t="shared" ca="1" si="28"/>
        <v>8C18AS89011-62</v>
      </c>
      <c r="I463">
        <f t="shared" ca="1" si="29"/>
        <v>8</v>
      </c>
      <c r="J463" t="s">
        <v>689</v>
      </c>
      <c r="K463">
        <f t="shared" ca="1" si="30"/>
        <v>18</v>
      </c>
      <c r="L463" t="s">
        <v>425</v>
      </c>
      <c r="M463" t="s">
        <v>2350</v>
      </c>
      <c r="N463" s="1">
        <v>89011</v>
      </c>
      <c r="O463" s="49" t="s">
        <v>2656</v>
      </c>
      <c r="P463">
        <f t="shared" ca="1" si="31"/>
        <v>62</v>
      </c>
    </row>
    <row r="464" spans="1:16">
      <c r="A464" s="1">
        <v>88267</v>
      </c>
      <c r="B464" s="46">
        <v>83133</v>
      </c>
      <c r="C464" s="24">
        <v>842690</v>
      </c>
      <c r="D464" t="s">
        <v>1326</v>
      </c>
      <c r="E464" t="str">
        <f t="shared" ca="1" si="28"/>
        <v>4D79BT88267-81</v>
      </c>
      <c r="I464">
        <f t="shared" ca="1" si="29"/>
        <v>4</v>
      </c>
      <c r="J464" t="s">
        <v>2658</v>
      </c>
      <c r="K464">
        <f t="shared" ca="1" si="30"/>
        <v>79</v>
      </c>
      <c r="L464" t="s">
        <v>954</v>
      </c>
      <c r="M464" t="s">
        <v>2657</v>
      </c>
      <c r="N464" s="1">
        <v>88267</v>
      </c>
      <c r="O464" s="49" t="s">
        <v>2656</v>
      </c>
      <c r="P464">
        <f t="shared" ca="1" si="31"/>
        <v>81</v>
      </c>
    </row>
    <row r="465" spans="1:16">
      <c r="A465" s="1">
        <v>88266</v>
      </c>
      <c r="B465" s="46">
        <v>83134</v>
      </c>
      <c r="C465" s="24">
        <v>842690</v>
      </c>
      <c r="D465" t="s">
        <v>1326</v>
      </c>
      <c r="E465" t="str">
        <f t="shared" ca="1" si="28"/>
        <v>2B27HR88266-73</v>
      </c>
      <c r="I465">
        <f t="shared" ca="1" si="29"/>
        <v>2</v>
      </c>
      <c r="J465" t="s">
        <v>954</v>
      </c>
      <c r="K465">
        <f t="shared" ca="1" si="30"/>
        <v>27</v>
      </c>
      <c r="L465" t="s">
        <v>2660</v>
      </c>
      <c r="M465" t="s">
        <v>1920</v>
      </c>
      <c r="N465" s="1">
        <v>88266</v>
      </c>
      <c r="O465" s="49" t="s">
        <v>2656</v>
      </c>
      <c r="P465">
        <f t="shared" ca="1" si="31"/>
        <v>73</v>
      </c>
    </row>
    <row r="466" spans="1:16">
      <c r="A466" s="1">
        <v>88268</v>
      </c>
      <c r="B466" s="46">
        <v>87416</v>
      </c>
      <c r="C466" s="24">
        <v>844886</v>
      </c>
      <c r="D466" t="s">
        <v>1331</v>
      </c>
      <c r="E466" t="str">
        <f t="shared" ca="1" si="28"/>
        <v>4C17GS88268-33</v>
      </c>
      <c r="I466">
        <f t="shared" ca="1" si="29"/>
        <v>4</v>
      </c>
      <c r="J466" t="s">
        <v>689</v>
      </c>
      <c r="K466">
        <f t="shared" ca="1" si="30"/>
        <v>17</v>
      </c>
      <c r="L466" t="s">
        <v>2659</v>
      </c>
      <c r="M466" t="s">
        <v>2350</v>
      </c>
      <c r="N466" s="1">
        <v>88268</v>
      </c>
      <c r="O466" s="49" t="s">
        <v>2656</v>
      </c>
      <c r="P466">
        <f t="shared" ca="1" si="31"/>
        <v>33</v>
      </c>
    </row>
    <row r="467" spans="1:16">
      <c r="A467" s="1">
        <v>88261</v>
      </c>
      <c r="B467" s="46">
        <v>87414</v>
      </c>
      <c r="C467" s="24">
        <v>844886</v>
      </c>
      <c r="D467" t="s">
        <v>1331</v>
      </c>
      <c r="E467" t="str">
        <f t="shared" ca="1" si="28"/>
        <v>7D36HT88261-26</v>
      </c>
      <c r="I467">
        <f t="shared" ca="1" si="29"/>
        <v>7</v>
      </c>
      <c r="J467" t="s">
        <v>2658</v>
      </c>
      <c r="K467">
        <f t="shared" ca="1" si="30"/>
        <v>36</v>
      </c>
      <c r="L467" t="s">
        <v>2660</v>
      </c>
      <c r="M467" t="s">
        <v>2657</v>
      </c>
      <c r="N467" s="1">
        <v>88261</v>
      </c>
      <c r="O467" s="49" t="s">
        <v>2656</v>
      </c>
      <c r="P467">
        <f t="shared" ca="1" si="31"/>
        <v>26</v>
      </c>
    </row>
    <row r="468" spans="1:16">
      <c r="A468" s="1">
        <v>88262</v>
      </c>
      <c r="B468" s="46">
        <v>87415</v>
      </c>
      <c r="C468" s="24">
        <v>844886</v>
      </c>
      <c r="D468" t="s">
        <v>1331</v>
      </c>
      <c r="E468" t="str">
        <f t="shared" ca="1" si="28"/>
        <v>5B57CR88262-87</v>
      </c>
      <c r="I468">
        <f t="shared" ca="1" si="29"/>
        <v>5</v>
      </c>
      <c r="J468" t="s">
        <v>954</v>
      </c>
      <c r="K468">
        <f t="shared" ca="1" si="30"/>
        <v>57</v>
      </c>
      <c r="L468" t="s">
        <v>689</v>
      </c>
      <c r="M468" t="s">
        <v>1920</v>
      </c>
      <c r="N468" s="1">
        <v>88262</v>
      </c>
      <c r="O468" s="49" t="s">
        <v>2656</v>
      </c>
      <c r="P468">
        <f t="shared" ca="1" si="31"/>
        <v>87</v>
      </c>
    </row>
    <row r="469" spans="1:16">
      <c r="A469" s="1">
        <v>88263</v>
      </c>
      <c r="B469" s="46">
        <v>76987</v>
      </c>
      <c r="C469" s="24">
        <v>839357</v>
      </c>
      <c r="D469" t="s">
        <v>1336</v>
      </c>
      <c r="E469" t="str">
        <f t="shared" ca="1" si="28"/>
        <v>9C67ES88263-62</v>
      </c>
      <c r="I469">
        <f t="shared" ca="1" si="29"/>
        <v>9</v>
      </c>
      <c r="J469" t="s">
        <v>689</v>
      </c>
      <c r="K469">
        <f t="shared" ca="1" si="30"/>
        <v>67</v>
      </c>
      <c r="L469" t="s">
        <v>804</v>
      </c>
      <c r="M469" t="s">
        <v>2350</v>
      </c>
      <c r="N469" s="1">
        <v>88263</v>
      </c>
      <c r="O469" s="49" t="s">
        <v>2656</v>
      </c>
      <c r="P469">
        <f t="shared" ca="1" si="31"/>
        <v>62</v>
      </c>
    </row>
    <row r="470" spans="1:16">
      <c r="A470" s="1">
        <v>89189</v>
      </c>
      <c r="B470" s="46">
        <v>76989</v>
      </c>
      <c r="C470" s="24">
        <v>839357</v>
      </c>
      <c r="D470" t="s">
        <v>1336</v>
      </c>
      <c r="E470" t="str">
        <f t="shared" ca="1" si="28"/>
        <v>3D87AT89189-48</v>
      </c>
      <c r="I470">
        <f t="shared" ca="1" si="29"/>
        <v>3</v>
      </c>
      <c r="J470" t="s">
        <v>2658</v>
      </c>
      <c r="K470">
        <f t="shared" ca="1" si="30"/>
        <v>87</v>
      </c>
      <c r="L470" t="s">
        <v>425</v>
      </c>
      <c r="M470" t="s">
        <v>2657</v>
      </c>
      <c r="N470" s="1">
        <v>89189</v>
      </c>
      <c r="O470" s="49" t="s">
        <v>2656</v>
      </c>
      <c r="P470">
        <f t="shared" ca="1" si="31"/>
        <v>48</v>
      </c>
    </row>
    <row r="471" spans="1:16">
      <c r="A471" s="1">
        <v>89190</v>
      </c>
      <c r="B471" s="46">
        <v>76988</v>
      </c>
      <c r="C471" s="24">
        <v>839357</v>
      </c>
      <c r="D471" t="s">
        <v>1336</v>
      </c>
      <c r="E471" t="str">
        <f t="shared" ca="1" si="28"/>
        <v>3B85IR89190-79</v>
      </c>
      <c r="I471">
        <f t="shared" ca="1" si="29"/>
        <v>3</v>
      </c>
      <c r="J471" t="s">
        <v>954</v>
      </c>
      <c r="K471">
        <f t="shared" ca="1" si="30"/>
        <v>85</v>
      </c>
      <c r="L471" t="s">
        <v>304</v>
      </c>
      <c r="M471" t="s">
        <v>1920</v>
      </c>
      <c r="N471" s="1">
        <v>89190</v>
      </c>
      <c r="O471" s="49" t="s">
        <v>2656</v>
      </c>
      <c r="P471">
        <f t="shared" ca="1" si="31"/>
        <v>79</v>
      </c>
    </row>
    <row r="472" spans="1:16">
      <c r="A472" s="1">
        <v>89191</v>
      </c>
      <c r="B472" s="46">
        <v>87155</v>
      </c>
      <c r="C472" s="24">
        <v>842691</v>
      </c>
      <c r="D472" t="s">
        <v>1342</v>
      </c>
      <c r="E472" t="str">
        <f t="shared" ca="1" si="28"/>
        <v>8C65DS89191-42</v>
      </c>
      <c r="I472">
        <f t="shared" ca="1" si="29"/>
        <v>8</v>
      </c>
      <c r="J472" t="s">
        <v>689</v>
      </c>
      <c r="K472">
        <f t="shared" ca="1" si="30"/>
        <v>65</v>
      </c>
      <c r="L472" t="s">
        <v>2658</v>
      </c>
      <c r="M472" t="s">
        <v>2350</v>
      </c>
      <c r="N472" s="1">
        <v>89191</v>
      </c>
      <c r="O472" s="49" t="s">
        <v>2656</v>
      </c>
      <c r="P472">
        <f t="shared" ca="1" si="31"/>
        <v>42</v>
      </c>
    </row>
    <row r="473" spans="1:16">
      <c r="A473" s="1">
        <v>89192</v>
      </c>
      <c r="B473" s="46">
        <v>87154</v>
      </c>
      <c r="C473" s="24">
        <v>842691</v>
      </c>
      <c r="D473" t="s">
        <v>1342</v>
      </c>
      <c r="E473" t="str">
        <f t="shared" ca="1" si="28"/>
        <v>7D62DT89192-61</v>
      </c>
      <c r="I473">
        <f t="shared" ca="1" si="29"/>
        <v>7</v>
      </c>
      <c r="J473" t="s">
        <v>2658</v>
      </c>
      <c r="K473">
        <f t="shared" ca="1" si="30"/>
        <v>62</v>
      </c>
      <c r="L473" t="s">
        <v>2658</v>
      </c>
      <c r="M473" t="s">
        <v>2657</v>
      </c>
      <c r="N473" s="1">
        <v>89192</v>
      </c>
      <c r="O473" s="49" t="s">
        <v>2656</v>
      </c>
      <c r="P473">
        <f t="shared" ca="1" si="31"/>
        <v>61</v>
      </c>
    </row>
    <row r="474" spans="1:16">
      <c r="A474" s="1">
        <v>90763</v>
      </c>
      <c r="B474" s="46">
        <v>86530</v>
      </c>
      <c r="C474" s="24">
        <v>843410</v>
      </c>
      <c r="D474" t="s">
        <v>1349</v>
      </c>
      <c r="E474" t="str">
        <f t="shared" ca="1" si="28"/>
        <v>8B55HR90763-56</v>
      </c>
      <c r="I474">
        <f t="shared" ca="1" si="29"/>
        <v>8</v>
      </c>
      <c r="J474" t="s">
        <v>954</v>
      </c>
      <c r="K474">
        <f t="shared" ca="1" si="30"/>
        <v>55</v>
      </c>
      <c r="L474" t="s">
        <v>2660</v>
      </c>
      <c r="M474" t="s">
        <v>1920</v>
      </c>
      <c r="N474" s="1">
        <v>90763</v>
      </c>
      <c r="O474" s="49" t="s">
        <v>2656</v>
      </c>
      <c r="P474">
        <f t="shared" ca="1" si="31"/>
        <v>56</v>
      </c>
    </row>
    <row r="475" spans="1:16">
      <c r="A475" s="1">
        <v>90764</v>
      </c>
      <c r="B475" s="46">
        <v>86531</v>
      </c>
      <c r="C475" s="24">
        <v>843410</v>
      </c>
      <c r="D475" t="s">
        <v>1349</v>
      </c>
      <c r="E475" t="str">
        <f t="shared" ca="1" si="28"/>
        <v>9C41IS90764-13</v>
      </c>
      <c r="I475">
        <f t="shared" ca="1" si="29"/>
        <v>9</v>
      </c>
      <c r="J475" t="s">
        <v>689</v>
      </c>
      <c r="K475">
        <f t="shared" ca="1" si="30"/>
        <v>41</v>
      </c>
      <c r="L475" t="s">
        <v>304</v>
      </c>
      <c r="M475" t="s">
        <v>2350</v>
      </c>
      <c r="N475" s="1">
        <v>90764</v>
      </c>
      <c r="O475" s="49" t="s">
        <v>2656</v>
      </c>
      <c r="P475">
        <f t="shared" ca="1" si="31"/>
        <v>13</v>
      </c>
    </row>
    <row r="476" spans="1:16">
      <c r="A476" s="1">
        <v>90765</v>
      </c>
      <c r="B476" s="46">
        <v>86532</v>
      </c>
      <c r="C476" s="24">
        <v>843410</v>
      </c>
      <c r="D476" t="s">
        <v>1349</v>
      </c>
      <c r="E476" t="str">
        <f t="shared" ca="1" si="28"/>
        <v>9D42FT90765-54</v>
      </c>
      <c r="I476">
        <f t="shared" ca="1" si="29"/>
        <v>9</v>
      </c>
      <c r="J476" t="s">
        <v>2658</v>
      </c>
      <c r="K476">
        <f t="shared" ca="1" si="30"/>
        <v>42</v>
      </c>
      <c r="L476" t="s">
        <v>2661</v>
      </c>
      <c r="M476" t="s">
        <v>2657</v>
      </c>
      <c r="N476" s="1">
        <v>90765</v>
      </c>
      <c r="O476" s="49" t="s">
        <v>2656</v>
      </c>
      <c r="P476">
        <f t="shared" ca="1" si="31"/>
        <v>54</v>
      </c>
    </row>
    <row r="477" spans="1:16">
      <c r="A477" s="1">
        <v>89406</v>
      </c>
      <c r="B477" s="46">
        <v>90255</v>
      </c>
      <c r="C477" s="24">
        <v>842971</v>
      </c>
      <c r="D477" t="s">
        <v>1353</v>
      </c>
      <c r="E477" t="str">
        <f t="shared" ca="1" si="28"/>
        <v>4B85FR89406-49</v>
      </c>
      <c r="I477">
        <f t="shared" ca="1" si="29"/>
        <v>4</v>
      </c>
      <c r="J477" t="s">
        <v>954</v>
      </c>
      <c r="K477">
        <f t="shared" ca="1" si="30"/>
        <v>85</v>
      </c>
      <c r="L477" t="s">
        <v>2661</v>
      </c>
      <c r="M477" t="s">
        <v>1920</v>
      </c>
      <c r="N477" s="1">
        <v>89406</v>
      </c>
      <c r="O477" s="49" t="s">
        <v>2656</v>
      </c>
      <c r="P477">
        <f t="shared" ca="1" si="31"/>
        <v>49</v>
      </c>
    </row>
    <row r="478" spans="1:16">
      <c r="A478" s="1">
        <v>89407</v>
      </c>
      <c r="B478" s="46">
        <v>90254</v>
      </c>
      <c r="C478" s="24">
        <v>842971</v>
      </c>
      <c r="D478" t="s">
        <v>1353</v>
      </c>
      <c r="E478" t="str">
        <f t="shared" ca="1" si="28"/>
        <v>4C87ES89407-87</v>
      </c>
      <c r="I478">
        <f t="shared" ca="1" si="29"/>
        <v>4</v>
      </c>
      <c r="J478" t="s">
        <v>689</v>
      </c>
      <c r="K478">
        <f t="shared" ca="1" si="30"/>
        <v>87</v>
      </c>
      <c r="L478" t="s">
        <v>804</v>
      </c>
      <c r="M478" t="s">
        <v>2350</v>
      </c>
      <c r="N478" s="1">
        <v>89407</v>
      </c>
      <c r="O478" s="49" t="s">
        <v>2656</v>
      </c>
      <c r="P478">
        <f t="shared" ca="1" si="31"/>
        <v>87</v>
      </c>
    </row>
    <row r="479" spans="1:16">
      <c r="A479" s="1">
        <v>89408</v>
      </c>
      <c r="B479" s="46">
        <v>90253</v>
      </c>
      <c r="C479" s="24">
        <v>842971</v>
      </c>
      <c r="D479" t="s">
        <v>1353</v>
      </c>
      <c r="E479" t="str">
        <f t="shared" ca="1" si="28"/>
        <v>2D23GT89408-10</v>
      </c>
      <c r="I479">
        <f t="shared" ca="1" si="29"/>
        <v>2</v>
      </c>
      <c r="J479" t="s">
        <v>2658</v>
      </c>
      <c r="K479">
        <f t="shared" ca="1" si="30"/>
        <v>23</v>
      </c>
      <c r="L479" t="s">
        <v>2659</v>
      </c>
      <c r="M479" t="s">
        <v>2657</v>
      </c>
      <c r="N479" s="1">
        <v>89408</v>
      </c>
      <c r="O479" s="49" t="s">
        <v>2656</v>
      </c>
      <c r="P479">
        <f t="shared" ca="1" si="31"/>
        <v>10</v>
      </c>
    </row>
    <row r="480" spans="1:16">
      <c r="A480" s="1">
        <v>88284</v>
      </c>
      <c r="B480" s="46">
        <v>84432</v>
      </c>
      <c r="C480" s="24">
        <v>843775</v>
      </c>
      <c r="D480" t="s">
        <v>1358</v>
      </c>
      <c r="E480" t="str">
        <f t="shared" ca="1" si="28"/>
        <v>5B50FR842727-17</v>
      </c>
      <c r="I480">
        <f t="shared" ca="1" si="29"/>
        <v>5</v>
      </c>
      <c r="J480" t="s">
        <v>954</v>
      </c>
      <c r="K480">
        <f t="shared" ca="1" si="30"/>
        <v>50</v>
      </c>
      <c r="L480" t="s">
        <v>2661</v>
      </c>
      <c r="M480" t="s">
        <v>1920</v>
      </c>
      <c r="N480" s="10">
        <f t="shared" ref="N480:N511" si="32">VLOOKUP(A480,B480:C1144,2,FALSE)</f>
        <v>842727</v>
      </c>
      <c r="O480" s="49" t="s">
        <v>2656</v>
      </c>
      <c r="P480">
        <f t="shared" ca="1" si="31"/>
        <v>17</v>
      </c>
    </row>
    <row r="481" spans="1:16">
      <c r="A481" s="1">
        <v>88285</v>
      </c>
      <c r="B481" s="46">
        <v>84434</v>
      </c>
      <c r="C481" s="24">
        <v>843775</v>
      </c>
      <c r="D481" t="s">
        <v>1358</v>
      </c>
      <c r="E481" t="str">
        <f t="shared" ca="1" si="28"/>
        <v>5C35FS842727-81</v>
      </c>
      <c r="I481">
        <f t="shared" ca="1" si="29"/>
        <v>5</v>
      </c>
      <c r="J481" t="s">
        <v>689</v>
      </c>
      <c r="K481">
        <f t="shared" ca="1" si="30"/>
        <v>35</v>
      </c>
      <c r="L481" t="s">
        <v>2661</v>
      </c>
      <c r="M481" t="s">
        <v>2350</v>
      </c>
      <c r="N481" s="10">
        <f t="shared" si="32"/>
        <v>842727</v>
      </c>
      <c r="O481" s="49" t="s">
        <v>2656</v>
      </c>
      <c r="P481">
        <f t="shared" ca="1" si="31"/>
        <v>81</v>
      </c>
    </row>
    <row r="482" spans="1:16">
      <c r="A482" s="1">
        <v>88286</v>
      </c>
      <c r="B482" s="46">
        <v>84433</v>
      </c>
      <c r="C482" s="24">
        <v>843775</v>
      </c>
      <c r="D482" t="s">
        <v>1358</v>
      </c>
      <c r="E482" t="str">
        <f t="shared" ca="1" si="28"/>
        <v>1D84IT842727-13</v>
      </c>
      <c r="I482">
        <f t="shared" ca="1" si="29"/>
        <v>1</v>
      </c>
      <c r="J482" t="s">
        <v>2658</v>
      </c>
      <c r="K482">
        <f t="shared" ca="1" si="30"/>
        <v>84</v>
      </c>
      <c r="L482" t="s">
        <v>304</v>
      </c>
      <c r="M482" t="s">
        <v>2657</v>
      </c>
      <c r="N482" s="10">
        <f t="shared" si="32"/>
        <v>842727</v>
      </c>
      <c r="O482" s="49" t="s">
        <v>2656</v>
      </c>
      <c r="P482">
        <f t="shared" ca="1" si="31"/>
        <v>13</v>
      </c>
    </row>
    <row r="483" spans="1:16">
      <c r="A483" s="1">
        <v>85367</v>
      </c>
      <c r="B483" s="46">
        <v>89002</v>
      </c>
      <c r="C483" s="24">
        <v>842258</v>
      </c>
      <c r="D483" t="s">
        <v>1364</v>
      </c>
      <c r="E483" t="str">
        <f t="shared" ca="1" si="28"/>
        <v>5B40GR843323-75</v>
      </c>
      <c r="I483">
        <f t="shared" ca="1" si="29"/>
        <v>5</v>
      </c>
      <c r="J483" t="s">
        <v>954</v>
      </c>
      <c r="K483">
        <f t="shared" ca="1" si="30"/>
        <v>40</v>
      </c>
      <c r="L483" t="s">
        <v>2659</v>
      </c>
      <c r="M483" t="s">
        <v>1920</v>
      </c>
      <c r="N483" s="10">
        <f t="shared" si="32"/>
        <v>843323</v>
      </c>
      <c r="O483" s="49" t="s">
        <v>2656</v>
      </c>
      <c r="P483">
        <f t="shared" ca="1" si="31"/>
        <v>75</v>
      </c>
    </row>
    <row r="484" spans="1:16">
      <c r="A484" s="1">
        <v>85366</v>
      </c>
      <c r="B484" s="46">
        <v>89003</v>
      </c>
      <c r="C484" s="24">
        <v>842258</v>
      </c>
      <c r="D484" t="s">
        <v>1364</v>
      </c>
      <c r="E484" t="str">
        <f t="shared" ca="1" si="28"/>
        <v>8C49GS843323-98</v>
      </c>
      <c r="I484">
        <f t="shared" ca="1" si="29"/>
        <v>8</v>
      </c>
      <c r="J484" t="s">
        <v>689</v>
      </c>
      <c r="K484">
        <f t="shared" ca="1" si="30"/>
        <v>49</v>
      </c>
      <c r="L484" t="s">
        <v>2659</v>
      </c>
      <c r="M484" t="s">
        <v>2350</v>
      </c>
      <c r="N484" s="10">
        <f t="shared" si="32"/>
        <v>843323</v>
      </c>
      <c r="O484" s="49" t="s">
        <v>2656</v>
      </c>
      <c r="P484">
        <f t="shared" ca="1" si="31"/>
        <v>98</v>
      </c>
    </row>
    <row r="485" spans="1:16">
      <c r="A485" s="1">
        <v>85364</v>
      </c>
      <c r="B485" s="46">
        <v>89005</v>
      </c>
      <c r="C485" s="24">
        <v>842258</v>
      </c>
      <c r="D485" t="s">
        <v>1364</v>
      </c>
      <c r="E485" t="str">
        <f t="shared" ca="1" si="28"/>
        <v>6D93CT843323-91</v>
      </c>
      <c r="I485">
        <f t="shared" ca="1" si="29"/>
        <v>6</v>
      </c>
      <c r="J485" t="s">
        <v>2658</v>
      </c>
      <c r="K485">
        <f t="shared" ca="1" si="30"/>
        <v>93</v>
      </c>
      <c r="L485" t="s">
        <v>689</v>
      </c>
      <c r="M485" t="s">
        <v>2657</v>
      </c>
      <c r="N485" s="10">
        <f t="shared" si="32"/>
        <v>843323</v>
      </c>
      <c r="O485" s="49" t="s">
        <v>2656</v>
      </c>
      <c r="P485">
        <f t="shared" ca="1" si="31"/>
        <v>91</v>
      </c>
    </row>
    <row r="486" spans="1:16">
      <c r="A486" s="1">
        <v>85365</v>
      </c>
      <c r="B486" s="46">
        <v>89004</v>
      </c>
      <c r="C486" s="24">
        <v>842258</v>
      </c>
      <c r="D486" t="s">
        <v>1364</v>
      </c>
      <c r="E486" t="str">
        <f t="shared" ca="1" si="28"/>
        <v>8B81IR843323-27</v>
      </c>
      <c r="I486">
        <f t="shared" ca="1" si="29"/>
        <v>8</v>
      </c>
      <c r="J486" t="s">
        <v>954</v>
      </c>
      <c r="K486">
        <f t="shared" ca="1" si="30"/>
        <v>81</v>
      </c>
      <c r="L486" t="s">
        <v>304</v>
      </c>
      <c r="M486" t="s">
        <v>1920</v>
      </c>
      <c r="N486" s="10">
        <f t="shared" si="32"/>
        <v>843323</v>
      </c>
      <c r="O486" s="49" t="s">
        <v>2656</v>
      </c>
      <c r="P486">
        <f t="shared" ca="1" si="31"/>
        <v>27</v>
      </c>
    </row>
    <row r="487" spans="1:16">
      <c r="A487" s="1">
        <v>89941</v>
      </c>
      <c r="B487" s="46">
        <v>88279</v>
      </c>
      <c r="C487" s="24">
        <v>842716</v>
      </c>
      <c r="D487" t="s">
        <v>1370</v>
      </c>
      <c r="E487" t="str">
        <f t="shared" ca="1" si="28"/>
        <v>3C60BS843823-51</v>
      </c>
      <c r="I487">
        <f t="shared" ca="1" si="29"/>
        <v>3</v>
      </c>
      <c r="J487" t="s">
        <v>689</v>
      </c>
      <c r="K487">
        <f t="shared" ca="1" si="30"/>
        <v>60</v>
      </c>
      <c r="L487" t="s">
        <v>954</v>
      </c>
      <c r="M487" t="s">
        <v>2350</v>
      </c>
      <c r="N487" s="10">
        <f t="shared" si="32"/>
        <v>843823</v>
      </c>
      <c r="O487" s="49" t="s">
        <v>2656</v>
      </c>
      <c r="P487">
        <f t="shared" ca="1" si="31"/>
        <v>51</v>
      </c>
    </row>
    <row r="488" spans="1:16">
      <c r="A488" s="1">
        <v>89942</v>
      </c>
      <c r="B488" s="46">
        <v>88278</v>
      </c>
      <c r="C488" s="24">
        <v>842716</v>
      </c>
      <c r="D488" t="s">
        <v>1370</v>
      </c>
      <c r="E488" t="str">
        <f t="shared" ca="1" si="28"/>
        <v>8D16BT843823-32</v>
      </c>
      <c r="I488">
        <f t="shared" ca="1" si="29"/>
        <v>8</v>
      </c>
      <c r="J488" t="s">
        <v>2658</v>
      </c>
      <c r="K488">
        <f t="shared" ca="1" si="30"/>
        <v>16</v>
      </c>
      <c r="L488" t="s">
        <v>954</v>
      </c>
      <c r="M488" t="s">
        <v>2657</v>
      </c>
      <c r="N488" s="10">
        <f t="shared" si="32"/>
        <v>843823</v>
      </c>
      <c r="O488" s="49" t="s">
        <v>2656</v>
      </c>
      <c r="P488">
        <f t="shared" ca="1" si="31"/>
        <v>32</v>
      </c>
    </row>
    <row r="489" spans="1:16">
      <c r="A489" s="1">
        <v>89943</v>
      </c>
      <c r="B489" s="46">
        <v>88280</v>
      </c>
      <c r="C489" s="24">
        <v>842716</v>
      </c>
      <c r="D489" t="s">
        <v>1370</v>
      </c>
      <c r="E489" t="str">
        <f t="shared" ca="1" si="28"/>
        <v>7B62GR843823-80</v>
      </c>
      <c r="I489">
        <f t="shared" ca="1" si="29"/>
        <v>7</v>
      </c>
      <c r="J489" t="s">
        <v>954</v>
      </c>
      <c r="K489">
        <f t="shared" ca="1" si="30"/>
        <v>62</v>
      </c>
      <c r="L489" t="s">
        <v>2659</v>
      </c>
      <c r="M489" t="s">
        <v>1920</v>
      </c>
      <c r="N489" s="10">
        <f t="shared" si="32"/>
        <v>843823</v>
      </c>
      <c r="O489" s="49" t="s">
        <v>2656</v>
      </c>
      <c r="P489">
        <f t="shared" ca="1" si="31"/>
        <v>80</v>
      </c>
    </row>
    <row r="490" spans="1:16">
      <c r="A490" s="1">
        <v>78748</v>
      </c>
      <c r="B490" s="46">
        <v>84098</v>
      </c>
      <c r="C490" s="24">
        <v>843541</v>
      </c>
      <c r="D490" t="s">
        <v>1375</v>
      </c>
      <c r="E490" t="str">
        <f t="shared" ca="1" si="28"/>
        <v>6C83BS839924-42</v>
      </c>
      <c r="I490">
        <f t="shared" ca="1" si="29"/>
        <v>6</v>
      </c>
      <c r="J490" t="s">
        <v>689</v>
      </c>
      <c r="K490">
        <f t="shared" ca="1" si="30"/>
        <v>83</v>
      </c>
      <c r="L490" t="s">
        <v>954</v>
      </c>
      <c r="M490" t="s">
        <v>2350</v>
      </c>
      <c r="N490" s="10">
        <f t="shared" si="32"/>
        <v>839924</v>
      </c>
      <c r="O490" s="49" t="s">
        <v>2656</v>
      </c>
      <c r="P490">
        <f t="shared" ca="1" si="31"/>
        <v>42</v>
      </c>
    </row>
    <row r="491" spans="1:16">
      <c r="A491" s="1">
        <v>78749</v>
      </c>
      <c r="B491" s="46">
        <v>84097</v>
      </c>
      <c r="C491" s="24">
        <v>843541</v>
      </c>
      <c r="D491" t="s">
        <v>1375</v>
      </c>
      <c r="E491" t="str">
        <f t="shared" ca="1" si="28"/>
        <v>8D75FT839924-31</v>
      </c>
      <c r="I491">
        <f t="shared" ca="1" si="29"/>
        <v>8</v>
      </c>
      <c r="J491" t="s">
        <v>2658</v>
      </c>
      <c r="K491">
        <f t="shared" ca="1" si="30"/>
        <v>75</v>
      </c>
      <c r="L491" t="s">
        <v>2661</v>
      </c>
      <c r="M491" t="s">
        <v>2657</v>
      </c>
      <c r="N491" s="10">
        <f t="shared" si="32"/>
        <v>839924</v>
      </c>
      <c r="O491" s="49" t="s">
        <v>2656</v>
      </c>
      <c r="P491">
        <f t="shared" ca="1" si="31"/>
        <v>31</v>
      </c>
    </row>
    <row r="492" spans="1:16">
      <c r="A492" s="1">
        <v>78747</v>
      </c>
      <c r="B492" s="46">
        <v>84096</v>
      </c>
      <c r="C492" s="24">
        <v>843541</v>
      </c>
      <c r="D492" t="s">
        <v>1375</v>
      </c>
      <c r="E492" t="str">
        <f t="shared" ca="1" si="28"/>
        <v>2B21IR839924-31</v>
      </c>
      <c r="I492">
        <f t="shared" ca="1" si="29"/>
        <v>2</v>
      </c>
      <c r="J492" t="s">
        <v>954</v>
      </c>
      <c r="K492">
        <f t="shared" ca="1" si="30"/>
        <v>21</v>
      </c>
      <c r="L492" t="s">
        <v>304</v>
      </c>
      <c r="M492" t="s">
        <v>1920</v>
      </c>
      <c r="N492" s="10">
        <f t="shared" si="32"/>
        <v>839924</v>
      </c>
      <c r="O492" s="49" t="s">
        <v>2656</v>
      </c>
      <c r="P492">
        <f t="shared" ca="1" si="31"/>
        <v>31</v>
      </c>
    </row>
    <row r="493" spans="1:16">
      <c r="A493" s="1">
        <v>87168</v>
      </c>
      <c r="B493" s="46">
        <v>87172</v>
      </c>
      <c r="C493" s="24">
        <v>842884</v>
      </c>
      <c r="D493" t="s">
        <v>1380</v>
      </c>
      <c r="E493" t="str">
        <f t="shared" ca="1" si="28"/>
        <v>6C22AS842608-40</v>
      </c>
      <c r="I493">
        <f t="shared" ca="1" si="29"/>
        <v>6</v>
      </c>
      <c r="J493" t="s">
        <v>689</v>
      </c>
      <c r="K493">
        <f t="shared" ca="1" si="30"/>
        <v>22</v>
      </c>
      <c r="L493" t="s">
        <v>425</v>
      </c>
      <c r="M493" t="s">
        <v>2350</v>
      </c>
      <c r="N493" s="10">
        <f t="shared" si="32"/>
        <v>842608</v>
      </c>
      <c r="O493" s="49" t="s">
        <v>2656</v>
      </c>
      <c r="P493">
        <f t="shared" ca="1" si="31"/>
        <v>40</v>
      </c>
    </row>
    <row r="494" spans="1:16">
      <c r="A494" s="1">
        <v>87169</v>
      </c>
      <c r="B494" s="46">
        <v>87173</v>
      </c>
      <c r="C494" s="24">
        <v>842884</v>
      </c>
      <c r="D494" t="s">
        <v>1380</v>
      </c>
      <c r="E494" t="str">
        <f t="shared" ca="1" si="28"/>
        <v>9D53CT842608-24</v>
      </c>
      <c r="I494">
        <f t="shared" ca="1" si="29"/>
        <v>9</v>
      </c>
      <c r="J494" t="s">
        <v>2658</v>
      </c>
      <c r="K494">
        <f t="shared" ca="1" si="30"/>
        <v>53</v>
      </c>
      <c r="L494" t="s">
        <v>689</v>
      </c>
      <c r="M494" t="s">
        <v>2657</v>
      </c>
      <c r="N494" s="10">
        <f t="shared" si="32"/>
        <v>842608</v>
      </c>
      <c r="O494" s="49" t="s">
        <v>2656</v>
      </c>
      <c r="P494">
        <f t="shared" ca="1" si="31"/>
        <v>24</v>
      </c>
    </row>
    <row r="495" spans="1:16">
      <c r="A495" s="1">
        <v>87828</v>
      </c>
      <c r="B495" s="46">
        <v>83584</v>
      </c>
      <c r="C495" s="24">
        <v>843425</v>
      </c>
      <c r="D495" t="s">
        <v>1385</v>
      </c>
      <c r="E495" t="str">
        <f t="shared" ca="1" si="28"/>
        <v>9B73AR842743-90</v>
      </c>
      <c r="I495">
        <f t="shared" ca="1" si="29"/>
        <v>9</v>
      </c>
      <c r="J495" t="s">
        <v>954</v>
      </c>
      <c r="K495">
        <f t="shared" ca="1" si="30"/>
        <v>73</v>
      </c>
      <c r="L495" t="s">
        <v>425</v>
      </c>
      <c r="M495" t="s">
        <v>1920</v>
      </c>
      <c r="N495" s="10">
        <f t="shared" si="32"/>
        <v>842743</v>
      </c>
      <c r="O495" s="49" t="s">
        <v>2656</v>
      </c>
      <c r="P495">
        <f t="shared" ca="1" si="31"/>
        <v>90</v>
      </c>
    </row>
    <row r="496" spans="1:16">
      <c r="A496" s="1">
        <v>87830</v>
      </c>
      <c r="B496" s="46">
        <v>83583</v>
      </c>
      <c r="C496" s="24">
        <v>843425</v>
      </c>
      <c r="D496" t="s">
        <v>1385</v>
      </c>
      <c r="E496" t="str">
        <f t="shared" ca="1" si="28"/>
        <v>2C47BS842743-41</v>
      </c>
      <c r="I496">
        <f t="shared" ca="1" si="29"/>
        <v>2</v>
      </c>
      <c r="J496" t="s">
        <v>689</v>
      </c>
      <c r="K496">
        <f t="shared" ca="1" si="30"/>
        <v>47</v>
      </c>
      <c r="L496" t="s">
        <v>954</v>
      </c>
      <c r="M496" t="s">
        <v>2350</v>
      </c>
      <c r="N496" s="10">
        <f t="shared" si="32"/>
        <v>842743</v>
      </c>
      <c r="O496" s="49" t="s">
        <v>2656</v>
      </c>
      <c r="P496">
        <f t="shared" ca="1" si="31"/>
        <v>41</v>
      </c>
    </row>
    <row r="497" spans="1:16">
      <c r="A497" s="1">
        <v>87829</v>
      </c>
      <c r="B497" s="46">
        <v>83582</v>
      </c>
      <c r="C497" s="24">
        <v>843425</v>
      </c>
      <c r="D497" t="s">
        <v>1385</v>
      </c>
      <c r="E497" t="str">
        <f t="shared" ca="1" si="28"/>
        <v>2D53GT842743-18</v>
      </c>
      <c r="I497">
        <f t="shared" ca="1" si="29"/>
        <v>2</v>
      </c>
      <c r="J497" t="s">
        <v>2658</v>
      </c>
      <c r="K497">
        <f t="shared" ca="1" si="30"/>
        <v>53</v>
      </c>
      <c r="L497" t="s">
        <v>2659</v>
      </c>
      <c r="M497" t="s">
        <v>2657</v>
      </c>
      <c r="N497" s="10">
        <f t="shared" si="32"/>
        <v>842743</v>
      </c>
      <c r="O497" s="49" t="s">
        <v>2656</v>
      </c>
      <c r="P497">
        <f t="shared" ca="1" si="31"/>
        <v>18</v>
      </c>
    </row>
    <row r="498" spans="1:16">
      <c r="A498" s="1">
        <v>88707</v>
      </c>
      <c r="B498" s="46">
        <v>87111</v>
      </c>
      <c r="C498" s="24">
        <v>843214</v>
      </c>
      <c r="D498" t="s">
        <v>1390</v>
      </c>
      <c r="E498" t="str">
        <f t="shared" ca="1" si="28"/>
        <v>9B12ER842741-40</v>
      </c>
      <c r="I498">
        <f t="shared" ca="1" si="29"/>
        <v>9</v>
      </c>
      <c r="J498" t="s">
        <v>954</v>
      </c>
      <c r="K498">
        <f t="shared" ca="1" si="30"/>
        <v>12</v>
      </c>
      <c r="L498" t="s">
        <v>804</v>
      </c>
      <c r="M498" t="s">
        <v>1920</v>
      </c>
      <c r="N498" s="10">
        <f t="shared" si="32"/>
        <v>842741</v>
      </c>
      <c r="O498" s="49" t="s">
        <v>2656</v>
      </c>
      <c r="P498">
        <f t="shared" ca="1" si="31"/>
        <v>40</v>
      </c>
    </row>
    <row r="499" spans="1:16">
      <c r="A499" s="1">
        <v>88708</v>
      </c>
      <c r="B499" s="46">
        <v>87112</v>
      </c>
      <c r="C499" s="24">
        <v>843214</v>
      </c>
      <c r="D499" t="s">
        <v>1390</v>
      </c>
      <c r="E499" t="str">
        <f t="shared" ca="1" si="28"/>
        <v>3C94HS842741-73</v>
      </c>
      <c r="I499">
        <f t="shared" ca="1" si="29"/>
        <v>3</v>
      </c>
      <c r="J499" t="s">
        <v>689</v>
      </c>
      <c r="K499">
        <f t="shared" ca="1" si="30"/>
        <v>94</v>
      </c>
      <c r="L499" t="s">
        <v>2660</v>
      </c>
      <c r="M499" t="s">
        <v>2350</v>
      </c>
      <c r="N499" s="10">
        <f t="shared" si="32"/>
        <v>842741</v>
      </c>
      <c r="O499" s="49" t="s">
        <v>2656</v>
      </c>
      <c r="P499">
        <f t="shared" ca="1" si="31"/>
        <v>73</v>
      </c>
    </row>
    <row r="500" spans="1:16">
      <c r="A500" s="1">
        <v>88709</v>
      </c>
      <c r="B500" s="46">
        <v>89009</v>
      </c>
      <c r="C500" s="24">
        <v>842264</v>
      </c>
      <c r="D500" t="s">
        <v>1395</v>
      </c>
      <c r="E500" t="str">
        <f t="shared" ca="1" si="28"/>
        <v>2D27IT842741-15</v>
      </c>
      <c r="I500">
        <f t="shared" ca="1" si="29"/>
        <v>2</v>
      </c>
      <c r="J500" t="s">
        <v>2658</v>
      </c>
      <c r="K500">
        <f t="shared" ca="1" si="30"/>
        <v>27</v>
      </c>
      <c r="L500" t="s">
        <v>304</v>
      </c>
      <c r="M500" t="s">
        <v>2657</v>
      </c>
      <c r="N500" s="10">
        <f t="shared" si="32"/>
        <v>842741</v>
      </c>
      <c r="O500" s="49" t="s">
        <v>2656</v>
      </c>
      <c r="P500">
        <f t="shared" ca="1" si="31"/>
        <v>15</v>
      </c>
    </row>
    <row r="501" spans="1:16">
      <c r="A501" s="1">
        <v>88747</v>
      </c>
      <c r="B501" s="46">
        <v>89010</v>
      </c>
      <c r="C501" s="24">
        <v>842264</v>
      </c>
      <c r="D501" t="s">
        <v>1395</v>
      </c>
      <c r="E501" t="str">
        <f t="shared" ca="1" si="28"/>
        <v>7B70AR843798-42</v>
      </c>
      <c r="I501">
        <f t="shared" ca="1" si="29"/>
        <v>7</v>
      </c>
      <c r="J501" t="s">
        <v>954</v>
      </c>
      <c r="K501">
        <f t="shared" ca="1" si="30"/>
        <v>70</v>
      </c>
      <c r="L501" t="s">
        <v>425</v>
      </c>
      <c r="M501" t="s">
        <v>1920</v>
      </c>
      <c r="N501" s="10">
        <f t="shared" si="32"/>
        <v>843798</v>
      </c>
      <c r="O501" s="49" t="s">
        <v>2656</v>
      </c>
      <c r="P501">
        <f t="shared" ca="1" si="31"/>
        <v>42</v>
      </c>
    </row>
    <row r="502" spans="1:16">
      <c r="A502" s="1">
        <v>88748</v>
      </c>
      <c r="B502" s="46">
        <v>89012</v>
      </c>
      <c r="C502" s="24">
        <v>842264</v>
      </c>
      <c r="D502" t="s">
        <v>1395</v>
      </c>
      <c r="E502" t="str">
        <f t="shared" ca="1" si="28"/>
        <v>1C73CS843798-21</v>
      </c>
      <c r="I502">
        <f t="shared" ca="1" si="29"/>
        <v>1</v>
      </c>
      <c r="J502" t="s">
        <v>689</v>
      </c>
      <c r="K502">
        <f t="shared" ca="1" si="30"/>
        <v>73</v>
      </c>
      <c r="L502" t="s">
        <v>689</v>
      </c>
      <c r="M502" t="s">
        <v>2350</v>
      </c>
      <c r="N502" s="10">
        <f t="shared" si="32"/>
        <v>843798</v>
      </c>
      <c r="O502" s="49" t="s">
        <v>2656</v>
      </c>
      <c r="P502">
        <f t="shared" ca="1" si="31"/>
        <v>21</v>
      </c>
    </row>
    <row r="503" spans="1:16">
      <c r="A503" s="1">
        <v>89297</v>
      </c>
      <c r="B503" s="46">
        <v>89011</v>
      </c>
      <c r="C503" s="24">
        <v>842264</v>
      </c>
      <c r="D503" t="s">
        <v>1395</v>
      </c>
      <c r="E503" t="str">
        <f t="shared" ca="1" si="28"/>
        <v>2D21IT845467-90</v>
      </c>
      <c r="I503">
        <f t="shared" ca="1" si="29"/>
        <v>2</v>
      </c>
      <c r="J503" t="s">
        <v>2658</v>
      </c>
      <c r="K503">
        <f t="shared" ca="1" si="30"/>
        <v>21</v>
      </c>
      <c r="L503" t="s">
        <v>304</v>
      </c>
      <c r="M503" t="s">
        <v>2657</v>
      </c>
      <c r="N503" s="10">
        <f t="shared" si="32"/>
        <v>845467</v>
      </c>
      <c r="O503" s="49" t="s">
        <v>2656</v>
      </c>
      <c r="P503">
        <f t="shared" ca="1" si="31"/>
        <v>90</v>
      </c>
    </row>
    <row r="504" spans="1:16">
      <c r="A504" s="1">
        <v>89298</v>
      </c>
      <c r="B504" s="46">
        <v>88267</v>
      </c>
      <c r="C504" s="24">
        <v>842722</v>
      </c>
      <c r="D504" t="s">
        <v>1401</v>
      </c>
      <c r="E504" t="str">
        <f t="shared" ca="1" si="28"/>
        <v>7B59BR845467-68</v>
      </c>
      <c r="I504">
        <f t="shared" ca="1" si="29"/>
        <v>7</v>
      </c>
      <c r="J504" t="s">
        <v>954</v>
      </c>
      <c r="K504">
        <f t="shared" ca="1" si="30"/>
        <v>59</v>
      </c>
      <c r="L504" t="s">
        <v>954</v>
      </c>
      <c r="M504" t="s">
        <v>1920</v>
      </c>
      <c r="N504" s="10">
        <f t="shared" si="32"/>
        <v>845467</v>
      </c>
      <c r="O504" s="49" t="s">
        <v>2656</v>
      </c>
      <c r="P504">
        <f t="shared" ca="1" si="31"/>
        <v>68</v>
      </c>
    </row>
    <row r="505" spans="1:16">
      <c r="A505" s="1">
        <v>89299</v>
      </c>
      <c r="B505" s="46">
        <v>88266</v>
      </c>
      <c r="C505" s="24">
        <v>842722</v>
      </c>
      <c r="D505" t="s">
        <v>1401</v>
      </c>
      <c r="E505" t="str">
        <f t="shared" ca="1" si="28"/>
        <v>3C11GS845467-99</v>
      </c>
      <c r="I505">
        <f t="shared" ca="1" si="29"/>
        <v>3</v>
      </c>
      <c r="J505" t="s">
        <v>689</v>
      </c>
      <c r="K505">
        <f t="shared" ca="1" si="30"/>
        <v>11</v>
      </c>
      <c r="L505" t="s">
        <v>2659</v>
      </c>
      <c r="M505" t="s">
        <v>2350</v>
      </c>
      <c r="N505" s="10">
        <f t="shared" si="32"/>
        <v>845467</v>
      </c>
      <c r="O505" s="49" t="s">
        <v>2656</v>
      </c>
      <c r="P505">
        <f t="shared" ca="1" si="31"/>
        <v>99</v>
      </c>
    </row>
    <row r="506" spans="1:16">
      <c r="A506" s="1">
        <v>89300</v>
      </c>
      <c r="B506" s="46">
        <v>88268</v>
      </c>
      <c r="C506" s="24">
        <v>842722</v>
      </c>
      <c r="D506" t="s">
        <v>1401</v>
      </c>
      <c r="E506" t="str">
        <f t="shared" ca="1" si="28"/>
        <v>1D18AT845467-18</v>
      </c>
      <c r="I506">
        <f t="shared" ca="1" si="29"/>
        <v>1</v>
      </c>
      <c r="J506" t="s">
        <v>2658</v>
      </c>
      <c r="K506">
        <f t="shared" ca="1" si="30"/>
        <v>18</v>
      </c>
      <c r="L506" t="s">
        <v>425</v>
      </c>
      <c r="M506" t="s">
        <v>2657</v>
      </c>
      <c r="N506" s="10">
        <f t="shared" si="32"/>
        <v>845467</v>
      </c>
      <c r="O506" s="49" t="s">
        <v>2656</v>
      </c>
      <c r="P506">
        <f t="shared" ca="1" si="31"/>
        <v>18</v>
      </c>
    </row>
    <row r="507" spans="1:16">
      <c r="A507" s="1">
        <v>83574</v>
      </c>
      <c r="B507" s="46">
        <v>88261</v>
      </c>
      <c r="C507" s="24">
        <v>842731</v>
      </c>
      <c r="D507" t="s">
        <v>1407</v>
      </c>
      <c r="E507" t="str">
        <f t="shared" ca="1" si="28"/>
        <v>7B11CR843430-89</v>
      </c>
      <c r="I507">
        <f t="shared" ca="1" si="29"/>
        <v>7</v>
      </c>
      <c r="J507" t="s">
        <v>954</v>
      </c>
      <c r="K507">
        <f t="shared" ca="1" si="30"/>
        <v>11</v>
      </c>
      <c r="L507" t="s">
        <v>689</v>
      </c>
      <c r="M507" t="s">
        <v>1920</v>
      </c>
      <c r="N507" s="10">
        <f t="shared" si="32"/>
        <v>843430</v>
      </c>
      <c r="O507" s="49" t="s">
        <v>2656</v>
      </c>
      <c r="P507">
        <f t="shared" ca="1" si="31"/>
        <v>89</v>
      </c>
    </row>
    <row r="508" spans="1:16">
      <c r="A508" s="1">
        <v>83575</v>
      </c>
      <c r="B508" s="46">
        <v>88262</v>
      </c>
      <c r="C508" s="24">
        <v>842731</v>
      </c>
      <c r="D508" t="s">
        <v>1407</v>
      </c>
      <c r="E508" t="str">
        <f t="shared" ca="1" si="28"/>
        <v>6C96DS843430-68</v>
      </c>
      <c r="I508">
        <f t="shared" ca="1" si="29"/>
        <v>6</v>
      </c>
      <c r="J508" t="s">
        <v>689</v>
      </c>
      <c r="K508">
        <f t="shared" ca="1" si="30"/>
        <v>96</v>
      </c>
      <c r="L508" t="s">
        <v>2658</v>
      </c>
      <c r="M508" t="s">
        <v>2350</v>
      </c>
      <c r="N508" s="10">
        <f t="shared" si="32"/>
        <v>843430</v>
      </c>
      <c r="O508" s="49" t="s">
        <v>2656</v>
      </c>
      <c r="P508">
        <f t="shared" ca="1" si="31"/>
        <v>68</v>
      </c>
    </row>
    <row r="509" spans="1:16">
      <c r="A509" s="1">
        <v>83573</v>
      </c>
      <c r="B509" s="46">
        <v>88263</v>
      </c>
      <c r="C509" s="24">
        <v>842731</v>
      </c>
      <c r="D509" t="s">
        <v>1407</v>
      </c>
      <c r="E509" t="str">
        <f t="shared" ca="1" si="28"/>
        <v>6D61ET843430-77</v>
      </c>
      <c r="I509">
        <f t="shared" ca="1" si="29"/>
        <v>6</v>
      </c>
      <c r="J509" t="s">
        <v>2658</v>
      </c>
      <c r="K509">
        <f t="shared" ca="1" si="30"/>
        <v>61</v>
      </c>
      <c r="L509" t="s">
        <v>804</v>
      </c>
      <c r="M509" t="s">
        <v>2657</v>
      </c>
      <c r="N509" s="10">
        <f t="shared" si="32"/>
        <v>843430</v>
      </c>
      <c r="O509" s="49" t="s">
        <v>2656</v>
      </c>
      <c r="P509">
        <f t="shared" ca="1" si="31"/>
        <v>77</v>
      </c>
    </row>
    <row r="510" spans="1:16">
      <c r="A510" s="1">
        <v>87158</v>
      </c>
      <c r="B510" s="46">
        <v>89189</v>
      </c>
      <c r="C510" s="24">
        <v>845448</v>
      </c>
      <c r="D510" t="s">
        <v>1411</v>
      </c>
      <c r="E510" t="str">
        <f t="shared" ca="1" si="28"/>
        <v>9B88CR842913-78</v>
      </c>
      <c r="I510">
        <f t="shared" ca="1" si="29"/>
        <v>9</v>
      </c>
      <c r="J510" t="s">
        <v>954</v>
      </c>
      <c r="K510">
        <f t="shared" ca="1" si="30"/>
        <v>88</v>
      </c>
      <c r="L510" t="s">
        <v>689</v>
      </c>
      <c r="M510" t="s">
        <v>1920</v>
      </c>
      <c r="N510" s="10">
        <f t="shared" si="32"/>
        <v>842913</v>
      </c>
      <c r="O510" s="49" t="s">
        <v>2656</v>
      </c>
      <c r="P510">
        <f t="shared" ca="1" si="31"/>
        <v>78</v>
      </c>
    </row>
    <row r="511" spans="1:16">
      <c r="A511" s="1">
        <v>87159</v>
      </c>
      <c r="B511" s="46">
        <v>89190</v>
      </c>
      <c r="C511" s="24">
        <v>845448</v>
      </c>
      <c r="D511" t="s">
        <v>1411</v>
      </c>
      <c r="E511" t="str">
        <f t="shared" ca="1" si="28"/>
        <v>3C87AS842913-87</v>
      </c>
      <c r="I511">
        <f t="shared" ca="1" si="29"/>
        <v>3</v>
      </c>
      <c r="J511" t="s">
        <v>689</v>
      </c>
      <c r="K511">
        <f t="shared" ca="1" si="30"/>
        <v>87</v>
      </c>
      <c r="L511" t="s">
        <v>425</v>
      </c>
      <c r="M511" t="s">
        <v>2350</v>
      </c>
      <c r="N511" s="10">
        <f t="shared" si="32"/>
        <v>842913</v>
      </c>
      <c r="O511" s="49" t="s">
        <v>2656</v>
      </c>
      <c r="P511">
        <f t="shared" ca="1" si="31"/>
        <v>87</v>
      </c>
    </row>
    <row r="512" spans="1:16">
      <c r="A512" s="1">
        <v>87116</v>
      </c>
      <c r="B512" s="46">
        <v>89191</v>
      </c>
      <c r="C512" s="24">
        <v>845448</v>
      </c>
      <c r="D512" t="s">
        <v>1411</v>
      </c>
      <c r="E512" t="str">
        <f t="shared" ca="1" si="28"/>
        <v>5D22DT842423-92</v>
      </c>
      <c r="I512">
        <f t="shared" ca="1" si="29"/>
        <v>5</v>
      </c>
      <c r="J512" t="s">
        <v>2658</v>
      </c>
      <c r="K512">
        <f t="shared" ca="1" si="30"/>
        <v>22</v>
      </c>
      <c r="L512" t="s">
        <v>2658</v>
      </c>
      <c r="M512" t="s">
        <v>2657</v>
      </c>
      <c r="N512" s="10">
        <f t="shared" ref="N512:N543" si="33">VLOOKUP(A512,B512:C1176,2,FALSE)</f>
        <v>842423</v>
      </c>
      <c r="O512" s="49" t="s">
        <v>2656</v>
      </c>
      <c r="P512">
        <f t="shared" ca="1" si="31"/>
        <v>92</v>
      </c>
    </row>
    <row r="513" spans="1:16">
      <c r="A513" s="1">
        <v>87117</v>
      </c>
      <c r="B513" s="46">
        <v>89192</v>
      </c>
      <c r="C513" s="24">
        <v>845448</v>
      </c>
      <c r="D513" t="s">
        <v>1411</v>
      </c>
      <c r="E513" t="str">
        <f t="shared" ca="1" si="28"/>
        <v>8B28IR842423-50</v>
      </c>
      <c r="I513">
        <f t="shared" ca="1" si="29"/>
        <v>8</v>
      </c>
      <c r="J513" t="s">
        <v>954</v>
      </c>
      <c r="K513">
        <f t="shared" ca="1" si="30"/>
        <v>28</v>
      </c>
      <c r="L513" t="s">
        <v>304</v>
      </c>
      <c r="M513" t="s">
        <v>1920</v>
      </c>
      <c r="N513" s="10">
        <f t="shared" si="33"/>
        <v>842423</v>
      </c>
      <c r="O513" s="49" t="s">
        <v>2656</v>
      </c>
      <c r="P513">
        <f t="shared" ca="1" si="31"/>
        <v>50</v>
      </c>
    </row>
    <row r="514" spans="1:16">
      <c r="A514" s="1">
        <v>88182</v>
      </c>
      <c r="B514" s="46">
        <v>90763</v>
      </c>
      <c r="C514" s="24">
        <v>845936</v>
      </c>
      <c r="D514" t="s">
        <v>1415</v>
      </c>
      <c r="E514" t="str">
        <f t="shared" ca="1" si="28"/>
        <v>5C65CS842757-39</v>
      </c>
      <c r="I514">
        <f t="shared" ca="1" si="29"/>
        <v>5</v>
      </c>
      <c r="J514" t="s">
        <v>689</v>
      </c>
      <c r="K514">
        <f t="shared" ca="1" si="30"/>
        <v>65</v>
      </c>
      <c r="L514" t="s">
        <v>689</v>
      </c>
      <c r="M514" t="s">
        <v>2350</v>
      </c>
      <c r="N514" s="10">
        <f t="shared" si="33"/>
        <v>842757</v>
      </c>
      <c r="O514" s="49" t="s">
        <v>2656</v>
      </c>
      <c r="P514">
        <f t="shared" ca="1" si="31"/>
        <v>39</v>
      </c>
    </row>
    <row r="515" spans="1:16">
      <c r="A515" s="1">
        <v>88181</v>
      </c>
      <c r="B515" s="46">
        <v>90764</v>
      </c>
      <c r="C515" s="24">
        <v>845936</v>
      </c>
      <c r="D515" t="s">
        <v>1415</v>
      </c>
      <c r="E515" t="str">
        <f t="shared" ca="1" si="28"/>
        <v>7D83GT842757-14</v>
      </c>
      <c r="F515" s="10"/>
      <c r="I515">
        <f t="shared" ca="1" si="29"/>
        <v>7</v>
      </c>
      <c r="J515" t="s">
        <v>2658</v>
      </c>
      <c r="K515">
        <f t="shared" ca="1" si="30"/>
        <v>83</v>
      </c>
      <c r="L515" t="s">
        <v>2659</v>
      </c>
      <c r="M515" t="s">
        <v>2657</v>
      </c>
      <c r="N515" s="10">
        <f t="shared" si="33"/>
        <v>842757</v>
      </c>
      <c r="O515" s="49" t="s">
        <v>2656</v>
      </c>
      <c r="P515">
        <f t="shared" ca="1" si="31"/>
        <v>14</v>
      </c>
    </row>
    <row r="516" spans="1:16">
      <c r="A516" s="1">
        <v>88180</v>
      </c>
      <c r="B516" s="46">
        <v>90765</v>
      </c>
      <c r="C516" s="24">
        <v>845936</v>
      </c>
      <c r="D516" t="s">
        <v>1415</v>
      </c>
      <c r="E516" t="str">
        <f t="shared" ca="1" si="28"/>
        <v>3B91CR842757-46</v>
      </c>
      <c r="F516" s="10"/>
      <c r="I516">
        <f t="shared" ca="1" si="29"/>
        <v>3</v>
      </c>
      <c r="J516" t="s">
        <v>954</v>
      </c>
      <c r="K516">
        <f t="shared" ca="1" si="30"/>
        <v>91</v>
      </c>
      <c r="L516" t="s">
        <v>689</v>
      </c>
      <c r="M516" t="s">
        <v>1920</v>
      </c>
      <c r="N516" s="10">
        <f t="shared" si="33"/>
        <v>842757</v>
      </c>
      <c r="O516" s="49" t="s">
        <v>2656</v>
      </c>
      <c r="P516">
        <f t="shared" ca="1" si="31"/>
        <v>46</v>
      </c>
    </row>
    <row r="517" spans="1:16">
      <c r="A517" s="1">
        <v>88256</v>
      </c>
      <c r="B517" s="46">
        <v>89406</v>
      </c>
      <c r="C517" s="24">
        <v>845636</v>
      </c>
      <c r="D517" t="s">
        <v>1415</v>
      </c>
      <c r="E517" t="str">
        <f t="shared" ca="1" si="28"/>
        <v>6C49DS842752-61</v>
      </c>
      <c r="F517" s="10"/>
      <c r="I517">
        <f t="shared" ca="1" si="29"/>
        <v>6</v>
      </c>
      <c r="J517" t="s">
        <v>689</v>
      </c>
      <c r="K517">
        <f t="shared" ca="1" si="30"/>
        <v>49</v>
      </c>
      <c r="L517" t="s">
        <v>2658</v>
      </c>
      <c r="M517" t="s">
        <v>2350</v>
      </c>
      <c r="N517" s="10">
        <f t="shared" si="33"/>
        <v>842752</v>
      </c>
      <c r="O517" s="49" t="s">
        <v>2656</v>
      </c>
      <c r="P517">
        <f t="shared" ca="1" si="31"/>
        <v>61</v>
      </c>
    </row>
    <row r="518" spans="1:16">
      <c r="A518" s="1">
        <v>88258</v>
      </c>
      <c r="B518" s="46">
        <v>89407</v>
      </c>
      <c r="C518" s="24">
        <v>845636</v>
      </c>
      <c r="D518" t="s">
        <v>1415</v>
      </c>
      <c r="E518" t="str">
        <f t="shared" ca="1" si="28"/>
        <v>9D74DT842752-67</v>
      </c>
      <c r="I518">
        <f t="shared" ca="1" si="29"/>
        <v>9</v>
      </c>
      <c r="J518" t="s">
        <v>2658</v>
      </c>
      <c r="K518">
        <f t="shared" ca="1" si="30"/>
        <v>74</v>
      </c>
      <c r="L518" t="s">
        <v>2658</v>
      </c>
      <c r="M518" t="s">
        <v>2657</v>
      </c>
      <c r="N518" s="10">
        <f t="shared" si="33"/>
        <v>842752</v>
      </c>
      <c r="O518" s="49" t="s">
        <v>2656</v>
      </c>
      <c r="P518">
        <f t="shared" ca="1" si="31"/>
        <v>67</v>
      </c>
    </row>
    <row r="519" spans="1:16">
      <c r="A519" s="1">
        <v>88257</v>
      </c>
      <c r="B519" s="46">
        <v>89408</v>
      </c>
      <c r="C519" s="24">
        <v>845636</v>
      </c>
      <c r="D519" t="s">
        <v>1415</v>
      </c>
      <c r="E519" t="str">
        <f t="shared" ref="E519:E582" ca="1" si="34">CONCATENATE(I519,J519,K519,L519,M519,N519,O519,P519)</f>
        <v>3B29CR842752-27</v>
      </c>
      <c r="I519">
        <f t="shared" ref="I519:I582" ca="1" si="35">RANDBETWEEN(1,9)</f>
        <v>3</v>
      </c>
      <c r="J519" t="s">
        <v>954</v>
      </c>
      <c r="K519">
        <f t="shared" ref="K519:K582" ca="1" si="36">RANDBETWEEN(10,99)</f>
        <v>29</v>
      </c>
      <c r="L519" t="s">
        <v>689</v>
      </c>
      <c r="M519" t="s">
        <v>1920</v>
      </c>
      <c r="N519" s="10">
        <f t="shared" si="33"/>
        <v>842752</v>
      </c>
      <c r="O519" s="49" t="s">
        <v>2656</v>
      </c>
      <c r="P519">
        <f t="shared" ref="P519:P582" ca="1" si="37">RANDBETWEEN(10,99)</f>
        <v>27</v>
      </c>
    </row>
    <row r="520" spans="1:16">
      <c r="A520" s="1">
        <v>90732</v>
      </c>
      <c r="B520" s="46">
        <v>88284</v>
      </c>
      <c r="C520" s="24">
        <v>842727</v>
      </c>
      <c r="D520" t="s">
        <v>1421</v>
      </c>
      <c r="E520" t="str">
        <f t="shared" ca="1" si="34"/>
        <v>1C64FS844309-96</v>
      </c>
      <c r="I520">
        <f t="shared" ca="1" si="35"/>
        <v>1</v>
      </c>
      <c r="J520" t="s">
        <v>689</v>
      </c>
      <c r="K520">
        <f t="shared" ca="1" si="36"/>
        <v>64</v>
      </c>
      <c r="L520" t="s">
        <v>2661</v>
      </c>
      <c r="M520" t="s">
        <v>2350</v>
      </c>
      <c r="N520" s="10">
        <f t="shared" si="33"/>
        <v>844309</v>
      </c>
      <c r="O520" s="49" t="s">
        <v>2656</v>
      </c>
      <c r="P520">
        <f t="shared" ca="1" si="37"/>
        <v>96</v>
      </c>
    </row>
    <row r="521" spans="1:16">
      <c r="A521" s="1">
        <v>90731</v>
      </c>
      <c r="B521" s="46">
        <v>88285</v>
      </c>
      <c r="C521" s="24">
        <v>842727</v>
      </c>
      <c r="D521" t="s">
        <v>1421</v>
      </c>
      <c r="E521" t="str">
        <f t="shared" ca="1" si="34"/>
        <v>2D75GT844309-93</v>
      </c>
      <c r="I521">
        <f t="shared" ca="1" si="35"/>
        <v>2</v>
      </c>
      <c r="J521" t="s">
        <v>2658</v>
      </c>
      <c r="K521">
        <f t="shared" ca="1" si="36"/>
        <v>75</v>
      </c>
      <c r="L521" t="s">
        <v>2659</v>
      </c>
      <c r="M521" t="s">
        <v>2657</v>
      </c>
      <c r="N521" s="10">
        <f t="shared" si="33"/>
        <v>844309</v>
      </c>
      <c r="O521" s="49" t="s">
        <v>2656</v>
      </c>
      <c r="P521">
        <f t="shared" ca="1" si="37"/>
        <v>93</v>
      </c>
    </row>
    <row r="522" spans="1:16">
      <c r="A522" s="1">
        <v>90733</v>
      </c>
      <c r="B522" s="46">
        <v>88286</v>
      </c>
      <c r="C522" s="24">
        <v>842727</v>
      </c>
      <c r="D522" t="s">
        <v>1421</v>
      </c>
      <c r="E522" t="str">
        <f t="shared" ca="1" si="34"/>
        <v>2B52AR844309-90</v>
      </c>
      <c r="I522">
        <f t="shared" ca="1" si="35"/>
        <v>2</v>
      </c>
      <c r="J522" t="s">
        <v>954</v>
      </c>
      <c r="K522">
        <f t="shared" ca="1" si="36"/>
        <v>52</v>
      </c>
      <c r="L522" t="s">
        <v>425</v>
      </c>
      <c r="M522" t="s">
        <v>1920</v>
      </c>
      <c r="N522" s="10">
        <f t="shared" si="33"/>
        <v>844309</v>
      </c>
      <c r="O522" s="49" t="s">
        <v>2656</v>
      </c>
      <c r="P522">
        <f t="shared" ca="1" si="37"/>
        <v>90</v>
      </c>
    </row>
    <row r="523" spans="1:16">
      <c r="A523" s="1">
        <v>90735</v>
      </c>
      <c r="B523" s="46">
        <v>85367</v>
      </c>
      <c r="C523" s="24">
        <v>843323</v>
      </c>
      <c r="D523" t="s">
        <v>1426</v>
      </c>
      <c r="E523" t="str">
        <f t="shared" ca="1" si="34"/>
        <v>5C41FS844309-60</v>
      </c>
      <c r="I523">
        <f t="shared" ca="1" si="35"/>
        <v>5</v>
      </c>
      <c r="J523" t="s">
        <v>689</v>
      </c>
      <c r="K523">
        <f t="shared" ca="1" si="36"/>
        <v>41</v>
      </c>
      <c r="L523" t="s">
        <v>2661</v>
      </c>
      <c r="M523" t="s">
        <v>2350</v>
      </c>
      <c r="N523" s="10">
        <f t="shared" si="33"/>
        <v>844309</v>
      </c>
      <c r="O523" s="49" t="s">
        <v>2656</v>
      </c>
      <c r="P523">
        <f t="shared" ca="1" si="37"/>
        <v>60</v>
      </c>
    </row>
    <row r="524" spans="1:16">
      <c r="A524" s="1">
        <v>90734</v>
      </c>
      <c r="B524" s="46">
        <v>85366</v>
      </c>
      <c r="C524" s="24">
        <v>843323</v>
      </c>
      <c r="D524" t="s">
        <v>1426</v>
      </c>
      <c r="E524" t="str">
        <f t="shared" ca="1" si="34"/>
        <v>1D51ET844309-43</v>
      </c>
      <c r="I524">
        <f t="shared" ca="1" si="35"/>
        <v>1</v>
      </c>
      <c r="J524" t="s">
        <v>2658</v>
      </c>
      <c r="K524">
        <f t="shared" ca="1" si="36"/>
        <v>51</v>
      </c>
      <c r="L524" t="s">
        <v>804</v>
      </c>
      <c r="M524" t="s">
        <v>2657</v>
      </c>
      <c r="N524" s="10">
        <f t="shared" si="33"/>
        <v>844309</v>
      </c>
      <c r="O524" s="49" t="s">
        <v>2656</v>
      </c>
      <c r="P524">
        <f t="shared" ca="1" si="37"/>
        <v>43</v>
      </c>
    </row>
    <row r="525" spans="1:16">
      <c r="A525" s="1">
        <v>90685</v>
      </c>
      <c r="B525" s="46">
        <v>85364</v>
      </c>
      <c r="C525" s="24">
        <v>843323</v>
      </c>
      <c r="D525" t="s">
        <v>1426</v>
      </c>
      <c r="E525" t="str">
        <f t="shared" ca="1" si="34"/>
        <v>8B35IR845555-42</v>
      </c>
      <c r="I525">
        <f t="shared" ca="1" si="35"/>
        <v>8</v>
      </c>
      <c r="J525" t="s">
        <v>954</v>
      </c>
      <c r="K525">
        <f t="shared" ca="1" si="36"/>
        <v>35</v>
      </c>
      <c r="L525" t="s">
        <v>304</v>
      </c>
      <c r="M525" t="s">
        <v>1920</v>
      </c>
      <c r="N525" s="10">
        <f t="shared" si="33"/>
        <v>845555</v>
      </c>
      <c r="O525" s="49" t="s">
        <v>2656</v>
      </c>
      <c r="P525">
        <f t="shared" ca="1" si="37"/>
        <v>42</v>
      </c>
    </row>
    <row r="526" spans="1:16">
      <c r="A526" s="1">
        <v>90686</v>
      </c>
      <c r="B526" s="46">
        <v>85365</v>
      </c>
      <c r="C526" s="24">
        <v>843323</v>
      </c>
      <c r="D526" t="s">
        <v>1426</v>
      </c>
      <c r="E526" t="str">
        <f t="shared" ca="1" si="34"/>
        <v>6C89ES845555-83</v>
      </c>
      <c r="I526">
        <f t="shared" ca="1" si="35"/>
        <v>6</v>
      </c>
      <c r="J526" t="s">
        <v>689</v>
      </c>
      <c r="K526">
        <f t="shared" ca="1" si="36"/>
        <v>89</v>
      </c>
      <c r="L526" t="s">
        <v>804</v>
      </c>
      <c r="M526" t="s">
        <v>2350</v>
      </c>
      <c r="N526" s="10">
        <f t="shared" si="33"/>
        <v>845555</v>
      </c>
      <c r="O526" s="49" t="s">
        <v>2656</v>
      </c>
      <c r="P526">
        <f t="shared" ca="1" si="37"/>
        <v>83</v>
      </c>
    </row>
    <row r="527" spans="1:16">
      <c r="A527" s="1">
        <v>85688</v>
      </c>
      <c r="B527" s="46">
        <v>89941</v>
      </c>
      <c r="C527" s="24">
        <v>843823</v>
      </c>
      <c r="D527" t="s">
        <v>1426</v>
      </c>
      <c r="E527" t="str">
        <f t="shared" ca="1" si="34"/>
        <v>6D42GT844497-99</v>
      </c>
      <c r="I527">
        <f t="shared" ca="1" si="35"/>
        <v>6</v>
      </c>
      <c r="J527" t="s">
        <v>2658</v>
      </c>
      <c r="K527">
        <f t="shared" ca="1" si="36"/>
        <v>42</v>
      </c>
      <c r="L527" t="s">
        <v>2659</v>
      </c>
      <c r="M527" t="s">
        <v>2657</v>
      </c>
      <c r="N527" s="10">
        <f t="shared" si="33"/>
        <v>844497</v>
      </c>
      <c r="O527" s="49" t="s">
        <v>2656</v>
      </c>
      <c r="P527">
        <f t="shared" ca="1" si="37"/>
        <v>99</v>
      </c>
    </row>
    <row r="528" spans="1:16">
      <c r="A528" s="1">
        <v>85689</v>
      </c>
      <c r="B528" s="46">
        <v>89942</v>
      </c>
      <c r="C528" s="24">
        <v>843823</v>
      </c>
      <c r="D528" t="s">
        <v>1426</v>
      </c>
      <c r="E528" t="str">
        <f t="shared" ca="1" si="34"/>
        <v>6B12DR844497-96</v>
      </c>
      <c r="I528">
        <f t="shared" ca="1" si="35"/>
        <v>6</v>
      </c>
      <c r="J528" t="s">
        <v>954</v>
      </c>
      <c r="K528">
        <f t="shared" ca="1" si="36"/>
        <v>12</v>
      </c>
      <c r="L528" t="s">
        <v>2658</v>
      </c>
      <c r="M528" t="s">
        <v>1920</v>
      </c>
      <c r="N528" s="10">
        <f t="shared" si="33"/>
        <v>844497</v>
      </c>
      <c r="O528" s="49" t="s">
        <v>2656</v>
      </c>
      <c r="P528">
        <f t="shared" ca="1" si="37"/>
        <v>96</v>
      </c>
    </row>
    <row r="529" spans="1:16">
      <c r="A529" s="1">
        <v>85690</v>
      </c>
      <c r="B529" s="46">
        <v>89943</v>
      </c>
      <c r="C529" s="24">
        <v>843823</v>
      </c>
      <c r="D529" t="s">
        <v>1426</v>
      </c>
      <c r="E529" t="str">
        <f t="shared" ca="1" si="34"/>
        <v>8C93DS844497-88</v>
      </c>
      <c r="I529">
        <f t="shared" ca="1" si="35"/>
        <v>8</v>
      </c>
      <c r="J529" t="s">
        <v>689</v>
      </c>
      <c r="K529">
        <f t="shared" ca="1" si="36"/>
        <v>93</v>
      </c>
      <c r="L529" t="s">
        <v>2658</v>
      </c>
      <c r="M529" t="s">
        <v>2350</v>
      </c>
      <c r="N529" s="10">
        <f t="shared" si="33"/>
        <v>844497</v>
      </c>
      <c r="O529" s="49" t="s">
        <v>2656</v>
      </c>
      <c r="P529">
        <f t="shared" ca="1" si="37"/>
        <v>88</v>
      </c>
    </row>
    <row r="530" spans="1:16">
      <c r="A530" s="1">
        <v>89612</v>
      </c>
      <c r="B530" s="46">
        <v>78748</v>
      </c>
      <c r="C530" s="24">
        <v>839924</v>
      </c>
      <c r="D530" t="s">
        <v>1437</v>
      </c>
      <c r="E530" t="str">
        <f t="shared" ca="1" si="34"/>
        <v>9D47HT844992-98</v>
      </c>
      <c r="I530">
        <f t="shared" ca="1" si="35"/>
        <v>9</v>
      </c>
      <c r="J530" t="s">
        <v>2658</v>
      </c>
      <c r="K530">
        <f t="shared" ca="1" si="36"/>
        <v>47</v>
      </c>
      <c r="L530" t="s">
        <v>2660</v>
      </c>
      <c r="M530" t="s">
        <v>2657</v>
      </c>
      <c r="N530" s="10">
        <f t="shared" si="33"/>
        <v>844992</v>
      </c>
      <c r="O530" s="49" t="s">
        <v>2656</v>
      </c>
      <c r="P530">
        <f t="shared" ca="1" si="37"/>
        <v>98</v>
      </c>
    </row>
    <row r="531" spans="1:16">
      <c r="A531" s="1">
        <v>89613</v>
      </c>
      <c r="B531" s="46">
        <v>78749</v>
      </c>
      <c r="C531" s="24">
        <v>839924</v>
      </c>
      <c r="D531" t="s">
        <v>1437</v>
      </c>
      <c r="E531" t="str">
        <f t="shared" ca="1" si="34"/>
        <v>2B15DR844992-64</v>
      </c>
      <c r="I531">
        <f t="shared" ca="1" si="35"/>
        <v>2</v>
      </c>
      <c r="J531" t="s">
        <v>954</v>
      </c>
      <c r="K531">
        <f t="shared" ca="1" si="36"/>
        <v>15</v>
      </c>
      <c r="L531" t="s">
        <v>2658</v>
      </c>
      <c r="M531" t="s">
        <v>1920</v>
      </c>
      <c r="N531" s="10">
        <f t="shared" si="33"/>
        <v>844992</v>
      </c>
      <c r="O531" s="49" t="s">
        <v>2656</v>
      </c>
      <c r="P531">
        <f t="shared" ca="1" si="37"/>
        <v>64</v>
      </c>
    </row>
    <row r="532" spans="1:16">
      <c r="A532" s="1">
        <v>89614</v>
      </c>
      <c r="B532" s="46">
        <v>78747</v>
      </c>
      <c r="C532" s="24">
        <v>839924</v>
      </c>
      <c r="D532" t="s">
        <v>1437</v>
      </c>
      <c r="E532" t="str">
        <f t="shared" ca="1" si="34"/>
        <v>5C57IS844992-69</v>
      </c>
      <c r="I532">
        <f t="shared" ca="1" si="35"/>
        <v>5</v>
      </c>
      <c r="J532" t="s">
        <v>689</v>
      </c>
      <c r="K532">
        <f t="shared" ca="1" si="36"/>
        <v>57</v>
      </c>
      <c r="L532" t="s">
        <v>304</v>
      </c>
      <c r="M532" t="s">
        <v>2350</v>
      </c>
      <c r="N532" s="10">
        <f t="shared" si="33"/>
        <v>844992</v>
      </c>
      <c r="O532" s="49" t="s">
        <v>2656</v>
      </c>
      <c r="P532">
        <f t="shared" ca="1" si="37"/>
        <v>69</v>
      </c>
    </row>
    <row r="533" spans="1:16">
      <c r="A533" s="1">
        <v>85713</v>
      </c>
      <c r="B533" s="46">
        <v>87168</v>
      </c>
      <c r="C533" s="24">
        <v>842608</v>
      </c>
      <c r="D533" t="s">
        <v>1442</v>
      </c>
      <c r="E533" t="str">
        <f t="shared" ca="1" si="34"/>
        <v>2D50FT843361-87</v>
      </c>
      <c r="I533">
        <f t="shared" ca="1" si="35"/>
        <v>2</v>
      </c>
      <c r="J533" t="s">
        <v>2658</v>
      </c>
      <c r="K533">
        <f t="shared" ca="1" si="36"/>
        <v>50</v>
      </c>
      <c r="L533" t="s">
        <v>2661</v>
      </c>
      <c r="M533" t="s">
        <v>2657</v>
      </c>
      <c r="N533" s="10">
        <f t="shared" si="33"/>
        <v>843361</v>
      </c>
      <c r="O533" s="49" t="s">
        <v>2656</v>
      </c>
      <c r="P533">
        <f t="shared" ca="1" si="37"/>
        <v>87</v>
      </c>
    </row>
    <row r="534" spans="1:16">
      <c r="A534" s="1">
        <v>85715</v>
      </c>
      <c r="B534" s="46">
        <v>87169</v>
      </c>
      <c r="C534" s="24">
        <v>842608</v>
      </c>
      <c r="D534" t="s">
        <v>1442</v>
      </c>
      <c r="E534" t="str">
        <f t="shared" ca="1" si="34"/>
        <v>7B30FR843361-60</v>
      </c>
      <c r="I534">
        <f t="shared" ca="1" si="35"/>
        <v>7</v>
      </c>
      <c r="J534" t="s">
        <v>954</v>
      </c>
      <c r="K534">
        <f t="shared" ca="1" si="36"/>
        <v>30</v>
      </c>
      <c r="L534" t="s">
        <v>2661</v>
      </c>
      <c r="M534" t="s">
        <v>1920</v>
      </c>
      <c r="N534" s="10">
        <f t="shared" si="33"/>
        <v>843361</v>
      </c>
      <c r="O534" s="49" t="s">
        <v>2656</v>
      </c>
      <c r="P534">
        <f t="shared" ca="1" si="37"/>
        <v>60</v>
      </c>
    </row>
    <row r="535" spans="1:16">
      <c r="A535" s="1">
        <v>85714</v>
      </c>
      <c r="B535" s="46">
        <v>87828</v>
      </c>
      <c r="C535" s="24">
        <v>842743</v>
      </c>
      <c r="D535" t="s">
        <v>1448</v>
      </c>
      <c r="E535" t="str">
        <f t="shared" ca="1" si="34"/>
        <v>8C97CS843361-79</v>
      </c>
      <c r="I535">
        <f t="shared" ca="1" si="35"/>
        <v>8</v>
      </c>
      <c r="J535" t="s">
        <v>689</v>
      </c>
      <c r="K535">
        <f t="shared" ca="1" si="36"/>
        <v>97</v>
      </c>
      <c r="L535" t="s">
        <v>689</v>
      </c>
      <c r="M535" t="s">
        <v>2350</v>
      </c>
      <c r="N535" s="10">
        <f t="shared" si="33"/>
        <v>843361</v>
      </c>
      <c r="O535" s="49" t="s">
        <v>2656</v>
      </c>
      <c r="P535">
        <f t="shared" ca="1" si="37"/>
        <v>79</v>
      </c>
    </row>
    <row r="536" spans="1:16">
      <c r="A536" s="1">
        <v>90655</v>
      </c>
      <c r="B536" s="46">
        <v>87830</v>
      </c>
      <c r="C536" s="24">
        <v>842743</v>
      </c>
      <c r="D536" t="s">
        <v>1448</v>
      </c>
      <c r="E536" t="str">
        <f t="shared" ca="1" si="34"/>
        <v>5D80ET844106-87</v>
      </c>
      <c r="I536">
        <f t="shared" ca="1" si="35"/>
        <v>5</v>
      </c>
      <c r="J536" t="s">
        <v>2658</v>
      </c>
      <c r="K536">
        <f t="shared" ca="1" si="36"/>
        <v>80</v>
      </c>
      <c r="L536" t="s">
        <v>804</v>
      </c>
      <c r="M536" t="s">
        <v>2657</v>
      </c>
      <c r="N536" s="10">
        <f t="shared" si="33"/>
        <v>844106</v>
      </c>
      <c r="O536" s="49" t="s">
        <v>2656</v>
      </c>
      <c r="P536">
        <f t="shared" ca="1" si="37"/>
        <v>87</v>
      </c>
    </row>
    <row r="537" spans="1:16">
      <c r="A537" s="1">
        <v>90654</v>
      </c>
      <c r="B537" s="46">
        <v>87829</v>
      </c>
      <c r="C537" s="24">
        <v>842743</v>
      </c>
      <c r="D537" t="s">
        <v>1448</v>
      </c>
      <c r="E537" t="str">
        <f t="shared" ca="1" si="34"/>
        <v>3B52HR844106-31</v>
      </c>
      <c r="I537">
        <f t="shared" ca="1" si="35"/>
        <v>3</v>
      </c>
      <c r="J537" t="s">
        <v>954</v>
      </c>
      <c r="K537">
        <f t="shared" ca="1" si="36"/>
        <v>52</v>
      </c>
      <c r="L537" t="s">
        <v>2660</v>
      </c>
      <c r="M537" t="s">
        <v>1920</v>
      </c>
      <c r="N537" s="10">
        <f t="shared" si="33"/>
        <v>844106</v>
      </c>
      <c r="O537" s="49" t="s">
        <v>2656</v>
      </c>
      <c r="P537">
        <f t="shared" ca="1" si="37"/>
        <v>31</v>
      </c>
    </row>
    <row r="538" spans="1:16">
      <c r="A538" s="1">
        <v>90653</v>
      </c>
      <c r="B538" s="46">
        <v>88707</v>
      </c>
      <c r="C538" s="24">
        <v>842741</v>
      </c>
      <c r="D538" t="s">
        <v>1453</v>
      </c>
      <c r="E538" t="str">
        <f t="shared" ca="1" si="34"/>
        <v>7C85IS844106-38</v>
      </c>
      <c r="I538">
        <f t="shared" ca="1" si="35"/>
        <v>7</v>
      </c>
      <c r="J538" t="s">
        <v>689</v>
      </c>
      <c r="K538">
        <f t="shared" ca="1" si="36"/>
        <v>85</v>
      </c>
      <c r="L538" t="s">
        <v>304</v>
      </c>
      <c r="M538" t="s">
        <v>2350</v>
      </c>
      <c r="N538" s="10">
        <f t="shared" si="33"/>
        <v>844106</v>
      </c>
      <c r="O538" s="49" t="s">
        <v>2656</v>
      </c>
      <c r="P538">
        <f t="shared" ca="1" si="37"/>
        <v>38</v>
      </c>
    </row>
    <row r="539" spans="1:16">
      <c r="A539" s="1">
        <v>90713</v>
      </c>
      <c r="B539" s="46">
        <v>88708</v>
      </c>
      <c r="C539" s="24">
        <v>842741</v>
      </c>
      <c r="D539" t="s">
        <v>1453</v>
      </c>
      <c r="E539" t="str">
        <f t="shared" ca="1" si="34"/>
        <v>7D40BT844333-17</v>
      </c>
      <c r="I539">
        <f t="shared" ca="1" si="35"/>
        <v>7</v>
      </c>
      <c r="J539" t="s">
        <v>2658</v>
      </c>
      <c r="K539">
        <f t="shared" ca="1" si="36"/>
        <v>40</v>
      </c>
      <c r="L539" t="s">
        <v>954</v>
      </c>
      <c r="M539" t="s">
        <v>2657</v>
      </c>
      <c r="N539" s="10">
        <f t="shared" si="33"/>
        <v>844333</v>
      </c>
      <c r="O539" s="49" t="s">
        <v>2656</v>
      </c>
      <c r="P539">
        <f t="shared" ca="1" si="37"/>
        <v>17</v>
      </c>
    </row>
    <row r="540" spans="1:16">
      <c r="A540" s="1">
        <v>90714</v>
      </c>
      <c r="B540" s="46">
        <v>88709</v>
      </c>
      <c r="C540" s="24">
        <v>842741</v>
      </c>
      <c r="D540" t="s">
        <v>1453</v>
      </c>
      <c r="E540" t="str">
        <f t="shared" ca="1" si="34"/>
        <v>5B17GR844333-71</v>
      </c>
      <c r="I540">
        <f t="shared" ca="1" si="35"/>
        <v>5</v>
      </c>
      <c r="J540" t="s">
        <v>954</v>
      </c>
      <c r="K540">
        <f t="shared" ca="1" si="36"/>
        <v>17</v>
      </c>
      <c r="L540" t="s">
        <v>2659</v>
      </c>
      <c r="M540" t="s">
        <v>1920</v>
      </c>
      <c r="N540" s="10">
        <f t="shared" si="33"/>
        <v>844333</v>
      </c>
      <c r="O540" s="49" t="s">
        <v>2656</v>
      </c>
      <c r="P540">
        <f t="shared" ca="1" si="37"/>
        <v>71</v>
      </c>
    </row>
    <row r="541" spans="1:16">
      <c r="A541" s="1">
        <v>90715</v>
      </c>
      <c r="B541" s="46">
        <v>88747</v>
      </c>
      <c r="C541" s="24">
        <v>843798</v>
      </c>
      <c r="D541" t="s">
        <v>1458</v>
      </c>
      <c r="E541" t="str">
        <f t="shared" ca="1" si="34"/>
        <v>1C97GS844333-82</v>
      </c>
      <c r="I541">
        <f t="shared" ca="1" si="35"/>
        <v>1</v>
      </c>
      <c r="J541" t="s">
        <v>689</v>
      </c>
      <c r="K541">
        <f t="shared" ca="1" si="36"/>
        <v>97</v>
      </c>
      <c r="L541" t="s">
        <v>2659</v>
      </c>
      <c r="M541" t="s">
        <v>2350</v>
      </c>
      <c r="N541" s="10">
        <f t="shared" si="33"/>
        <v>844333</v>
      </c>
      <c r="O541" s="49" t="s">
        <v>2656</v>
      </c>
      <c r="P541">
        <f t="shared" ca="1" si="37"/>
        <v>82</v>
      </c>
    </row>
    <row r="542" spans="1:16">
      <c r="A542" s="1">
        <v>90717</v>
      </c>
      <c r="B542" s="46">
        <v>88748</v>
      </c>
      <c r="C542" s="24">
        <v>843798</v>
      </c>
      <c r="D542" t="s">
        <v>1458</v>
      </c>
      <c r="E542" t="str">
        <f t="shared" ca="1" si="34"/>
        <v>5D90DT844333-94</v>
      </c>
      <c r="I542">
        <f t="shared" ca="1" si="35"/>
        <v>5</v>
      </c>
      <c r="J542" t="s">
        <v>2658</v>
      </c>
      <c r="K542">
        <f t="shared" ca="1" si="36"/>
        <v>90</v>
      </c>
      <c r="L542" t="s">
        <v>2658</v>
      </c>
      <c r="M542" t="s">
        <v>2657</v>
      </c>
      <c r="N542" s="10">
        <f t="shared" si="33"/>
        <v>844333</v>
      </c>
      <c r="O542" s="49" t="s">
        <v>2656</v>
      </c>
      <c r="P542">
        <f t="shared" ca="1" si="37"/>
        <v>94</v>
      </c>
    </row>
    <row r="543" spans="1:16">
      <c r="A543" s="1">
        <v>90716</v>
      </c>
      <c r="B543" s="46">
        <v>89297</v>
      </c>
      <c r="C543" s="24">
        <v>845467</v>
      </c>
      <c r="D543" t="s">
        <v>1463</v>
      </c>
      <c r="E543" t="str">
        <f t="shared" ca="1" si="34"/>
        <v>6B57HR844333-97</v>
      </c>
      <c r="I543">
        <f t="shared" ca="1" si="35"/>
        <v>6</v>
      </c>
      <c r="J543" t="s">
        <v>954</v>
      </c>
      <c r="K543">
        <f t="shared" ca="1" si="36"/>
        <v>57</v>
      </c>
      <c r="L543" t="s">
        <v>2660</v>
      </c>
      <c r="M543" t="s">
        <v>1920</v>
      </c>
      <c r="N543" s="10">
        <f t="shared" si="33"/>
        <v>844333</v>
      </c>
      <c r="O543" s="49" t="s">
        <v>2656</v>
      </c>
      <c r="P543">
        <f t="shared" ca="1" si="37"/>
        <v>97</v>
      </c>
    </row>
    <row r="544" spans="1:16">
      <c r="A544" s="1">
        <v>90721</v>
      </c>
      <c r="B544" s="46">
        <v>89298</v>
      </c>
      <c r="C544" s="24">
        <v>845467</v>
      </c>
      <c r="D544" t="s">
        <v>1463</v>
      </c>
      <c r="E544" t="str">
        <f t="shared" ca="1" si="34"/>
        <v>4C51DS844332-70</v>
      </c>
      <c r="I544">
        <f t="shared" ca="1" si="35"/>
        <v>4</v>
      </c>
      <c r="J544" t="s">
        <v>689</v>
      </c>
      <c r="K544">
        <f t="shared" ca="1" si="36"/>
        <v>51</v>
      </c>
      <c r="L544" t="s">
        <v>2658</v>
      </c>
      <c r="M544" t="s">
        <v>2350</v>
      </c>
      <c r="N544" s="10">
        <f t="shared" ref="N544:N575" si="38">VLOOKUP(A544,B544:C1208,2,FALSE)</f>
        <v>844332</v>
      </c>
      <c r="O544" s="49" t="s">
        <v>2656</v>
      </c>
      <c r="P544">
        <f t="shared" ca="1" si="37"/>
        <v>70</v>
      </c>
    </row>
    <row r="545" spans="1:16">
      <c r="A545" s="1">
        <v>90720</v>
      </c>
      <c r="B545" s="46">
        <v>89299</v>
      </c>
      <c r="C545" s="24">
        <v>845467</v>
      </c>
      <c r="D545" t="s">
        <v>1463</v>
      </c>
      <c r="E545" t="str">
        <f t="shared" ca="1" si="34"/>
        <v>7D31BT844332-74</v>
      </c>
      <c r="I545">
        <f t="shared" ca="1" si="35"/>
        <v>7</v>
      </c>
      <c r="J545" t="s">
        <v>2658</v>
      </c>
      <c r="K545">
        <f t="shared" ca="1" si="36"/>
        <v>31</v>
      </c>
      <c r="L545" t="s">
        <v>954</v>
      </c>
      <c r="M545" t="s">
        <v>2657</v>
      </c>
      <c r="N545" s="10">
        <f t="shared" si="38"/>
        <v>844332</v>
      </c>
      <c r="O545" s="49" t="s">
        <v>2656</v>
      </c>
      <c r="P545">
        <f t="shared" ca="1" si="37"/>
        <v>74</v>
      </c>
    </row>
    <row r="546" spans="1:16">
      <c r="A546" s="1">
        <v>90722</v>
      </c>
      <c r="B546" s="46">
        <v>89300</v>
      </c>
      <c r="C546" s="24">
        <v>845467</v>
      </c>
      <c r="D546" t="s">
        <v>1463</v>
      </c>
      <c r="E546" t="str">
        <f t="shared" ca="1" si="34"/>
        <v>9B74IR844332-89</v>
      </c>
      <c r="I546">
        <f t="shared" ca="1" si="35"/>
        <v>9</v>
      </c>
      <c r="J546" t="s">
        <v>954</v>
      </c>
      <c r="K546">
        <f t="shared" ca="1" si="36"/>
        <v>74</v>
      </c>
      <c r="L546" t="s">
        <v>304</v>
      </c>
      <c r="M546" t="s">
        <v>1920</v>
      </c>
      <c r="N546" s="10">
        <f t="shared" si="38"/>
        <v>844332</v>
      </c>
      <c r="O546" s="49" t="s">
        <v>2656</v>
      </c>
      <c r="P546">
        <f t="shared" ca="1" si="37"/>
        <v>89</v>
      </c>
    </row>
    <row r="547" spans="1:16">
      <c r="A547" s="1">
        <v>90724</v>
      </c>
      <c r="B547" s="46">
        <v>83574</v>
      </c>
      <c r="C547" s="24">
        <v>843430</v>
      </c>
      <c r="D547" t="s">
        <v>1471</v>
      </c>
      <c r="E547" t="str">
        <f t="shared" ca="1" si="34"/>
        <v>9C82DS844332-59</v>
      </c>
      <c r="I547">
        <f t="shared" ca="1" si="35"/>
        <v>9</v>
      </c>
      <c r="J547" t="s">
        <v>689</v>
      </c>
      <c r="K547">
        <f t="shared" ca="1" si="36"/>
        <v>82</v>
      </c>
      <c r="L547" t="s">
        <v>2658</v>
      </c>
      <c r="M547" t="s">
        <v>2350</v>
      </c>
      <c r="N547" s="10">
        <f t="shared" si="38"/>
        <v>844332</v>
      </c>
      <c r="O547" s="49" t="s">
        <v>2656</v>
      </c>
      <c r="P547">
        <f t="shared" ca="1" si="37"/>
        <v>59</v>
      </c>
    </row>
    <row r="548" spans="1:16">
      <c r="A548" s="1">
        <v>90723</v>
      </c>
      <c r="B548" s="46">
        <v>83575</v>
      </c>
      <c r="C548" s="24">
        <v>843430</v>
      </c>
      <c r="D548" t="s">
        <v>1471</v>
      </c>
      <c r="E548" t="str">
        <f t="shared" ca="1" si="34"/>
        <v>3D53DT844332-67</v>
      </c>
      <c r="I548">
        <f t="shared" ca="1" si="35"/>
        <v>3</v>
      </c>
      <c r="J548" t="s">
        <v>2658</v>
      </c>
      <c r="K548">
        <f t="shared" ca="1" si="36"/>
        <v>53</v>
      </c>
      <c r="L548" t="s">
        <v>2658</v>
      </c>
      <c r="M548" t="s">
        <v>2657</v>
      </c>
      <c r="N548" s="10">
        <f t="shared" si="38"/>
        <v>844332</v>
      </c>
      <c r="O548" s="49" t="s">
        <v>2656</v>
      </c>
      <c r="P548">
        <f t="shared" ca="1" si="37"/>
        <v>67</v>
      </c>
    </row>
    <row r="549" spans="1:16">
      <c r="A549" s="1">
        <v>90362</v>
      </c>
      <c r="B549" s="46">
        <v>83573</v>
      </c>
      <c r="C549" s="24">
        <v>843430</v>
      </c>
      <c r="D549" t="s">
        <v>1471</v>
      </c>
      <c r="E549" t="str">
        <f t="shared" ca="1" si="34"/>
        <v>7B35FR845705-27</v>
      </c>
      <c r="I549">
        <f t="shared" ca="1" si="35"/>
        <v>7</v>
      </c>
      <c r="J549" t="s">
        <v>954</v>
      </c>
      <c r="K549">
        <f t="shared" ca="1" si="36"/>
        <v>35</v>
      </c>
      <c r="L549" t="s">
        <v>2661</v>
      </c>
      <c r="M549" t="s">
        <v>1920</v>
      </c>
      <c r="N549" s="10">
        <f t="shared" si="38"/>
        <v>845705</v>
      </c>
      <c r="O549" s="49" t="s">
        <v>2656</v>
      </c>
      <c r="P549">
        <f t="shared" ca="1" si="37"/>
        <v>27</v>
      </c>
    </row>
    <row r="550" spans="1:16">
      <c r="A550" s="1">
        <v>90361</v>
      </c>
      <c r="B550" s="46">
        <v>87158</v>
      </c>
      <c r="C550" s="24">
        <v>842913</v>
      </c>
      <c r="D550" t="s">
        <v>1480</v>
      </c>
      <c r="E550" t="str">
        <f t="shared" ca="1" si="34"/>
        <v>8C27CS845705-13</v>
      </c>
      <c r="I550">
        <f t="shared" ca="1" si="35"/>
        <v>8</v>
      </c>
      <c r="J550" t="s">
        <v>689</v>
      </c>
      <c r="K550">
        <f t="shared" ca="1" si="36"/>
        <v>27</v>
      </c>
      <c r="L550" t="s">
        <v>689</v>
      </c>
      <c r="M550" t="s">
        <v>2350</v>
      </c>
      <c r="N550" s="10">
        <f t="shared" si="38"/>
        <v>845705</v>
      </c>
      <c r="O550" s="49" t="s">
        <v>2656</v>
      </c>
      <c r="P550">
        <f t="shared" ca="1" si="37"/>
        <v>13</v>
      </c>
    </row>
    <row r="551" spans="1:16">
      <c r="A551" s="1">
        <v>90363</v>
      </c>
      <c r="B551" s="46">
        <v>87159</v>
      </c>
      <c r="C551" s="24">
        <v>842913</v>
      </c>
      <c r="D551" t="s">
        <v>1480</v>
      </c>
      <c r="E551" t="str">
        <f t="shared" ca="1" si="34"/>
        <v>7D12HT845705-10</v>
      </c>
      <c r="I551">
        <f t="shared" ca="1" si="35"/>
        <v>7</v>
      </c>
      <c r="J551" t="s">
        <v>2658</v>
      </c>
      <c r="K551">
        <f t="shared" ca="1" si="36"/>
        <v>12</v>
      </c>
      <c r="L551" t="s">
        <v>2660</v>
      </c>
      <c r="M551" t="s">
        <v>2657</v>
      </c>
      <c r="N551" s="10">
        <f t="shared" si="38"/>
        <v>845705</v>
      </c>
      <c r="O551" s="49" t="s">
        <v>2656</v>
      </c>
      <c r="P551">
        <f t="shared" ca="1" si="37"/>
        <v>10</v>
      </c>
    </row>
    <row r="552" spans="1:16">
      <c r="A552" s="1">
        <v>90364</v>
      </c>
      <c r="B552" s="46">
        <v>87116</v>
      </c>
      <c r="C552" s="24">
        <v>842423</v>
      </c>
      <c r="D552" t="s">
        <v>1486</v>
      </c>
      <c r="E552" t="str">
        <f t="shared" ca="1" si="34"/>
        <v>9B50CR845705-65</v>
      </c>
      <c r="I552">
        <f t="shared" ca="1" si="35"/>
        <v>9</v>
      </c>
      <c r="J552" t="s">
        <v>954</v>
      </c>
      <c r="K552">
        <f t="shared" ca="1" si="36"/>
        <v>50</v>
      </c>
      <c r="L552" t="s">
        <v>689</v>
      </c>
      <c r="M552" t="s">
        <v>1920</v>
      </c>
      <c r="N552" s="10">
        <f t="shared" si="38"/>
        <v>845705</v>
      </c>
      <c r="O552" s="49" t="s">
        <v>2656</v>
      </c>
      <c r="P552">
        <f t="shared" ca="1" si="37"/>
        <v>65</v>
      </c>
    </row>
    <row r="553" spans="1:16">
      <c r="A553" s="1">
        <v>87165</v>
      </c>
      <c r="B553" s="46">
        <v>87117</v>
      </c>
      <c r="C553" s="24">
        <v>842423</v>
      </c>
      <c r="D553" t="s">
        <v>1486</v>
      </c>
      <c r="E553" t="str">
        <f t="shared" ca="1" si="34"/>
        <v>6C86DS843334-50</v>
      </c>
      <c r="I553">
        <f t="shared" ca="1" si="35"/>
        <v>6</v>
      </c>
      <c r="J553" t="s">
        <v>689</v>
      </c>
      <c r="K553">
        <f t="shared" ca="1" si="36"/>
        <v>86</v>
      </c>
      <c r="L553" t="s">
        <v>2658</v>
      </c>
      <c r="M553" t="s">
        <v>2350</v>
      </c>
      <c r="N553" s="10">
        <f t="shared" si="38"/>
        <v>843334</v>
      </c>
      <c r="O553" s="49" t="s">
        <v>2656</v>
      </c>
      <c r="P553">
        <f t="shared" ca="1" si="37"/>
        <v>50</v>
      </c>
    </row>
    <row r="554" spans="1:16">
      <c r="A554" s="1">
        <v>87164</v>
      </c>
      <c r="B554" s="46">
        <v>88182</v>
      </c>
      <c r="C554" s="24">
        <v>842757</v>
      </c>
      <c r="D554" t="s">
        <v>1491</v>
      </c>
      <c r="E554" t="str">
        <f t="shared" ca="1" si="34"/>
        <v>1D32GT843334-71</v>
      </c>
      <c r="I554">
        <f t="shared" ca="1" si="35"/>
        <v>1</v>
      </c>
      <c r="J554" t="s">
        <v>2658</v>
      </c>
      <c r="K554">
        <f t="shared" ca="1" si="36"/>
        <v>32</v>
      </c>
      <c r="L554" t="s">
        <v>2659</v>
      </c>
      <c r="M554" t="s">
        <v>2657</v>
      </c>
      <c r="N554" s="10">
        <f t="shared" si="38"/>
        <v>843334</v>
      </c>
      <c r="O554" s="49" t="s">
        <v>2656</v>
      </c>
      <c r="P554">
        <f t="shared" ca="1" si="37"/>
        <v>71</v>
      </c>
    </row>
    <row r="555" spans="1:16">
      <c r="A555" s="1">
        <v>86673</v>
      </c>
      <c r="B555" s="46">
        <v>88181</v>
      </c>
      <c r="C555" s="24">
        <v>842757</v>
      </c>
      <c r="D555" t="s">
        <v>1491</v>
      </c>
      <c r="E555" t="str">
        <f t="shared" ca="1" si="34"/>
        <v>3B57IR844554-44</v>
      </c>
      <c r="I555">
        <f t="shared" ca="1" si="35"/>
        <v>3</v>
      </c>
      <c r="J555" t="s">
        <v>954</v>
      </c>
      <c r="K555">
        <f t="shared" ca="1" si="36"/>
        <v>57</v>
      </c>
      <c r="L555" t="s">
        <v>304</v>
      </c>
      <c r="M555" t="s">
        <v>1920</v>
      </c>
      <c r="N555" s="10">
        <f t="shared" si="38"/>
        <v>844554</v>
      </c>
      <c r="O555" s="49" t="s">
        <v>2656</v>
      </c>
      <c r="P555">
        <f t="shared" ca="1" si="37"/>
        <v>44</v>
      </c>
    </row>
    <row r="556" spans="1:16">
      <c r="A556" s="1">
        <v>86674</v>
      </c>
      <c r="B556" s="46">
        <v>88180</v>
      </c>
      <c r="C556" s="24">
        <v>842757</v>
      </c>
      <c r="D556" t="s">
        <v>1491</v>
      </c>
      <c r="E556" t="str">
        <f t="shared" ca="1" si="34"/>
        <v>5C33ES844554-37</v>
      </c>
      <c r="I556">
        <f t="shared" ca="1" si="35"/>
        <v>5</v>
      </c>
      <c r="J556" t="s">
        <v>689</v>
      </c>
      <c r="K556">
        <f t="shared" ca="1" si="36"/>
        <v>33</v>
      </c>
      <c r="L556" t="s">
        <v>804</v>
      </c>
      <c r="M556" t="s">
        <v>2350</v>
      </c>
      <c r="N556" s="10">
        <f t="shared" si="38"/>
        <v>844554</v>
      </c>
      <c r="O556" s="49" t="s">
        <v>2656</v>
      </c>
      <c r="P556">
        <f t="shared" ca="1" si="37"/>
        <v>37</v>
      </c>
    </row>
    <row r="557" spans="1:16">
      <c r="A557" s="1">
        <v>86672</v>
      </c>
      <c r="B557" s="46">
        <v>88256</v>
      </c>
      <c r="C557" s="24">
        <v>842752</v>
      </c>
      <c r="D557" t="s">
        <v>1500</v>
      </c>
      <c r="E557" t="str">
        <f t="shared" ca="1" si="34"/>
        <v>1D95GT844554-72</v>
      </c>
      <c r="I557">
        <f t="shared" ca="1" si="35"/>
        <v>1</v>
      </c>
      <c r="J557" t="s">
        <v>2658</v>
      </c>
      <c r="K557">
        <f t="shared" ca="1" si="36"/>
        <v>95</v>
      </c>
      <c r="L557" t="s">
        <v>2659</v>
      </c>
      <c r="M557" t="s">
        <v>2657</v>
      </c>
      <c r="N557" s="10">
        <f t="shared" si="38"/>
        <v>844554</v>
      </c>
      <c r="O557" s="49" t="s">
        <v>2656</v>
      </c>
      <c r="P557">
        <f t="shared" ca="1" si="37"/>
        <v>72</v>
      </c>
    </row>
    <row r="558" spans="1:16">
      <c r="A558" s="1">
        <v>89019</v>
      </c>
      <c r="B558" s="46">
        <v>88258</v>
      </c>
      <c r="C558" s="24">
        <v>842752</v>
      </c>
      <c r="D558" t="s">
        <v>1500</v>
      </c>
      <c r="E558" t="str">
        <f t="shared" ca="1" si="34"/>
        <v>8B68AR842266-37</v>
      </c>
      <c r="I558">
        <f t="shared" ca="1" si="35"/>
        <v>8</v>
      </c>
      <c r="J558" t="s">
        <v>954</v>
      </c>
      <c r="K558">
        <f t="shared" ca="1" si="36"/>
        <v>68</v>
      </c>
      <c r="L558" t="s">
        <v>425</v>
      </c>
      <c r="M558" t="s">
        <v>1920</v>
      </c>
      <c r="N558" s="10">
        <f t="shared" si="38"/>
        <v>842266</v>
      </c>
      <c r="O558" s="49" t="s">
        <v>2656</v>
      </c>
      <c r="P558">
        <f t="shared" ca="1" si="37"/>
        <v>37</v>
      </c>
    </row>
    <row r="559" spans="1:16">
      <c r="A559" s="1">
        <v>89018</v>
      </c>
      <c r="B559" s="46">
        <v>88257</v>
      </c>
      <c r="C559" s="24">
        <v>842752</v>
      </c>
      <c r="D559" t="s">
        <v>1500</v>
      </c>
      <c r="E559" t="str">
        <f t="shared" ca="1" si="34"/>
        <v>3C45ES842266-94</v>
      </c>
      <c r="I559">
        <f t="shared" ca="1" si="35"/>
        <v>3</v>
      </c>
      <c r="J559" t="s">
        <v>689</v>
      </c>
      <c r="K559">
        <f t="shared" ca="1" si="36"/>
        <v>45</v>
      </c>
      <c r="L559" t="s">
        <v>804</v>
      </c>
      <c r="M559" t="s">
        <v>2350</v>
      </c>
      <c r="N559" s="10">
        <f t="shared" si="38"/>
        <v>842266</v>
      </c>
      <c r="O559" s="49" t="s">
        <v>2656</v>
      </c>
      <c r="P559">
        <f t="shared" ca="1" si="37"/>
        <v>94</v>
      </c>
    </row>
    <row r="560" spans="1:16">
      <c r="A560" s="1">
        <v>89020</v>
      </c>
      <c r="B560" s="46">
        <v>90732</v>
      </c>
      <c r="C560" s="24">
        <v>844309</v>
      </c>
      <c r="D560" t="s">
        <v>1508</v>
      </c>
      <c r="E560" t="str">
        <f t="shared" ca="1" si="34"/>
        <v>5D91DT842266-37</v>
      </c>
      <c r="I560">
        <f t="shared" ca="1" si="35"/>
        <v>5</v>
      </c>
      <c r="J560" t="s">
        <v>2658</v>
      </c>
      <c r="K560">
        <f t="shared" ca="1" si="36"/>
        <v>91</v>
      </c>
      <c r="L560" t="s">
        <v>2658</v>
      </c>
      <c r="M560" t="s">
        <v>2657</v>
      </c>
      <c r="N560" s="10">
        <f t="shared" si="38"/>
        <v>842266</v>
      </c>
      <c r="O560" s="49" t="s">
        <v>2656</v>
      </c>
      <c r="P560">
        <f t="shared" ca="1" si="37"/>
        <v>37</v>
      </c>
    </row>
    <row r="561" spans="1:16">
      <c r="A561" s="1">
        <v>89021</v>
      </c>
      <c r="B561" s="46">
        <v>90731</v>
      </c>
      <c r="C561" s="24">
        <v>844309</v>
      </c>
      <c r="D561" t="s">
        <v>1508</v>
      </c>
      <c r="E561" t="str">
        <f t="shared" ca="1" si="34"/>
        <v>2B63GR842266-88</v>
      </c>
      <c r="I561">
        <f t="shared" ca="1" si="35"/>
        <v>2</v>
      </c>
      <c r="J561" t="s">
        <v>954</v>
      </c>
      <c r="K561">
        <f t="shared" ca="1" si="36"/>
        <v>63</v>
      </c>
      <c r="L561" t="s">
        <v>2659</v>
      </c>
      <c r="M561" t="s">
        <v>1920</v>
      </c>
      <c r="N561" s="10">
        <f t="shared" si="38"/>
        <v>842266</v>
      </c>
      <c r="O561" s="49" t="s">
        <v>2656</v>
      </c>
      <c r="P561">
        <f t="shared" ca="1" si="37"/>
        <v>88</v>
      </c>
    </row>
    <row r="562" spans="1:16">
      <c r="A562" s="1">
        <v>89462</v>
      </c>
      <c r="B562" s="46">
        <v>90733</v>
      </c>
      <c r="C562" s="24">
        <v>844309</v>
      </c>
      <c r="D562" t="s">
        <v>1508</v>
      </c>
      <c r="E562" t="str">
        <f t="shared" ca="1" si="34"/>
        <v>6C50AS844111-47</v>
      </c>
      <c r="I562">
        <f t="shared" ca="1" si="35"/>
        <v>6</v>
      </c>
      <c r="J562" t="s">
        <v>689</v>
      </c>
      <c r="K562">
        <f t="shared" ca="1" si="36"/>
        <v>50</v>
      </c>
      <c r="L562" t="s">
        <v>425</v>
      </c>
      <c r="M562" t="s">
        <v>2350</v>
      </c>
      <c r="N562" s="10">
        <f t="shared" si="38"/>
        <v>844111</v>
      </c>
      <c r="O562" s="49" t="s">
        <v>2656</v>
      </c>
      <c r="P562">
        <f t="shared" ca="1" si="37"/>
        <v>47</v>
      </c>
    </row>
    <row r="563" spans="1:16">
      <c r="A563" s="1">
        <v>89460</v>
      </c>
      <c r="B563" s="46">
        <v>90735</v>
      </c>
      <c r="C563" s="24">
        <v>844309</v>
      </c>
      <c r="D563" t="s">
        <v>1508</v>
      </c>
      <c r="E563" t="str">
        <f t="shared" ca="1" si="34"/>
        <v>1D88IT844111-38</v>
      </c>
      <c r="I563">
        <f t="shared" ca="1" si="35"/>
        <v>1</v>
      </c>
      <c r="J563" t="s">
        <v>2658</v>
      </c>
      <c r="K563">
        <f t="shared" ca="1" si="36"/>
        <v>88</v>
      </c>
      <c r="L563" t="s">
        <v>304</v>
      </c>
      <c r="M563" t="s">
        <v>2657</v>
      </c>
      <c r="N563" s="10">
        <f t="shared" si="38"/>
        <v>844111</v>
      </c>
      <c r="O563" s="49" t="s">
        <v>2656</v>
      </c>
      <c r="P563">
        <f t="shared" ca="1" si="37"/>
        <v>38</v>
      </c>
    </row>
    <row r="564" spans="1:16">
      <c r="A564" s="1">
        <v>89461</v>
      </c>
      <c r="B564" s="46">
        <v>90734</v>
      </c>
      <c r="C564" s="24">
        <v>844309</v>
      </c>
      <c r="D564" t="s">
        <v>1508</v>
      </c>
      <c r="E564" t="str">
        <f t="shared" ca="1" si="34"/>
        <v>7B83GR844111-66</v>
      </c>
      <c r="I564">
        <f t="shared" ca="1" si="35"/>
        <v>7</v>
      </c>
      <c r="J564" t="s">
        <v>954</v>
      </c>
      <c r="K564">
        <f t="shared" ca="1" si="36"/>
        <v>83</v>
      </c>
      <c r="L564" t="s">
        <v>2659</v>
      </c>
      <c r="M564" t="s">
        <v>1920</v>
      </c>
      <c r="N564" s="10">
        <f t="shared" si="38"/>
        <v>844111</v>
      </c>
      <c r="O564" s="49" t="s">
        <v>2656</v>
      </c>
      <c r="P564">
        <f t="shared" ca="1" si="37"/>
        <v>66</v>
      </c>
    </row>
    <row r="565" spans="1:16">
      <c r="A565" s="1">
        <v>88247</v>
      </c>
      <c r="B565" s="46">
        <v>90685</v>
      </c>
      <c r="C565" s="24">
        <v>845555</v>
      </c>
      <c r="D565" t="s">
        <v>1513</v>
      </c>
      <c r="E565" t="str">
        <f t="shared" ca="1" si="34"/>
        <v>8C51BS842766-30</v>
      </c>
      <c r="I565">
        <f t="shared" ca="1" si="35"/>
        <v>8</v>
      </c>
      <c r="J565" t="s">
        <v>689</v>
      </c>
      <c r="K565">
        <f t="shared" ca="1" si="36"/>
        <v>51</v>
      </c>
      <c r="L565" t="s">
        <v>954</v>
      </c>
      <c r="M565" t="s">
        <v>2350</v>
      </c>
      <c r="N565" s="10">
        <f t="shared" si="38"/>
        <v>842766</v>
      </c>
      <c r="O565" s="49" t="s">
        <v>2656</v>
      </c>
      <c r="P565">
        <f t="shared" ca="1" si="37"/>
        <v>30</v>
      </c>
    </row>
    <row r="566" spans="1:16">
      <c r="A566" s="1">
        <v>88249</v>
      </c>
      <c r="B566" s="46">
        <v>90686</v>
      </c>
      <c r="C566" s="24">
        <v>845555</v>
      </c>
      <c r="D566" t="s">
        <v>1513</v>
      </c>
      <c r="E566" t="str">
        <f t="shared" ca="1" si="34"/>
        <v>2D64BT842766-12</v>
      </c>
      <c r="I566">
        <f t="shared" ca="1" si="35"/>
        <v>2</v>
      </c>
      <c r="J566" t="s">
        <v>2658</v>
      </c>
      <c r="K566">
        <f t="shared" ca="1" si="36"/>
        <v>64</v>
      </c>
      <c r="L566" t="s">
        <v>954</v>
      </c>
      <c r="M566" t="s">
        <v>2657</v>
      </c>
      <c r="N566" s="10">
        <f t="shared" si="38"/>
        <v>842766</v>
      </c>
      <c r="O566" s="49" t="s">
        <v>2656</v>
      </c>
      <c r="P566">
        <f t="shared" ca="1" si="37"/>
        <v>12</v>
      </c>
    </row>
    <row r="567" spans="1:16">
      <c r="A567" s="1">
        <v>88248</v>
      </c>
      <c r="B567" s="46">
        <v>85688</v>
      </c>
      <c r="C567" s="24">
        <v>844497</v>
      </c>
      <c r="D567" t="s">
        <v>1517</v>
      </c>
      <c r="E567" t="str">
        <f t="shared" ca="1" si="34"/>
        <v>5R68ER842766-96</v>
      </c>
      <c r="I567">
        <f t="shared" ca="1" si="35"/>
        <v>5</v>
      </c>
      <c r="J567" t="s">
        <v>1920</v>
      </c>
      <c r="K567">
        <f t="shared" ca="1" si="36"/>
        <v>68</v>
      </c>
      <c r="L567" t="s">
        <v>804</v>
      </c>
      <c r="M567" t="s">
        <v>1920</v>
      </c>
      <c r="N567" s="10">
        <f t="shared" si="38"/>
        <v>842766</v>
      </c>
      <c r="O567" s="49" t="s">
        <v>2656</v>
      </c>
      <c r="P567">
        <f t="shared" ca="1" si="37"/>
        <v>96</v>
      </c>
    </row>
    <row r="568" spans="1:16">
      <c r="A568" s="1">
        <v>85245</v>
      </c>
      <c r="B568" s="46">
        <v>85689</v>
      </c>
      <c r="C568" s="24">
        <v>844497</v>
      </c>
      <c r="D568" t="s">
        <v>1517</v>
      </c>
      <c r="E568" t="str">
        <f t="shared" ca="1" si="34"/>
        <v>6S57HS843758-67</v>
      </c>
      <c r="I568">
        <f t="shared" ca="1" si="35"/>
        <v>6</v>
      </c>
      <c r="J568" t="s">
        <v>2350</v>
      </c>
      <c r="K568">
        <f t="shared" ca="1" si="36"/>
        <v>57</v>
      </c>
      <c r="L568" t="s">
        <v>2660</v>
      </c>
      <c r="M568" t="s">
        <v>2350</v>
      </c>
      <c r="N568" s="10">
        <f t="shared" si="38"/>
        <v>843758</v>
      </c>
      <c r="O568" s="49" t="s">
        <v>2656</v>
      </c>
      <c r="P568">
        <f t="shared" ca="1" si="37"/>
        <v>67</v>
      </c>
    </row>
    <row r="569" spans="1:16">
      <c r="A569" s="1">
        <v>85243</v>
      </c>
      <c r="B569" s="46">
        <v>85690</v>
      </c>
      <c r="C569" s="24">
        <v>844497</v>
      </c>
      <c r="D569" t="s">
        <v>1517</v>
      </c>
      <c r="E569" t="str">
        <f t="shared" ca="1" si="34"/>
        <v>3T81DT843758-94</v>
      </c>
      <c r="I569">
        <f t="shared" ca="1" si="35"/>
        <v>3</v>
      </c>
      <c r="J569" t="s">
        <v>2657</v>
      </c>
      <c r="K569">
        <f t="shared" ca="1" si="36"/>
        <v>81</v>
      </c>
      <c r="L569" t="s">
        <v>2658</v>
      </c>
      <c r="M569" t="s">
        <v>2657</v>
      </c>
      <c r="N569" s="10">
        <f t="shared" si="38"/>
        <v>843758</v>
      </c>
      <c r="O569" s="49" t="s">
        <v>2656</v>
      </c>
      <c r="P569">
        <f t="shared" ca="1" si="37"/>
        <v>94</v>
      </c>
    </row>
    <row r="570" spans="1:16">
      <c r="A570" s="1">
        <v>85244</v>
      </c>
      <c r="B570" s="46">
        <v>89612</v>
      </c>
      <c r="C570" s="24">
        <v>844992</v>
      </c>
      <c r="D570" t="s">
        <v>1523</v>
      </c>
      <c r="E570" t="str">
        <f t="shared" ca="1" si="34"/>
        <v>4R84ER843758-11</v>
      </c>
      <c r="I570">
        <f t="shared" ca="1" si="35"/>
        <v>4</v>
      </c>
      <c r="J570" t="s">
        <v>1920</v>
      </c>
      <c r="K570">
        <f t="shared" ca="1" si="36"/>
        <v>84</v>
      </c>
      <c r="L570" t="s">
        <v>804</v>
      </c>
      <c r="M570" t="s">
        <v>1920</v>
      </c>
      <c r="N570" s="10">
        <f t="shared" si="38"/>
        <v>843758</v>
      </c>
      <c r="O570" s="49" t="s">
        <v>2656</v>
      </c>
      <c r="P570">
        <f t="shared" ca="1" si="37"/>
        <v>11</v>
      </c>
    </row>
    <row r="571" spans="1:16">
      <c r="A571" s="1">
        <v>90968</v>
      </c>
      <c r="B571" s="46">
        <v>89613</v>
      </c>
      <c r="C571" s="24">
        <v>844992</v>
      </c>
      <c r="D571" t="s">
        <v>1523</v>
      </c>
      <c r="E571" t="str">
        <f t="shared" ca="1" si="34"/>
        <v>2S15FS841859-65</v>
      </c>
      <c r="I571">
        <f t="shared" ca="1" si="35"/>
        <v>2</v>
      </c>
      <c r="J571" t="s">
        <v>2350</v>
      </c>
      <c r="K571">
        <f t="shared" ca="1" si="36"/>
        <v>15</v>
      </c>
      <c r="L571" t="s">
        <v>2661</v>
      </c>
      <c r="M571" t="s">
        <v>2350</v>
      </c>
      <c r="N571" s="10">
        <f t="shared" si="38"/>
        <v>841859</v>
      </c>
      <c r="O571" s="49" t="s">
        <v>2656</v>
      </c>
      <c r="P571">
        <f t="shared" ca="1" si="37"/>
        <v>65</v>
      </c>
    </row>
    <row r="572" spans="1:16">
      <c r="A572" s="1">
        <v>90967</v>
      </c>
      <c r="B572" s="46">
        <v>89614</v>
      </c>
      <c r="C572" s="24">
        <v>844992</v>
      </c>
      <c r="D572" t="s">
        <v>1523</v>
      </c>
      <c r="E572" t="str">
        <f t="shared" ca="1" si="34"/>
        <v>8T54ET841859-37</v>
      </c>
      <c r="I572">
        <f t="shared" ca="1" si="35"/>
        <v>8</v>
      </c>
      <c r="J572" t="s">
        <v>2657</v>
      </c>
      <c r="K572">
        <f t="shared" ca="1" si="36"/>
        <v>54</v>
      </c>
      <c r="L572" t="s">
        <v>804</v>
      </c>
      <c r="M572" t="s">
        <v>2657</v>
      </c>
      <c r="N572" s="10">
        <f t="shared" si="38"/>
        <v>841859</v>
      </c>
      <c r="O572" s="49" t="s">
        <v>2656</v>
      </c>
      <c r="P572">
        <f t="shared" ca="1" si="37"/>
        <v>37</v>
      </c>
    </row>
    <row r="573" spans="1:16">
      <c r="A573" s="1">
        <v>90969</v>
      </c>
      <c r="B573" s="46">
        <v>85713</v>
      </c>
      <c r="C573" s="24">
        <v>843361</v>
      </c>
      <c r="D573" t="s">
        <v>1531</v>
      </c>
      <c r="E573" t="str">
        <f t="shared" ca="1" si="34"/>
        <v>6R77HR841859-96</v>
      </c>
      <c r="I573">
        <f t="shared" ca="1" si="35"/>
        <v>6</v>
      </c>
      <c r="J573" t="s">
        <v>1920</v>
      </c>
      <c r="K573">
        <f t="shared" ca="1" si="36"/>
        <v>77</v>
      </c>
      <c r="L573" t="s">
        <v>2660</v>
      </c>
      <c r="M573" t="s">
        <v>1920</v>
      </c>
      <c r="N573" s="10">
        <f t="shared" si="38"/>
        <v>841859</v>
      </c>
      <c r="O573" s="49" t="s">
        <v>2656</v>
      </c>
      <c r="P573">
        <f t="shared" ca="1" si="37"/>
        <v>96</v>
      </c>
    </row>
    <row r="574" spans="1:16">
      <c r="A574" s="1">
        <v>88674</v>
      </c>
      <c r="B574" s="46">
        <v>85715</v>
      </c>
      <c r="C574" s="24">
        <v>843361</v>
      </c>
      <c r="D574" t="s">
        <v>1531</v>
      </c>
      <c r="E574" t="str">
        <f t="shared" ca="1" si="34"/>
        <v>3S26AS844537-98</v>
      </c>
      <c r="I574">
        <f t="shared" ca="1" si="35"/>
        <v>3</v>
      </c>
      <c r="J574" t="s">
        <v>2350</v>
      </c>
      <c r="K574">
        <f t="shared" ca="1" si="36"/>
        <v>26</v>
      </c>
      <c r="L574" t="s">
        <v>425</v>
      </c>
      <c r="M574" t="s">
        <v>2350</v>
      </c>
      <c r="N574" s="10">
        <f t="shared" si="38"/>
        <v>844537</v>
      </c>
      <c r="O574" s="49" t="s">
        <v>2656</v>
      </c>
      <c r="P574">
        <f t="shared" ca="1" si="37"/>
        <v>98</v>
      </c>
    </row>
    <row r="575" spans="1:16">
      <c r="A575" s="1">
        <v>88675</v>
      </c>
      <c r="B575" s="46">
        <v>85714</v>
      </c>
      <c r="C575" s="24">
        <v>843361</v>
      </c>
      <c r="D575" t="s">
        <v>1531</v>
      </c>
      <c r="E575" t="str">
        <f t="shared" ca="1" si="34"/>
        <v>9T81CT844537-16</v>
      </c>
      <c r="I575">
        <f t="shared" ca="1" si="35"/>
        <v>9</v>
      </c>
      <c r="J575" t="s">
        <v>2657</v>
      </c>
      <c r="K575">
        <f t="shared" ca="1" si="36"/>
        <v>81</v>
      </c>
      <c r="L575" t="s">
        <v>689</v>
      </c>
      <c r="M575" t="s">
        <v>2657</v>
      </c>
      <c r="N575" s="10">
        <f t="shared" si="38"/>
        <v>844537</v>
      </c>
      <c r="O575" s="49" t="s">
        <v>2656</v>
      </c>
      <c r="P575">
        <f t="shared" ca="1" si="37"/>
        <v>16</v>
      </c>
    </row>
    <row r="576" spans="1:16">
      <c r="A576" s="1">
        <v>88432</v>
      </c>
      <c r="B576" s="46">
        <v>90655</v>
      </c>
      <c r="C576" s="24">
        <v>844106</v>
      </c>
      <c r="D576" t="s">
        <v>1538</v>
      </c>
      <c r="E576" t="str">
        <f t="shared" ca="1" si="34"/>
        <v>9R40BR844489-84</v>
      </c>
      <c r="I576">
        <f t="shared" ca="1" si="35"/>
        <v>9</v>
      </c>
      <c r="J576" t="s">
        <v>1920</v>
      </c>
      <c r="K576">
        <f t="shared" ca="1" si="36"/>
        <v>40</v>
      </c>
      <c r="L576" t="s">
        <v>954</v>
      </c>
      <c r="M576" t="s">
        <v>1920</v>
      </c>
      <c r="N576" s="10">
        <f t="shared" ref="N576:N607" si="39">VLOOKUP(A576,B576:C1240,2,FALSE)</f>
        <v>844489</v>
      </c>
      <c r="O576" s="49" t="s">
        <v>2656</v>
      </c>
      <c r="P576">
        <f t="shared" ca="1" si="37"/>
        <v>84</v>
      </c>
    </row>
    <row r="577" spans="1:16">
      <c r="A577" s="1">
        <v>88433</v>
      </c>
      <c r="B577" s="46">
        <v>90654</v>
      </c>
      <c r="C577" s="24">
        <v>844106</v>
      </c>
      <c r="D577" t="s">
        <v>1538</v>
      </c>
      <c r="E577" t="str">
        <f t="shared" ca="1" si="34"/>
        <v>9S63FS844489-89</v>
      </c>
      <c r="I577">
        <f t="shared" ca="1" si="35"/>
        <v>9</v>
      </c>
      <c r="J577" t="s">
        <v>2350</v>
      </c>
      <c r="K577">
        <f t="shared" ca="1" si="36"/>
        <v>63</v>
      </c>
      <c r="L577" t="s">
        <v>2661</v>
      </c>
      <c r="M577" t="s">
        <v>2350</v>
      </c>
      <c r="N577" s="10">
        <f t="shared" si="39"/>
        <v>844489</v>
      </c>
      <c r="O577" s="49" t="s">
        <v>2656</v>
      </c>
      <c r="P577">
        <f t="shared" ca="1" si="37"/>
        <v>89</v>
      </c>
    </row>
    <row r="578" spans="1:16">
      <c r="A578" s="1">
        <v>88430</v>
      </c>
      <c r="B578" s="46">
        <v>90653</v>
      </c>
      <c r="C578" s="24">
        <v>844106</v>
      </c>
      <c r="D578" t="s">
        <v>1538</v>
      </c>
      <c r="E578" t="str">
        <f t="shared" ca="1" si="34"/>
        <v>8T75CT844489-69</v>
      </c>
      <c r="I578">
        <f t="shared" ca="1" si="35"/>
        <v>8</v>
      </c>
      <c r="J578" t="s">
        <v>2657</v>
      </c>
      <c r="K578">
        <f t="shared" ca="1" si="36"/>
        <v>75</v>
      </c>
      <c r="L578" t="s">
        <v>689</v>
      </c>
      <c r="M578" t="s">
        <v>2657</v>
      </c>
      <c r="N578" s="10">
        <f t="shared" si="39"/>
        <v>844489</v>
      </c>
      <c r="O578" s="49" t="s">
        <v>2656</v>
      </c>
      <c r="P578">
        <f t="shared" ca="1" si="37"/>
        <v>69</v>
      </c>
    </row>
    <row r="579" spans="1:16">
      <c r="A579" s="1">
        <v>88431</v>
      </c>
      <c r="B579" s="46">
        <v>90713</v>
      </c>
      <c r="C579" s="24">
        <v>844333</v>
      </c>
      <c r="D579" t="s">
        <v>1544</v>
      </c>
      <c r="E579" t="str">
        <f t="shared" ca="1" si="34"/>
        <v>3R31CR844489-15</v>
      </c>
      <c r="I579">
        <f t="shared" ca="1" si="35"/>
        <v>3</v>
      </c>
      <c r="J579" t="s">
        <v>1920</v>
      </c>
      <c r="K579">
        <f t="shared" ca="1" si="36"/>
        <v>31</v>
      </c>
      <c r="L579" t="s">
        <v>689</v>
      </c>
      <c r="M579" t="s">
        <v>1920</v>
      </c>
      <c r="N579" s="10">
        <f t="shared" si="39"/>
        <v>844489</v>
      </c>
      <c r="O579" s="49" t="s">
        <v>2656</v>
      </c>
      <c r="P579">
        <f t="shared" ca="1" si="37"/>
        <v>15</v>
      </c>
    </row>
    <row r="580" spans="1:16">
      <c r="A580" s="1">
        <v>76414</v>
      </c>
      <c r="B580" s="46">
        <v>90714</v>
      </c>
      <c r="C580" s="24">
        <v>844333</v>
      </c>
      <c r="D580" t="s">
        <v>1544</v>
      </c>
      <c r="E580" t="str">
        <f t="shared" ca="1" si="34"/>
        <v>8S66GS840151-69</v>
      </c>
      <c r="I580">
        <f t="shared" ca="1" si="35"/>
        <v>8</v>
      </c>
      <c r="J580" t="s">
        <v>2350</v>
      </c>
      <c r="K580">
        <f t="shared" ca="1" si="36"/>
        <v>66</v>
      </c>
      <c r="L580" t="s">
        <v>2659</v>
      </c>
      <c r="M580" t="s">
        <v>2350</v>
      </c>
      <c r="N580" s="10">
        <f t="shared" si="39"/>
        <v>840151</v>
      </c>
      <c r="O580" s="49" t="s">
        <v>2656</v>
      </c>
      <c r="P580">
        <f t="shared" ca="1" si="37"/>
        <v>69</v>
      </c>
    </row>
    <row r="581" spans="1:16">
      <c r="A581" s="1">
        <v>76415</v>
      </c>
      <c r="B581" s="46">
        <v>90715</v>
      </c>
      <c r="C581" s="24">
        <v>844333</v>
      </c>
      <c r="D581" t="s">
        <v>1544</v>
      </c>
      <c r="E581" t="str">
        <f t="shared" ca="1" si="34"/>
        <v>3T63DT840151-80</v>
      </c>
      <c r="I581">
        <f t="shared" ca="1" si="35"/>
        <v>3</v>
      </c>
      <c r="J581" t="s">
        <v>2657</v>
      </c>
      <c r="K581">
        <f t="shared" ca="1" si="36"/>
        <v>63</v>
      </c>
      <c r="L581" t="s">
        <v>2658</v>
      </c>
      <c r="M581" t="s">
        <v>2657</v>
      </c>
      <c r="N581" s="10">
        <f t="shared" si="39"/>
        <v>840151</v>
      </c>
      <c r="O581" s="49" t="s">
        <v>2656</v>
      </c>
      <c r="P581">
        <f t="shared" ca="1" si="37"/>
        <v>80</v>
      </c>
    </row>
    <row r="582" spans="1:16">
      <c r="A582" s="1">
        <v>87285</v>
      </c>
      <c r="B582" s="46">
        <v>90717</v>
      </c>
      <c r="C582" s="24">
        <v>844333</v>
      </c>
      <c r="D582" t="s">
        <v>1544</v>
      </c>
      <c r="E582" t="str">
        <f t="shared" ca="1" si="34"/>
        <v>3R29IR844978-47</v>
      </c>
      <c r="I582">
        <f t="shared" ca="1" si="35"/>
        <v>3</v>
      </c>
      <c r="J582" t="s">
        <v>1920</v>
      </c>
      <c r="K582">
        <f t="shared" ca="1" si="36"/>
        <v>29</v>
      </c>
      <c r="L582" t="s">
        <v>304</v>
      </c>
      <c r="M582" t="s">
        <v>1920</v>
      </c>
      <c r="N582" s="10">
        <f t="shared" si="39"/>
        <v>844978</v>
      </c>
      <c r="O582" s="49" t="s">
        <v>2656</v>
      </c>
      <c r="P582">
        <f t="shared" ca="1" si="37"/>
        <v>47</v>
      </c>
    </row>
    <row r="583" spans="1:16">
      <c r="A583" s="1">
        <v>87286</v>
      </c>
      <c r="B583" s="46">
        <v>90716</v>
      </c>
      <c r="C583" s="24">
        <v>844333</v>
      </c>
      <c r="D583" t="s">
        <v>1544</v>
      </c>
      <c r="E583" t="str">
        <f t="shared" ref="E583:E630" ca="1" si="40">CONCATENATE(I583,J583,K583,L583,M583,N583,O583,P583)</f>
        <v>1S94IS844978-79</v>
      </c>
      <c r="I583">
        <f t="shared" ref="I583:I630" ca="1" si="41">RANDBETWEEN(1,9)</f>
        <v>1</v>
      </c>
      <c r="J583" t="s">
        <v>2350</v>
      </c>
      <c r="K583">
        <f t="shared" ref="K583:K630" ca="1" si="42">RANDBETWEEN(10,99)</f>
        <v>94</v>
      </c>
      <c r="L583" t="s">
        <v>304</v>
      </c>
      <c r="M583" t="s">
        <v>2350</v>
      </c>
      <c r="N583" s="10">
        <f t="shared" si="39"/>
        <v>844978</v>
      </c>
      <c r="O583" s="49" t="s">
        <v>2656</v>
      </c>
      <c r="P583">
        <f t="shared" ref="P583:P630" ca="1" si="43">RANDBETWEEN(10,99)</f>
        <v>79</v>
      </c>
    </row>
    <row r="584" spans="1:16">
      <c r="A584" s="1">
        <v>83956</v>
      </c>
      <c r="B584" s="46">
        <v>90721</v>
      </c>
      <c r="C584" s="24">
        <v>844332</v>
      </c>
      <c r="D584" t="s">
        <v>1549</v>
      </c>
      <c r="E584" t="str">
        <f t="shared" ca="1" si="40"/>
        <v>6T47AT843034-32</v>
      </c>
      <c r="I584">
        <f t="shared" ca="1" si="41"/>
        <v>6</v>
      </c>
      <c r="J584" t="s">
        <v>2657</v>
      </c>
      <c r="K584">
        <f t="shared" ca="1" si="42"/>
        <v>47</v>
      </c>
      <c r="L584" t="s">
        <v>425</v>
      </c>
      <c r="M584" t="s">
        <v>2657</v>
      </c>
      <c r="N584" s="10">
        <f t="shared" si="39"/>
        <v>843034</v>
      </c>
      <c r="O584" s="49" t="s">
        <v>2656</v>
      </c>
      <c r="P584">
        <f t="shared" ca="1" si="43"/>
        <v>32</v>
      </c>
    </row>
    <row r="585" spans="1:16">
      <c r="A585" s="1">
        <v>83957</v>
      </c>
      <c r="B585" s="46">
        <v>90720</v>
      </c>
      <c r="C585" s="24">
        <v>844332</v>
      </c>
      <c r="D585" t="s">
        <v>1549</v>
      </c>
      <c r="E585" t="str">
        <f t="shared" ca="1" si="40"/>
        <v>2R21FR843034-37</v>
      </c>
      <c r="I585">
        <f t="shared" ca="1" si="41"/>
        <v>2</v>
      </c>
      <c r="J585" t="s">
        <v>1920</v>
      </c>
      <c r="K585">
        <f t="shared" ca="1" si="42"/>
        <v>21</v>
      </c>
      <c r="L585" t="s">
        <v>2661</v>
      </c>
      <c r="M585" t="s">
        <v>1920</v>
      </c>
      <c r="N585" s="10">
        <f t="shared" si="39"/>
        <v>843034</v>
      </c>
      <c r="O585" s="49" t="s">
        <v>2656</v>
      </c>
      <c r="P585">
        <f t="shared" ca="1" si="43"/>
        <v>37</v>
      </c>
    </row>
    <row r="586" spans="1:16">
      <c r="A586" s="1">
        <v>83955</v>
      </c>
      <c r="B586" s="46">
        <v>90722</v>
      </c>
      <c r="C586" s="24">
        <v>844332</v>
      </c>
      <c r="D586" t="s">
        <v>1549</v>
      </c>
      <c r="E586" t="str">
        <f t="shared" ca="1" si="40"/>
        <v>8S93AS843034-83</v>
      </c>
      <c r="I586">
        <f t="shared" ca="1" si="41"/>
        <v>8</v>
      </c>
      <c r="J586" t="s">
        <v>2350</v>
      </c>
      <c r="K586">
        <f t="shared" ca="1" si="42"/>
        <v>93</v>
      </c>
      <c r="L586" t="s">
        <v>425</v>
      </c>
      <c r="M586" t="s">
        <v>2350</v>
      </c>
      <c r="N586" s="10">
        <f t="shared" si="39"/>
        <v>843034</v>
      </c>
      <c r="O586" s="49" t="s">
        <v>2656</v>
      </c>
      <c r="P586">
        <f t="shared" ca="1" si="43"/>
        <v>83</v>
      </c>
    </row>
    <row r="587" spans="1:16">
      <c r="A587" s="1">
        <v>90810</v>
      </c>
      <c r="B587" s="46">
        <v>90724</v>
      </c>
      <c r="C587" s="24">
        <v>844332</v>
      </c>
      <c r="D587" t="s">
        <v>1549</v>
      </c>
      <c r="E587" t="str">
        <f t="shared" ca="1" si="40"/>
        <v>1T91GT843846-94</v>
      </c>
      <c r="I587">
        <f t="shared" ca="1" si="41"/>
        <v>1</v>
      </c>
      <c r="J587" t="s">
        <v>2657</v>
      </c>
      <c r="K587">
        <f t="shared" ca="1" si="42"/>
        <v>91</v>
      </c>
      <c r="L587" t="s">
        <v>2659</v>
      </c>
      <c r="M587" t="s">
        <v>2657</v>
      </c>
      <c r="N587" s="10">
        <f t="shared" si="39"/>
        <v>843846</v>
      </c>
      <c r="O587" s="49" t="s">
        <v>2656</v>
      </c>
      <c r="P587">
        <f t="shared" ca="1" si="43"/>
        <v>94</v>
      </c>
    </row>
    <row r="588" spans="1:16">
      <c r="A588" s="1">
        <v>90811</v>
      </c>
      <c r="B588" s="46">
        <v>90723</v>
      </c>
      <c r="C588" s="24">
        <v>844332</v>
      </c>
      <c r="D588" t="s">
        <v>1549</v>
      </c>
      <c r="E588" t="str">
        <f t="shared" ca="1" si="40"/>
        <v>9R27AR843846-85</v>
      </c>
      <c r="I588">
        <f t="shared" ca="1" si="41"/>
        <v>9</v>
      </c>
      <c r="J588" t="s">
        <v>1920</v>
      </c>
      <c r="K588">
        <f t="shared" ca="1" si="42"/>
        <v>27</v>
      </c>
      <c r="L588" t="s">
        <v>425</v>
      </c>
      <c r="M588" t="s">
        <v>1920</v>
      </c>
      <c r="N588" s="10">
        <f t="shared" si="39"/>
        <v>843846</v>
      </c>
      <c r="O588" s="49" t="s">
        <v>2656</v>
      </c>
      <c r="P588">
        <f t="shared" ca="1" si="43"/>
        <v>85</v>
      </c>
    </row>
    <row r="589" spans="1:16">
      <c r="A589" s="1">
        <v>90812</v>
      </c>
      <c r="B589" s="46">
        <v>90362</v>
      </c>
      <c r="C589" s="24">
        <v>845705</v>
      </c>
      <c r="D589" t="s">
        <v>1553</v>
      </c>
      <c r="E589" t="str">
        <f t="shared" ca="1" si="40"/>
        <v>7S83ES843846-72</v>
      </c>
      <c r="I589">
        <f t="shared" ca="1" si="41"/>
        <v>7</v>
      </c>
      <c r="J589" t="s">
        <v>2350</v>
      </c>
      <c r="K589">
        <f t="shared" ca="1" si="42"/>
        <v>83</v>
      </c>
      <c r="L589" t="s">
        <v>804</v>
      </c>
      <c r="M589" t="s">
        <v>2350</v>
      </c>
      <c r="N589" s="10">
        <f t="shared" si="39"/>
        <v>843846</v>
      </c>
      <c r="O589" s="49" t="s">
        <v>2656</v>
      </c>
      <c r="P589">
        <f t="shared" ca="1" si="43"/>
        <v>72</v>
      </c>
    </row>
    <row r="590" spans="1:16">
      <c r="A590" s="1">
        <v>90806</v>
      </c>
      <c r="B590" s="46">
        <v>90361</v>
      </c>
      <c r="C590" s="24">
        <v>845705</v>
      </c>
      <c r="D590" t="s">
        <v>1553</v>
      </c>
      <c r="E590" t="str">
        <f t="shared" ca="1" si="40"/>
        <v>9T27FT845587-69</v>
      </c>
      <c r="I590">
        <f t="shared" ca="1" si="41"/>
        <v>9</v>
      </c>
      <c r="J590" t="s">
        <v>2657</v>
      </c>
      <c r="K590">
        <f t="shared" ca="1" si="42"/>
        <v>27</v>
      </c>
      <c r="L590" t="s">
        <v>2661</v>
      </c>
      <c r="M590" t="s">
        <v>2657</v>
      </c>
      <c r="N590" s="10">
        <f t="shared" si="39"/>
        <v>845587</v>
      </c>
      <c r="O590" s="49" t="s">
        <v>2656</v>
      </c>
      <c r="P590">
        <f t="shared" ca="1" si="43"/>
        <v>69</v>
      </c>
    </row>
    <row r="591" spans="1:16">
      <c r="A591" s="1">
        <v>90805</v>
      </c>
      <c r="B591" s="46">
        <v>90363</v>
      </c>
      <c r="C591" s="24">
        <v>845705</v>
      </c>
      <c r="D591" t="s">
        <v>1553</v>
      </c>
      <c r="E591" t="str">
        <f t="shared" ca="1" si="40"/>
        <v>2R34DR845587-86</v>
      </c>
      <c r="I591">
        <f t="shared" ca="1" si="41"/>
        <v>2</v>
      </c>
      <c r="J591" t="s">
        <v>1920</v>
      </c>
      <c r="K591">
        <f t="shared" ca="1" si="42"/>
        <v>34</v>
      </c>
      <c r="L591" t="s">
        <v>2658</v>
      </c>
      <c r="M591" t="s">
        <v>1920</v>
      </c>
      <c r="N591" s="10">
        <f t="shared" si="39"/>
        <v>845587</v>
      </c>
      <c r="O591" s="49" t="s">
        <v>2656</v>
      </c>
      <c r="P591">
        <f t="shared" ca="1" si="43"/>
        <v>86</v>
      </c>
    </row>
    <row r="592" spans="1:16">
      <c r="A592" s="1">
        <v>90807</v>
      </c>
      <c r="B592" s="46">
        <v>90364</v>
      </c>
      <c r="C592" s="24">
        <v>845705</v>
      </c>
      <c r="D592" t="s">
        <v>1553</v>
      </c>
      <c r="E592" t="str">
        <f t="shared" ca="1" si="40"/>
        <v>5S66DS845587-75</v>
      </c>
      <c r="I592">
        <f t="shared" ca="1" si="41"/>
        <v>5</v>
      </c>
      <c r="J592" t="s">
        <v>2350</v>
      </c>
      <c r="K592">
        <f t="shared" ca="1" si="42"/>
        <v>66</v>
      </c>
      <c r="L592" t="s">
        <v>2658</v>
      </c>
      <c r="M592" t="s">
        <v>2350</v>
      </c>
      <c r="N592" s="10">
        <f t="shared" si="39"/>
        <v>845587</v>
      </c>
      <c r="O592" s="49" t="s">
        <v>2656</v>
      </c>
      <c r="P592">
        <f t="shared" ca="1" si="43"/>
        <v>75</v>
      </c>
    </row>
    <row r="593" spans="1:16">
      <c r="A593" s="1">
        <v>90815</v>
      </c>
      <c r="B593" s="46">
        <v>87165</v>
      </c>
      <c r="C593" s="24">
        <v>843334</v>
      </c>
      <c r="D593" t="s">
        <v>1560</v>
      </c>
      <c r="E593" t="str">
        <f t="shared" ca="1" si="40"/>
        <v>7T39BT845602-65</v>
      </c>
      <c r="I593">
        <f t="shared" ca="1" si="41"/>
        <v>7</v>
      </c>
      <c r="J593" t="s">
        <v>2657</v>
      </c>
      <c r="K593">
        <f t="shared" ca="1" si="42"/>
        <v>39</v>
      </c>
      <c r="L593" t="s">
        <v>954</v>
      </c>
      <c r="M593" t="s">
        <v>2657</v>
      </c>
      <c r="N593" s="10">
        <f t="shared" si="39"/>
        <v>845602</v>
      </c>
      <c r="O593" s="49" t="s">
        <v>2656</v>
      </c>
      <c r="P593">
        <f t="shared" ca="1" si="43"/>
        <v>65</v>
      </c>
    </row>
    <row r="594" spans="1:16">
      <c r="A594" s="1">
        <v>90816</v>
      </c>
      <c r="B594" s="46">
        <v>87164</v>
      </c>
      <c r="C594" s="24">
        <v>843334</v>
      </c>
      <c r="D594" t="s">
        <v>1560</v>
      </c>
      <c r="E594" t="str">
        <f t="shared" ca="1" si="40"/>
        <v>8R11HR845602-64</v>
      </c>
      <c r="I594">
        <f t="shared" ca="1" si="41"/>
        <v>8</v>
      </c>
      <c r="J594" t="s">
        <v>1920</v>
      </c>
      <c r="K594">
        <f t="shared" ca="1" si="42"/>
        <v>11</v>
      </c>
      <c r="L594" t="s">
        <v>2660</v>
      </c>
      <c r="M594" t="s">
        <v>1920</v>
      </c>
      <c r="N594" s="10">
        <f t="shared" si="39"/>
        <v>845602</v>
      </c>
      <c r="O594" s="49" t="s">
        <v>2656</v>
      </c>
      <c r="P594">
        <f t="shared" ca="1" si="43"/>
        <v>64</v>
      </c>
    </row>
    <row r="595" spans="1:16">
      <c r="A595" s="1">
        <v>90817</v>
      </c>
      <c r="B595" s="46">
        <v>86673</v>
      </c>
      <c r="C595" s="24">
        <v>844554</v>
      </c>
      <c r="D595" t="s">
        <v>1560</v>
      </c>
      <c r="E595" t="str">
        <f t="shared" ca="1" si="40"/>
        <v>5S55CS845602-56</v>
      </c>
      <c r="I595">
        <f t="shared" ca="1" si="41"/>
        <v>5</v>
      </c>
      <c r="J595" t="s">
        <v>2350</v>
      </c>
      <c r="K595">
        <f t="shared" ca="1" si="42"/>
        <v>55</v>
      </c>
      <c r="L595" t="s">
        <v>689</v>
      </c>
      <c r="M595" t="s">
        <v>2350</v>
      </c>
      <c r="N595" s="10">
        <f t="shared" si="39"/>
        <v>845602</v>
      </c>
      <c r="O595" s="49" t="s">
        <v>2656</v>
      </c>
      <c r="P595">
        <f t="shared" ca="1" si="43"/>
        <v>56</v>
      </c>
    </row>
    <row r="596" spans="1:16">
      <c r="A596" s="1">
        <v>88886</v>
      </c>
      <c r="B596" s="46">
        <v>86674</v>
      </c>
      <c r="C596" s="24">
        <v>844554</v>
      </c>
      <c r="D596" t="s">
        <v>1560</v>
      </c>
      <c r="E596" t="str">
        <f t="shared" ca="1" si="40"/>
        <v>9T12BT841192-45</v>
      </c>
      <c r="I596">
        <f t="shared" ca="1" si="41"/>
        <v>9</v>
      </c>
      <c r="J596" t="s">
        <v>2657</v>
      </c>
      <c r="K596">
        <f t="shared" ca="1" si="42"/>
        <v>12</v>
      </c>
      <c r="L596" t="s">
        <v>954</v>
      </c>
      <c r="M596" t="s">
        <v>2657</v>
      </c>
      <c r="N596" s="10">
        <f t="shared" si="39"/>
        <v>841192</v>
      </c>
      <c r="O596" s="49" t="s">
        <v>2656</v>
      </c>
      <c r="P596">
        <f t="shared" ca="1" si="43"/>
        <v>45</v>
      </c>
    </row>
    <row r="597" spans="1:16">
      <c r="A597" s="1">
        <v>88885</v>
      </c>
      <c r="B597" s="46">
        <v>86672</v>
      </c>
      <c r="C597" s="24">
        <v>844554</v>
      </c>
      <c r="D597" t="s">
        <v>1560</v>
      </c>
      <c r="E597" t="str">
        <f t="shared" ca="1" si="40"/>
        <v>3R41GR841192-76</v>
      </c>
      <c r="I597">
        <f t="shared" ca="1" si="41"/>
        <v>3</v>
      </c>
      <c r="J597" t="s">
        <v>1920</v>
      </c>
      <c r="K597">
        <f t="shared" ca="1" si="42"/>
        <v>41</v>
      </c>
      <c r="L597" t="s">
        <v>2659</v>
      </c>
      <c r="M597" t="s">
        <v>1920</v>
      </c>
      <c r="N597" s="10">
        <f t="shared" si="39"/>
        <v>841192</v>
      </c>
      <c r="O597" s="49" t="s">
        <v>2656</v>
      </c>
      <c r="P597">
        <f t="shared" ca="1" si="43"/>
        <v>76</v>
      </c>
    </row>
    <row r="598" spans="1:16">
      <c r="A598" s="1">
        <v>90900</v>
      </c>
      <c r="B598" s="46">
        <v>89019</v>
      </c>
      <c r="C598" s="24">
        <v>842266</v>
      </c>
      <c r="D598" t="s">
        <v>1566</v>
      </c>
      <c r="E598" t="str">
        <f t="shared" ca="1" si="40"/>
        <v>8S78BS845945-96</v>
      </c>
      <c r="I598">
        <f t="shared" ca="1" si="41"/>
        <v>8</v>
      </c>
      <c r="J598" t="s">
        <v>2350</v>
      </c>
      <c r="K598">
        <f t="shared" ca="1" si="42"/>
        <v>78</v>
      </c>
      <c r="L598" t="s">
        <v>954</v>
      </c>
      <c r="M598" t="s">
        <v>2350</v>
      </c>
      <c r="N598" s="10">
        <f t="shared" si="39"/>
        <v>845945</v>
      </c>
      <c r="O598" s="49" t="s">
        <v>2656</v>
      </c>
      <c r="P598">
        <f t="shared" ca="1" si="43"/>
        <v>96</v>
      </c>
    </row>
    <row r="599" spans="1:16">
      <c r="A599" s="1">
        <v>90901</v>
      </c>
      <c r="B599" s="46">
        <v>89018</v>
      </c>
      <c r="C599" s="24">
        <v>842266</v>
      </c>
      <c r="D599" t="s">
        <v>1566</v>
      </c>
      <c r="E599" t="str">
        <f t="shared" ca="1" si="40"/>
        <v>2T31HT845945-60</v>
      </c>
      <c r="I599">
        <f t="shared" ca="1" si="41"/>
        <v>2</v>
      </c>
      <c r="J599" t="s">
        <v>2657</v>
      </c>
      <c r="K599">
        <f t="shared" ca="1" si="42"/>
        <v>31</v>
      </c>
      <c r="L599" t="s">
        <v>2660</v>
      </c>
      <c r="M599" t="s">
        <v>2657</v>
      </c>
      <c r="N599" s="10">
        <f t="shared" si="39"/>
        <v>845945</v>
      </c>
      <c r="O599" s="49" t="s">
        <v>2656</v>
      </c>
      <c r="P599">
        <f t="shared" ca="1" si="43"/>
        <v>60</v>
      </c>
    </row>
    <row r="600" spans="1:16">
      <c r="A600" s="1">
        <v>90902</v>
      </c>
      <c r="B600" s="46">
        <v>89020</v>
      </c>
      <c r="C600" s="24">
        <v>842266</v>
      </c>
      <c r="D600" t="s">
        <v>1566</v>
      </c>
      <c r="E600" t="str">
        <f t="shared" ca="1" si="40"/>
        <v>5R40IR845945-25</v>
      </c>
      <c r="I600">
        <f t="shared" ca="1" si="41"/>
        <v>5</v>
      </c>
      <c r="J600" t="s">
        <v>1920</v>
      </c>
      <c r="K600">
        <f t="shared" ca="1" si="42"/>
        <v>40</v>
      </c>
      <c r="L600" t="s">
        <v>304</v>
      </c>
      <c r="M600" t="s">
        <v>1920</v>
      </c>
      <c r="N600" s="10">
        <f t="shared" si="39"/>
        <v>845945</v>
      </c>
      <c r="O600" s="49" t="s">
        <v>2656</v>
      </c>
      <c r="P600">
        <f t="shared" ca="1" si="43"/>
        <v>25</v>
      </c>
    </row>
    <row r="601" spans="1:16">
      <c r="A601" s="1">
        <v>90962</v>
      </c>
      <c r="B601" s="46">
        <v>89021</v>
      </c>
      <c r="C601" s="24">
        <v>842266</v>
      </c>
      <c r="D601" t="s">
        <v>1566</v>
      </c>
      <c r="E601" t="str">
        <f t="shared" ca="1" si="40"/>
        <v>7S68GS841863-31</v>
      </c>
      <c r="I601">
        <f t="shared" ca="1" si="41"/>
        <v>7</v>
      </c>
      <c r="J601" t="s">
        <v>2350</v>
      </c>
      <c r="K601">
        <f t="shared" ca="1" si="42"/>
        <v>68</v>
      </c>
      <c r="L601" t="s">
        <v>2659</v>
      </c>
      <c r="M601" t="s">
        <v>2350</v>
      </c>
      <c r="N601" s="10">
        <f t="shared" si="39"/>
        <v>841863</v>
      </c>
      <c r="O601" s="49" t="s">
        <v>2656</v>
      </c>
      <c r="P601">
        <f t="shared" ca="1" si="43"/>
        <v>31</v>
      </c>
    </row>
    <row r="602" spans="1:16">
      <c r="A602" s="1">
        <v>90963</v>
      </c>
      <c r="B602" s="46">
        <v>89462</v>
      </c>
      <c r="C602" s="24">
        <v>844111</v>
      </c>
      <c r="D602" t="s">
        <v>1572</v>
      </c>
      <c r="E602" t="str">
        <f t="shared" ca="1" si="40"/>
        <v>6T14FT841863-85</v>
      </c>
      <c r="I602">
        <f t="shared" ca="1" si="41"/>
        <v>6</v>
      </c>
      <c r="J602" t="s">
        <v>2657</v>
      </c>
      <c r="K602">
        <f t="shared" ca="1" si="42"/>
        <v>14</v>
      </c>
      <c r="L602" t="s">
        <v>2661</v>
      </c>
      <c r="M602" t="s">
        <v>2657</v>
      </c>
      <c r="N602" s="10">
        <f t="shared" si="39"/>
        <v>841863</v>
      </c>
      <c r="O602" s="49" t="s">
        <v>2656</v>
      </c>
      <c r="P602">
        <f t="shared" ca="1" si="43"/>
        <v>85</v>
      </c>
    </row>
    <row r="603" spans="1:16">
      <c r="A603" s="1">
        <v>90964</v>
      </c>
      <c r="B603" s="46">
        <v>89460</v>
      </c>
      <c r="C603" s="24">
        <v>844111</v>
      </c>
      <c r="D603" t="s">
        <v>1572</v>
      </c>
      <c r="E603" t="str">
        <f t="shared" ca="1" si="40"/>
        <v>2R24HR841863-92</v>
      </c>
      <c r="I603">
        <f t="shared" ca="1" si="41"/>
        <v>2</v>
      </c>
      <c r="J603" t="s">
        <v>1920</v>
      </c>
      <c r="K603">
        <f t="shared" ca="1" si="42"/>
        <v>24</v>
      </c>
      <c r="L603" t="s">
        <v>2660</v>
      </c>
      <c r="M603" t="s">
        <v>1920</v>
      </c>
      <c r="N603" s="10">
        <f t="shared" si="39"/>
        <v>841863</v>
      </c>
      <c r="O603" s="49" t="s">
        <v>2656</v>
      </c>
      <c r="P603">
        <f t="shared" ca="1" si="43"/>
        <v>92</v>
      </c>
    </row>
    <row r="604" spans="1:16">
      <c r="A604" s="1">
        <v>87090</v>
      </c>
      <c r="B604" s="46">
        <v>89461</v>
      </c>
      <c r="C604" s="24">
        <v>844111</v>
      </c>
      <c r="D604" t="s">
        <v>1572</v>
      </c>
      <c r="E604" t="str">
        <f t="shared" ca="1" si="40"/>
        <v>4S83AS843856-71</v>
      </c>
      <c r="I604">
        <f t="shared" ca="1" si="41"/>
        <v>4</v>
      </c>
      <c r="J604" t="s">
        <v>2350</v>
      </c>
      <c r="K604">
        <f t="shared" ca="1" si="42"/>
        <v>83</v>
      </c>
      <c r="L604" t="s">
        <v>425</v>
      </c>
      <c r="M604" t="s">
        <v>2350</v>
      </c>
      <c r="N604" s="10">
        <f t="shared" si="39"/>
        <v>843856</v>
      </c>
      <c r="O604" s="49" t="s">
        <v>2656</v>
      </c>
      <c r="P604">
        <f t="shared" ca="1" si="43"/>
        <v>71</v>
      </c>
    </row>
    <row r="605" spans="1:16">
      <c r="A605" s="1">
        <v>87089</v>
      </c>
      <c r="B605" s="46">
        <v>88247</v>
      </c>
      <c r="C605" s="24">
        <v>842766</v>
      </c>
      <c r="D605" t="s">
        <v>1578</v>
      </c>
      <c r="E605" t="str">
        <f t="shared" ca="1" si="40"/>
        <v>5T95HT843856-30</v>
      </c>
      <c r="I605">
        <f t="shared" ca="1" si="41"/>
        <v>5</v>
      </c>
      <c r="J605" t="s">
        <v>2657</v>
      </c>
      <c r="K605">
        <f t="shared" ca="1" si="42"/>
        <v>95</v>
      </c>
      <c r="L605" t="s">
        <v>2660</v>
      </c>
      <c r="M605" t="s">
        <v>2657</v>
      </c>
      <c r="N605" s="10">
        <f t="shared" si="39"/>
        <v>843856</v>
      </c>
      <c r="O605" s="49" t="s">
        <v>2656</v>
      </c>
      <c r="P605">
        <f t="shared" ca="1" si="43"/>
        <v>30</v>
      </c>
    </row>
    <row r="606" spans="1:16">
      <c r="A606" s="1">
        <v>88405</v>
      </c>
      <c r="B606" s="46">
        <v>88249</v>
      </c>
      <c r="C606" s="24">
        <v>842766</v>
      </c>
      <c r="D606" t="s">
        <v>1578</v>
      </c>
      <c r="E606" t="str">
        <f t="shared" ca="1" si="40"/>
        <v>3R26FR844460-56</v>
      </c>
      <c r="I606">
        <f t="shared" ca="1" si="41"/>
        <v>3</v>
      </c>
      <c r="J606" t="s">
        <v>1920</v>
      </c>
      <c r="K606">
        <f t="shared" ca="1" si="42"/>
        <v>26</v>
      </c>
      <c r="L606" t="s">
        <v>2661</v>
      </c>
      <c r="M606" t="s">
        <v>1920</v>
      </c>
      <c r="N606" s="10">
        <f t="shared" si="39"/>
        <v>844460</v>
      </c>
      <c r="O606" s="49" t="s">
        <v>2656</v>
      </c>
      <c r="P606">
        <f t="shared" ca="1" si="43"/>
        <v>56</v>
      </c>
    </row>
    <row r="607" spans="1:16">
      <c r="A607" s="1">
        <v>88406</v>
      </c>
      <c r="B607" s="46">
        <v>88248</v>
      </c>
      <c r="C607" s="24">
        <v>842766</v>
      </c>
      <c r="D607" t="s">
        <v>1578</v>
      </c>
      <c r="E607" t="str">
        <f t="shared" ca="1" si="40"/>
        <v>7S82DS844460-35</v>
      </c>
      <c r="I607">
        <f t="shared" ca="1" si="41"/>
        <v>7</v>
      </c>
      <c r="J607" t="s">
        <v>2350</v>
      </c>
      <c r="K607">
        <f t="shared" ca="1" si="42"/>
        <v>82</v>
      </c>
      <c r="L607" t="s">
        <v>2658</v>
      </c>
      <c r="M607" t="s">
        <v>2350</v>
      </c>
      <c r="N607" s="10">
        <f t="shared" si="39"/>
        <v>844460</v>
      </c>
      <c r="O607" s="49" t="s">
        <v>2656</v>
      </c>
      <c r="P607">
        <f t="shared" ca="1" si="43"/>
        <v>35</v>
      </c>
    </row>
    <row r="608" spans="1:16">
      <c r="A608" s="1">
        <v>88404</v>
      </c>
      <c r="B608" s="46">
        <v>85245</v>
      </c>
      <c r="C608" s="24">
        <v>843758</v>
      </c>
      <c r="D608" t="s">
        <v>1584</v>
      </c>
      <c r="E608" t="str">
        <f t="shared" ca="1" si="40"/>
        <v>2T52CT844460-79</v>
      </c>
      <c r="I608">
        <f t="shared" ca="1" si="41"/>
        <v>2</v>
      </c>
      <c r="J608" t="s">
        <v>2657</v>
      </c>
      <c r="K608">
        <f t="shared" ca="1" si="42"/>
        <v>52</v>
      </c>
      <c r="L608" t="s">
        <v>689</v>
      </c>
      <c r="M608" t="s">
        <v>2657</v>
      </c>
      <c r="N608" s="10">
        <f t="shared" ref="N608:N630" si="44">VLOOKUP(A608,B608:C1272,2,FALSE)</f>
        <v>844460</v>
      </c>
      <c r="O608" s="49" t="s">
        <v>2656</v>
      </c>
      <c r="P608">
        <f t="shared" ca="1" si="43"/>
        <v>79</v>
      </c>
    </row>
    <row r="609" spans="1:16">
      <c r="A609" s="1">
        <v>88407</v>
      </c>
      <c r="B609" s="46">
        <v>85243</v>
      </c>
      <c r="C609" s="24">
        <v>843758</v>
      </c>
      <c r="D609" t="s">
        <v>1584</v>
      </c>
      <c r="E609" t="str">
        <f t="shared" ca="1" si="40"/>
        <v>3R63DR844460-92</v>
      </c>
      <c r="I609">
        <f t="shared" ca="1" si="41"/>
        <v>3</v>
      </c>
      <c r="J609" t="s">
        <v>1920</v>
      </c>
      <c r="K609">
        <f t="shared" ca="1" si="42"/>
        <v>63</v>
      </c>
      <c r="L609" t="s">
        <v>2658</v>
      </c>
      <c r="M609" t="s">
        <v>1920</v>
      </c>
      <c r="N609" s="10">
        <f t="shared" si="44"/>
        <v>844460</v>
      </c>
      <c r="O609" s="49" t="s">
        <v>2656</v>
      </c>
      <c r="P609">
        <f t="shared" ca="1" si="43"/>
        <v>92</v>
      </c>
    </row>
    <row r="610" spans="1:16">
      <c r="A610" s="1">
        <v>90704</v>
      </c>
      <c r="B610" s="46">
        <v>85244</v>
      </c>
      <c r="C610" s="24">
        <v>843758</v>
      </c>
      <c r="D610" t="s">
        <v>1584</v>
      </c>
      <c r="E610" t="str">
        <f t="shared" ca="1" si="40"/>
        <v>7S47HS844334-68</v>
      </c>
      <c r="I610">
        <f t="shared" ca="1" si="41"/>
        <v>7</v>
      </c>
      <c r="J610" t="s">
        <v>2350</v>
      </c>
      <c r="K610">
        <f t="shared" ca="1" si="42"/>
        <v>47</v>
      </c>
      <c r="L610" t="s">
        <v>2660</v>
      </c>
      <c r="M610" t="s">
        <v>2350</v>
      </c>
      <c r="N610" s="10">
        <f t="shared" si="44"/>
        <v>844334</v>
      </c>
      <c r="O610" s="49" t="s">
        <v>2656</v>
      </c>
      <c r="P610">
        <f t="shared" ca="1" si="43"/>
        <v>68</v>
      </c>
    </row>
    <row r="611" spans="1:16">
      <c r="A611" s="1">
        <v>90703</v>
      </c>
      <c r="B611" s="46">
        <v>90968</v>
      </c>
      <c r="C611" s="24">
        <v>841859</v>
      </c>
      <c r="D611" t="s">
        <v>1590</v>
      </c>
      <c r="E611" t="str">
        <f t="shared" ca="1" si="40"/>
        <v>1T72GT844334-73</v>
      </c>
      <c r="I611">
        <f t="shared" ca="1" si="41"/>
        <v>1</v>
      </c>
      <c r="J611" t="s">
        <v>2657</v>
      </c>
      <c r="K611">
        <f t="shared" ca="1" si="42"/>
        <v>72</v>
      </c>
      <c r="L611" t="s">
        <v>2659</v>
      </c>
      <c r="M611" t="s">
        <v>2657</v>
      </c>
      <c r="N611" s="10">
        <f t="shared" si="44"/>
        <v>844334</v>
      </c>
      <c r="O611" s="49" t="s">
        <v>2656</v>
      </c>
      <c r="P611">
        <f t="shared" ca="1" si="43"/>
        <v>73</v>
      </c>
    </row>
    <row r="612" spans="1:16">
      <c r="A612" s="1">
        <v>90705</v>
      </c>
      <c r="B612" s="46">
        <v>90967</v>
      </c>
      <c r="C612" s="24">
        <v>841859</v>
      </c>
      <c r="D612" t="s">
        <v>1590</v>
      </c>
      <c r="E612" t="str">
        <f t="shared" ca="1" si="40"/>
        <v>6R23HR844334-67</v>
      </c>
      <c r="I612">
        <f t="shared" ca="1" si="41"/>
        <v>6</v>
      </c>
      <c r="J612" t="s">
        <v>1920</v>
      </c>
      <c r="K612">
        <f t="shared" ca="1" si="42"/>
        <v>23</v>
      </c>
      <c r="L612" t="s">
        <v>2660</v>
      </c>
      <c r="M612" t="s">
        <v>1920</v>
      </c>
      <c r="N612" s="10">
        <f t="shared" si="44"/>
        <v>844334</v>
      </c>
      <c r="O612" s="49" t="s">
        <v>2656</v>
      </c>
      <c r="P612">
        <f t="shared" ca="1" si="43"/>
        <v>67</v>
      </c>
    </row>
    <row r="613" spans="1:16">
      <c r="A613" s="1">
        <v>90707</v>
      </c>
      <c r="B613" s="46">
        <v>90969</v>
      </c>
      <c r="C613" s="24">
        <v>841859</v>
      </c>
      <c r="D613" t="s">
        <v>1590</v>
      </c>
      <c r="E613" t="str">
        <f t="shared" ca="1" si="40"/>
        <v>3S83ES844334-82</v>
      </c>
      <c r="I613">
        <f t="shared" ca="1" si="41"/>
        <v>3</v>
      </c>
      <c r="J613" t="s">
        <v>2350</v>
      </c>
      <c r="K613">
        <f t="shared" ca="1" si="42"/>
        <v>83</v>
      </c>
      <c r="L613" t="s">
        <v>804</v>
      </c>
      <c r="M613" t="s">
        <v>2350</v>
      </c>
      <c r="N613" s="10">
        <f t="shared" si="44"/>
        <v>844334</v>
      </c>
      <c r="O613" s="49" t="s">
        <v>2656</v>
      </c>
      <c r="P613">
        <f t="shared" ca="1" si="43"/>
        <v>82</v>
      </c>
    </row>
    <row r="614" spans="1:16">
      <c r="A614" s="1">
        <v>90706</v>
      </c>
      <c r="B614" s="46">
        <v>88674</v>
      </c>
      <c r="C614" s="24">
        <v>844537</v>
      </c>
      <c r="D614" t="s">
        <v>1595</v>
      </c>
      <c r="E614" t="str">
        <f t="shared" ca="1" si="40"/>
        <v>8T16AT844334-11</v>
      </c>
      <c r="I614">
        <f t="shared" ca="1" si="41"/>
        <v>8</v>
      </c>
      <c r="J614" t="s">
        <v>2657</v>
      </c>
      <c r="K614">
        <f t="shared" ca="1" si="42"/>
        <v>16</v>
      </c>
      <c r="L614" t="s">
        <v>425</v>
      </c>
      <c r="M614" t="s">
        <v>2657</v>
      </c>
      <c r="N614" s="10">
        <f t="shared" si="44"/>
        <v>844334</v>
      </c>
      <c r="O614" s="49" t="s">
        <v>2656</v>
      </c>
      <c r="P614">
        <f t="shared" ca="1" si="43"/>
        <v>11</v>
      </c>
    </row>
    <row r="615" spans="1:16">
      <c r="A615" s="1">
        <v>90823</v>
      </c>
      <c r="B615" s="46">
        <v>88675</v>
      </c>
      <c r="C615" s="24">
        <v>844537</v>
      </c>
      <c r="D615" t="s">
        <v>1595</v>
      </c>
      <c r="E615" t="str">
        <f t="shared" ca="1" si="40"/>
        <v>8R63FR845607-42</v>
      </c>
      <c r="I615">
        <f t="shared" ca="1" si="41"/>
        <v>8</v>
      </c>
      <c r="J615" t="s">
        <v>1920</v>
      </c>
      <c r="K615">
        <f t="shared" ca="1" si="42"/>
        <v>63</v>
      </c>
      <c r="L615" t="s">
        <v>2661</v>
      </c>
      <c r="M615" t="s">
        <v>1920</v>
      </c>
      <c r="N615" s="10">
        <f t="shared" si="44"/>
        <v>845607</v>
      </c>
      <c r="O615" s="49" t="s">
        <v>2656</v>
      </c>
      <c r="P615">
        <f t="shared" ca="1" si="43"/>
        <v>42</v>
      </c>
    </row>
    <row r="616" spans="1:16">
      <c r="A616" s="1">
        <v>90822</v>
      </c>
      <c r="B616" s="46">
        <v>88432</v>
      </c>
      <c r="C616" s="24">
        <v>844489</v>
      </c>
      <c r="D616" t="s">
        <v>1600</v>
      </c>
      <c r="E616" t="str">
        <f t="shared" ca="1" si="40"/>
        <v>6S73BS845607-41</v>
      </c>
      <c r="I616">
        <f t="shared" ca="1" si="41"/>
        <v>6</v>
      </c>
      <c r="J616" t="s">
        <v>2350</v>
      </c>
      <c r="K616">
        <f t="shared" ca="1" si="42"/>
        <v>73</v>
      </c>
      <c r="L616" t="s">
        <v>954</v>
      </c>
      <c r="M616" t="s">
        <v>2350</v>
      </c>
      <c r="N616" s="10">
        <f t="shared" si="44"/>
        <v>845607</v>
      </c>
      <c r="O616" s="49" t="s">
        <v>2656</v>
      </c>
      <c r="P616">
        <f t="shared" ca="1" si="43"/>
        <v>41</v>
      </c>
    </row>
    <row r="617" spans="1:16">
      <c r="A617" s="1">
        <v>90824</v>
      </c>
      <c r="B617" s="46">
        <v>88433</v>
      </c>
      <c r="C617" s="24">
        <v>844489</v>
      </c>
      <c r="D617" t="s">
        <v>1600</v>
      </c>
      <c r="E617" t="str">
        <f t="shared" ca="1" si="40"/>
        <v>4T10CT845607-52</v>
      </c>
      <c r="I617">
        <f t="shared" ca="1" si="41"/>
        <v>4</v>
      </c>
      <c r="J617" t="s">
        <v>2657</v>
      </c>
      <c r="K617">
        <f t="shared" ca="1" si="42"/>
        <v>10</v>
      </c>
      <c r="L617" t="s">
        <v>689</v>
      </c>
      <c r="M617" t="s">
        <v>2657</v>
      </c>
      <c r="N617" s="10">
        <f t="shared" si="44"/>
        <v>845607</v>
      </c>
      <c r="O617" s="49" t="s">
        <v>2656</v>
      </c>
      <c r="P617">
        <f t="shared" ca="1" si="43"/>
        <v>52</v>
      </c>
    </row>
    <row r="618" spans="1:16">
      <c r="A618" s="1">
        <v>89463</v>
      </c>
      <c r="B618" s="46">
        <v>88430</v>
      </c>
      <c r="C618" s="24">
        <v>844489</v>
      </c>
      <c r="D618" t="s">
        <v>1600</v>
      </c>
      <c r="E618" t="str">
        <f t="shared" ca="1" si="40"/>
        <v>1R94GR844112-86</v>
      </c>
      <c r="I618">
        <f t="shared" ca="1" si="41"/>
        <v>1</v>
      </c>
      <c r="J618" t="s">
        <v>1920</v>
      </c>
      <c r="K618">
        <f t="shared" ca="1" si="42"/>
        <v>94</v>
      </c>
      <c r="L618" t="s">
        <v>2659</v>
      </c>
      <c r="M618" t="s">
        <v>1920</v>
      </c>
      <c r="N618" s="10">
        <f t="shared" si="44"/>
        <v>844112</v>
      </c>
      <c r="O618" s="49" t="s">
        <v>2656</v>
      </c>
      <c r="P618">
        <f t="shared" ca="1" si="43"/>
        <v>86</v>
      </c>
    </row>
    <row r="619" spans="1:16">
      <c r="A619" s="1">
        <v>89464</v>
      </c>
      <c r="B619" s="46">
        <v>88431</v>
      </c>
      <c r="C619" s="24">
        <v>844489</v>
      </c>
      <c r="D619" t="s">
        <v>1600</v>
      </c>
      <c r="E619" t="str">
        <f t="shared" ca="1" si="40"/>
        <v>5S23GS844112-55</v>
      </c>
      <c r="I619">
        <f t="shared" ca="1" si="41"/>
        <v>5</v>
      </c>
      <c r="J619" t="s">
        <v>2350</v>
      </c>
      <c r="K619">
        <f t="shared" ca="1" si="42"/>
        <v>23</v>
      </c>
      <c r="L619" t="s">
        <v>2659</v>
      </c>
      <c r="M619" t="s">
        <v>2350</v>
      </c>
      <c r="N619" s="10">
        <f t="shared" si="44"/>
        <v>844112</v>
      </c>
      <c r="O619" s="49" t="s">
        <v>2656</v>
      </c>
      <c r="P619">
        <f t="shared" ca="1" si="43"/>
        <v>55</v>
      </c>
    </row>
    <row r="620" spans="1:16">
      <c r="A620" s="1">
        <v>89465</v>
      </c>
      <c r="B620" s="46">
        <v>76414</v>
      </c>
      <c r="C620" s="24">
        <v>840151</v>
      </c>
      <c r="D620" t="s">
        <v>1606</v>
      </c>
      <c r="E620" t="str">
        <f t="shared" ca="1" si="40"/>
        <v>7T68CT844112-48</v>
      </c>
      <c r="I620">
        <f t="shared" ca="1" si="41"/>
        <v>7</v>
      </c>
      <c r="J620" t="s">
        <v>2657</v>
      </c>
      <c r="K620">
        <f t="shared" ca="1" si="42"/>
        <v>68</v>
      </c>
      <c r="L620" t="s">
        <v>689</v>
      </c>
      <c r="M620" t="s">
        <v>2657</v>
      </c>
      <c r="N620" s="10">
        <f t="shared" si="44"/>
        <v>844112</v>
      </c>
      <c r="O620" s="49" t="s">
        <v>2656</v>
      </c>
      <c r="P620">
        <f t="shared" ca="1" si="43"/>
        <v>48</v>
      </c>
    </row>
    <row r="621" spans="1:16">
      <c r="A621" s="1">
        <v>89356</v>
      </c>
      <c r="B621" s="46">
        <v>76415</v>
      </c>
      <c r="C621" s="24">
        <v>840151</v>
      </c>
      <c r="D621" t="s">
        <v>1606</v>
      </c>
      <c r="E621" t="str">
        <f t="shared" ca="1" si="40"/>
        <v>5R62CR845468-98</v>
      </c>
      <c r="I621">
        <f t="shared" ca="1" si="41"/>
        <v>5</v>
      </c>
      <c r="J621" t="s">
        <v>1920</v>
      </c>
      <c r="K621">
        <f t="shared" ca="1" si="42"/>
        <v>62</v>
      </c>
      <c r="L621" t="s">
        <v>689</v>
      </c>
      <c r="M621" t="s">
        <v>1920</v>
      </c>
      <c r="N621" s="10">
        <f t="shared" si="44"/>
        <v>845468</v>
      </c>
      <c r="O621" s="49" t="s">
        <v>2656</v>
      </c>
      <c r="P621">
        <f t="shared" ca="1" si="43"/>
        <v>98</v>
      </c>
    </row>
    <row r="622" spans="1:16">
      <c r="A622" s="1">
        <v>89357</v>
      </c>
      <c r="B622" s="46">
        <v>87285</v>
      </c>
      <c r="C622" s="24">
        <v>844978</v>
      </c>
      <c r="D622" t="s">
        <v>1613</v>
      </c>
      <c r="E622" t="str">
        <f t="shared" ca="1" si="40"/>
        <v>6S40IS845468-10</v>
      </c>
      <c r="I622">
        <f t="shared" ca="1" si="41"/>
        <v>6</v>
      </c>
      <c r="J622" t="s">
        <v>2350</v>
      </c>
      <c r="K622">
        <f t="shared" ca="1" si="42"/>
        <v>40</v>
      </c>
      <c r="L622" t="s">
        <v>304</v>
      </c>
      <c r="M622" t="s">
        <v>2350</v>
      </c>
      <c r="N622" s="10">
        <f t="shared" si="44"/>
        <v>845468</v>
      </c>
      <c r="O622" s="49" t="s">
        <v>2656</v>
      </c>
      <c r="P622">
        <f t="shared" ca="1" si="43"/>
        <v>10</v>
      </c>
    </row>
    <row r="623" spans="1:16">
      <c r="A623" s="1">
        <v>85249</v>
      </c>
      <c r="B623" s="46">
        <v>87286</v>
      </c>
      <c r="C623" s="24">
        <v>844978</v>
      </c>
      <c r="D623" t="s">
        <v>1613</v>
      </c>
      <c r="E623" t="str">
        <f t="shared" ca="1" si="40"/>
        <v>8T29AT843753-14</v>
      </c>
      <c r="I623">
        <f t="shared" ca="1" si="41"/>
        <v>8</v>
      </c>
      <c r="J623" t="s">
        <v>2657</v>
      </c>
      <c r="K623">
        <f t="shared" ca="1" si="42"/>
        <v>29</v>
      </c>
      <c r="L623" t="s">
        <v>425</v>
      </c>
      <c r="M623" t="s">
        <v>2657</v>
      </c>
      <c r="N623" s="10">
        <f t="shared" si="44"/>
        <v>843753</v>
      </c>
      <c r="O623" s="49" t="s">
        <v>2656</v>
      </c>
      <c r="P623">
        <f t="shared" ca="1" si="43"/>
        <v>14</v>
      </c>
    </row>
    <row r="624" spans="1:16">
      <c r="A624" s="1">
        <v>85250</v>
      </c>
      <c r="B624" s="46">
        <v>83956</v>
      </c>
      <c r="C624" s="24">
        <v>843034</v>
      </c>
      <c r="D624" t="s">
        <v>1619</v>
      </c>
      <c r="E624" t="str">
        <f t="shared" ca="1" si="40"/>
        <v>6R88IR843753-49</v>
      </c>
      <c r="I624">
        <f t="shared" ca="1" si="41"/>
        <v>6</v>
      </c>
      <c r="J624" t="s">
        <v>1920</v>
      </c>
      <c r="K624">
        <f t="shared" ca="1" si="42"/>
        <v>88</v>
      </c>
      <c r="L624" t="s">
        <v>304</v>
      </c>
      <c r="M624" t="s">
        <v>1920</v>
      </c>
      <c r="N624" s="10">
        <f t="shared" si="44"/>
        <v>843753</v>
      </c>
      <c r="O624" s="49" t="s">
        <v>2656</v>
      </c>
      <c r="P624">
        <f t="shared" ca="1" si="43"/>
        <v>49</v>
      </c>
    </row>
    <row r="625" spans="1:16">
      <c r="A625" s="1">
        <v>85248</v>
      </c>
      <c r="B625" s="46">
        <v>83957</v>
      </c>
      <c r="C625" s="24">
        <v>843034</v>
      </c>
      <c r="D625" t="s">
        <v>1619</v>
      </c>
      <c r="E625" t="str">
        <f t="shared" ca="1" si="40"/>
        <v>9S58IS843753-14</v>
      </c>
      <c r="I625">
        <f t="shared" ca="1" si="41"/>
        <v>9</v>
      </c>
      <c r="J625" t="s">
        <v>2350</v>
      </c>
      <c r="K625">
        <f t="shared" ca="1" si="42"/>
        <v>58</v>
      </c>
      <c r="L625" t="s">
        <v>304</v>
      </c>
      <c r="M625" t="s">
        <v>2350</v>
      </c>
      <c r="N625" s="10">
        <f t="shared" si="44"/>
        <v>843753</v>
      </c>
      <c r="O625" s="49" t="s">
        <v>2656</v>
      </c>
      <c r="P625">
        <f t="shared" ca="1" si="43"/>
        <v>14</v>
      </c>
    </row>
    <row r="626" spans="1:16">
      <c r="A626" s="1">
        <v>76196</v>
      </c>
      <c r="B626" s="46">
        <v>83955</v>
      </c>
      <c r="C626" s="24">
        <v>843034</v>
      </c>
      <c r="D626" t="s">
        <v>1619</v>
      </c>
      <c r="E626" t="str">
        <f t="shared" ca="1" si="40"/>
        <v>3T34BT840156-77</v>
      </c>
      <c r="I626">
        <f t="shared" ca="1" si="41"/>
        <v>3</v>
      </c>
      <c r="J626" t="s">
        <v>2657</v>
      </c>
      <c r="K626">
        <f t="shared" ca="1" si="42"/>
        <v>34</v>
      </c>
      <c r="L626" t="s">
        <v>954</v>
      </c>
      <c r="M626" t="s">
        <v>2657</v>
      </c>
      <c r="N626" s="10">
        <f t="shared" si="44"/>
        <v>840156</v>
      </c>
      <c r="O626" s="49" t="s">
        <v>2656</v>
      </c>
      <c r="P626">
        <f t="shared" ca="1" si="43"/>
        <v>77</v>
      </c>
    </row>
    <row r="627" spans="1:16">
      <c r="A627" s="1">
        <v>76197</v>
      </c>
      <c r="B627" s="46">
        <v>90810</v>
      </c>
      <c r="C627" s="24">
        <v>843846</v>
      </c>
      <c r="D627" t="s">
        <v>1623</v>
      </c>
      <c r="E627" t="str">
        <f t="shared" ca="1" si="40"/>
        <v>5R87AR840156-14</v>
      </c>
      <c r="I627">
        <f t="shared" ca="1" si="41"/>
        <v>5</v>
      </c>
      <c r="J627" t="s">
        <v>1920</v>
      </c>
      <c r="K627">
        <f t="shared" ca="1" si="42"/>
        <v>87</v>
      </c>
      <c r="L627" t="s">
        <v>425</v>
      </c>
      <c r="M627" t="s">
        <v>1920</v>
      </c>
      <c r="N627" s="10">
        <f t="shared" si="44"/>
        <v>840156</v>
      </c>
      <c r="O627" s="49" t="s">
        <v>2656</v>
      </c>
      <c r="P627">
        <f t="shared" ca="1" si="43"/>
        <v>14</v>
      </c>
    </row>
    <row r="628" spans="1:16">
      <c r="A628" s="1">
        <v>76198</v>
      </c>
      <c r="B628" s="46">
        <v>90811</v>
      </c>
      <c r="C628" s="24">
        <v>843846</v>
      </c>
      <c r="D628" t="s">
        <v>1623</v>
      </c>
      <c r="E628" t="str">
        <f t="shared" ca="1" si="40"/>
        <v>8S62HS840156-13</v>
      </c>
      <c r="I628">
        <f t="shared" ca="1" si="41"/>
        <v>8</v>
      </c>
      <c r="J628" t="s">
        <v>2350</v>
      </c>
      <c r="K628">
        <f t="shared" ca="1" si="42"/>
        <v>62</v>
      </c>
      <c r="L628" t="s">
        <v>2660</v>
      </c>
      <c r="M628" t="s">
        <v>2350</v>
      </c>
      <c r="N628" s="10">
        <f t="shared" si="44"/>
        <v>840156</v>
      </c>
      <c r="O628" s="49" t="s">
        <v>2656</v>
      </c>
      <c r="P628">
        <f t="shared" ca="1" si="43"/>
        <v>13</v>
      </c>
    </row>
    <row r="629" spans="1:16">
      <c r="A629" s="1">
        <v>86215</v>
      </c>
      <c r="B629" s="46">
        <v>90812</v>
      </c>
      <c r="C629" s="24">
        <v>843846</v>
      </c>
      <c r="D629" t="s">
        <v>1623</v>
      </c>
      <c r="E629" t="str">
        <f t="shared" ca="1" si="40"/>
        <v>9T64DT844415-19</v>
      </c>
      <c r="I629">
        <f t="shared" ca="1" si="41"/>
        <v>9</v>
      </c>
      <c r="J629" t="s">
        <v>2657</v>
      </c>
      <c r="K629">
        <f t="shared" ca="1" si="42"/>
        <v>64</v>
      </c>
      <c r="L629" t="s">
        <v>2658</v>
      </c>
      <c r="M629" t="s">
        <v>2657</v>
      </c>
      <c r="N629" s="10">
        <f t="shared" si="44"/>
        <v>844415</v>
      </c>
      <c r="O629" s="49" t="s">
        <v>2656</v>
      </c>
      <c r="P629">
        <f t="shared" ca="1" si="43"/>
        <v>19</v>
      </c>
    </row>
    <row r="630" spans="1:16">
      <c r="A630" s="1">
        <v>86214</v>
      </c>
      <c r="B630" s="46">
        <v>90806</v>
      </c>
      <c r="C630" s="24">
        <v>845587</v>
      </c>
      <c r="D630" t="s">
        <v>1628</v>
      </c>
      <c r="E630" t="str">
        <f t="shared" ca="1" si="40"/>
        <v>2R19ER844415-14</v>
      </c>
      <c r="I630">
        <f t="shared" ca="1" si="41"/>
        <v>2</v>
      </c>
      <c r="J630" t="s">
        <v>1920</v>
      </c>
      <c r="K630">
        <f t="shared" ca="1" si="42"/>
        <v>19</v>
      </c>
      <c r="L630" t="s">
        <v>804</v>
      </c>
      <c r="M630" t="s">
        <v>1920</v>
      </c>
      <c r="N630" s="10">
        <f t="shared" si="44"/>
        <v>844415</v>
      </c>
      <c r="O630" s="49" t="s">
        <v>2656</v>
      </c>
      <c r="P630">
        <f t="shared" ca="1" si="43"/>
        <v>14</v>
      </c>
    </row>
    <row r="631" spans="1:16">
      <c r="B631" s="46">
        <v>90805</v>
      </c>
      <c r="C631" s="24">
        <v>845587</v>
      </c>
    </row>
    <row r="632" spans="1:16">
      <c r="B632" s="46">
        <v>90807</v>
      </c>
      <c r="C632" s="24">
        <v>845587</v>
      </c>
    </row>
    <row r="633" spans="1:16">
      <c r="B633" s="46">
        <v>90815</v>
      </c>
      <c r="C633" s="24">
        <v>845602</v>
      </c>
    </row>
    <row r="634" spans="1:16">
      <c r="B634" s="46">
        <v>90816</v>
      </c>
      <c r="C634" s="24">
        <v>845602</v>
      </c>
    </row>
    <row r="635" spans="1:16">
      <c r="B635" s="46">
        <v>90817</v>
      </c>
      <c r="C635" s="24">
        <v>845602</v>
      </c>
    </row>
    <row r="636" spans="1:16">
      <c r="B636" s="46">
        <v>88886</v>
      </c>
      <c r="C636" s="24">
        <v>841192</v>
      </c>
    </row>
    <row r="637" spans="1:16">
      <c r="B637" s="46">
        <v>88885</v>
      </c>
      <c r="C637" s="24">
        <v>841192</v>
      </c>
    </row>
    <row r="638" spans="1:16">
      <c r="B638" s="46">
        <v>90900</v>
      </c>
      <c r="C638" s="24">
        <v>845945</v>
      </c>
    </row>
    <row r="639" spans="1:16">
      <c r="B639" s="46">
        <v>90901</v>
      </c>
      <c r="C639" s="24">
        <v>845945</v>
      </c>
    </row>
    <row r="640" spans="1:16">
      <c r="B640" s="46">
        <v>90902</v>
      </c>
      <c r="C640" s="24">
        <v>845945</v>
      </c>
    </row>
    <row r="641" spans="2:3">
      <c r="B641" s="46">
        <v>90962</v>
      </c>
      <c r="C641" s="24">
        <v>841863</v>
      </c>
    </row>
    <row r="642" spans="2:3">
      <c r="B642" s="46">
        <v>90963</v>
      </c>
      <c r="C642" s="24">
        <v>841863</v>
      </c>
    </row>
    <row r="643" spans="2:3">
      <c r="B643" s="46">
        <v>90964</v>
      </c>
      <c r="C643" s="24">
        <v>841863</v>
      </c>
    </row>
    <row r="644" spans="2:3">
      <c r="B644" s="46">
        <v>87090</v>
      </c>
      <c r="C644" s="24">
        <v>843856</v>
      </c>
    </row>
    <row r="645" spans="2:3">
      <c r="B645" s="46">
        <v>87089</v>
      </c>
      <c r="C645" s="24">
        <v>843856</v>
      </c>
    </row>
    <row r="646" spans="2:3">
      <c r="B646" s="46">
        <v>88405</v>
      </c>
      <c r="C646" s="24">
        <v>844460</v>
      </c>
    </row>
    <row r="647" spans="2:3">
      <c r="B647" s="46">
        <v>88406</v>
      </c>
      <c r="C647" s="24">
        <v>844460</v>
      </c>
    </row>
    <row r="648" spans="2:3">
      <c r="B648" s="46">
        <v>88404</v>
      </c>
      <c r="C648" s="24">
        <v>844460</v>
      </c>
    </row>
    <row r="649" spans="2:3">
      <c r="B649" s="46">
        <v>88407</v>
      </c>
      <c r="C649" s="24">
        <v>844460</v>
      </c>
    </row>
    <row r="650" spans="2:3">
      <c r="B650" s="46">
        <v>90704</v>
      </c>
      <c r="C650" s="24">
        <v>844334</v>
      </c>
    </row>
    <row r="651" spans="2:3">
      <c r="B651" s="46">
        <v>90703</v>
      </c>
      <c r="C651" s="24">
        <v>844334</v>
      </c>
    </row>
    <row r="652" spans="2:3">
      <c r="B652" s="46">
        <v>90705</v>
      </c>
      <c r="C652" s="24">
        <v>844334</v>
      </c>
    </row>
    <row r="653" spans="2:3">
      <c r="B653" s="46">
        <v>90707</v>
      </c>
      <c r="C653" s="24">
        <v>844334</v>
      </c>
    </row>
    <row r="654" spans="2:3">
      <c r="B654" s="46">
        <v>90706</v>
      </c>
      <c r="C654" s="24">
        <v>844334</v>
      </c>
    </row>
    <row r="655" spans="2:3">
      <c r="B655" s="46">
        <v>90823</v>
      </c>
      <c r="C655" s="24">
        <v>845607</v>
      </c>
    </row>
    <row r="656" spans="2:3">
      <c r="B656" s="46">
        <v>90822</v>
      </c>
      <c r="C656" s="24">
        <v>845607</v>
      </c>
    </row>
    <row r="657" spans="2:3">
      <c r="B657" s="46">
        <v>90824</v>
      </c>
      <c r="C657" s="24">
        <v>845607</v>
      </c>
    </row>
    <row r="658" spans="2:3">
      <c r="B658" s="46">
        <v>89463</v>
      </c>
      <c r="C658" s="24">
        <v>844112</v>
      </c>
    </row>
    <row r="659" spans="2:3">
      <c r="B659" s="46">
        <v>89464</v>
      </c>
      <c r="C659" s="24">
        <v>844112</v>
      </c>
    </row>
    <row r="660" spans="2:3">
      <c r="B660" s="46">
        <v>89465</v>
      </c>
      <c r="C660" s="24">
        <v>844112</v>
      </c>
    </row>
    <row r="661" spans="2:3">
      <c r="B661" s="46">
        <v>89356</v>
      </c>
      <c r="C661" s="24">
        <v>845468</v>
      </c>
    </row>
    <row r="662" spans="2:3">
      <c r="B662" s="46">
        <v>89357</v>
      </c>
      <c r="C662" s="24">
        <v>845468</v>
      </c>
    </row>
    <row r="663" spans="2:3">
      <c r="B663" s="46">
        <v>85249</v>
      </c>
      <c r="C663" s="24">
        <v>843753</v>
      </c>
    </row>
    <row r="664" spans="2:3">
      <c r="B664" s="46">
        <v>85250</v>
      </c>
      <c r="C664" s="24">
        <v>843753</v>
      </c>
    </row>
    <row r="665" spans="2:3">
      <c r="B665" s="46">
        <v>85248</v>
      </c>
      <c r="C665" s="24">
        <v>843753</v>
      </c>
    </row>
    <row r="666" spans="2:3">
      <c r="B666" s="46">
        <v>76196</v>
      </c>
      <c r="C666" s="24">
        <v>840156</v>
      </c>
    </row>
    <row r="667" spans="2:3">
      <c r="B667" s="46">
        <v>76197</v>
      </c>
      <c r="C667" s="24">
        <v>840156</v>
      </c>
    </row>
    <row r="668" spans="2:3">
      <c r="B668" s="46">
        <v>76198</v>
      </c>
      <c r="C668" s="24">
        <v>840156</v>
      </c>
    </row>
    <row r="669" spans="2:3">
      <c r="B669" s="46">
        <v>86215</v>
      </c>
      <c r="C669" s="24">
        <v>844415</v>
      </c>
    </row>
    <row r="670" spans="2:3" ht="15.75" thickBot="1">
      <c r="B670" s="47">
        <v>86214</v>
      </c>
      <c r="C670" s="48">
        <v>844415</v>
      </c>
    </row>
    <row r="672" spans="2:3">
      <c r="C672" t="s">
        <v>2662</v>
      </c>
    </row>
    <row r="673" spans="3:3">
      <c r="C673" t="s">
        <v>2662</v>
      </c>
    </row>
    <row r="674" spans="3:3">
      <c r="C674" t="s">
        <v>2662</v>
      </c>
    </row>
    <row r="675" spans="3:3">
      <c r="C675" t="s">
        <v>2662</v>
      </c>
    </row>
    <row r="676" spans="3:3">
      <c r="C676" t="s">
        <v>2662</v>
      </c>
    </row>
    <row r="677" spans="3:3">
      <c r="C677" t="s">
        <v>2662</v>
      </c>
    </row>
    <row r="678" spans="3:3">
      <c r="C678" t="s">
        <v>2662</v>
      </c>
    </row>
    <row r="679" spans="3:3">
      <c r="C679" t="s">
        <v>2662</v>
      </c>
    </row>
    <row r="680" spans="3:3">
      <c r="C680" t="s">
        <v>2662</v>
      </c>
    </row>
    <row r="681" spans="3:3">
      <c r="C681" t="s">
        <v>2662</v>
      </c>
    </row>
    <row r="682" spans="3:3">
      <c r="C682" t="s">
        <v>2662</v>
      </c>
    </row>
    <row r="683" spans="3:3">
      <c r="C683" t="s">
        <v>2662</v>
      </c>
    </row>
    <row r="684" spans="3:3">
      <c r="C684" t="s">
        <v>2662</v>
      </c>
    </row>
    <row r="685" spans="3:3">
      <c r="C685" t="s">
        <v>2662</v>
      </c>
    </row>
    <row r="686" spans="3:3">
      <c r="C686" t="s">
        <v>2662</v>
      </c>
    </row>
    <row r="687" spans="3:3">
      <c r="C687" t="s">
        <v>2662</v>
      </c>
    </row>
    <row r="688" spans="3:3">
      <c r="C688" t="s">
        <v>2662</v>
      </c>
    </row>
    <row r="689" spans="3:3">
      <c r="C689" t="s">
        <v>2662</v>
      </c>
    </row>
    <row r="690" spans="3:3">
      <c r="C690" t="s">
        <v>2662</v>
      </c>
    </row>
    <row r="691" spans="3:3">
      <c r="C691" t="s">
        <v>2662</v>
      </c>
    </row>
    <row r="692" spans="3:3">
      <c r="C692" t="s">
        <v>2662</v>
      </c>
    </row>
    <row r="693" spans="3:3">
      <c r="C693" t="s">
        <v>2662</v>
      </c>
    </row>
    <row r="694" spans="3:3">
      <c r="C694" t="s">
        <v>2662</v>
      </c>
    </row>
    <row r="695" spans="3:3">
      <c r="C695" t="s">
        <v>2662</v>
      </c>
    </row>
    <row r="696" spans="3:3">
      <c r="C696" t="s">
        <v>2662</v>
      </c>
    </row>
    <row r="697" spans="3:3">
      <c r="C697" t="s">
        <v>2662</v>
      </c>
    </row>
    <row r="698" spans="3:3">
      <c r="C698" t="s">
        <v>2662</v>
      </c>
    </row>
    <row r="699" spans="3:3">
      <c r="C699" t="s">
        <v>2662</v>
      </c>
    </row>
    <row r="700" spans="3:3">
      <c r="C700" t="s">
        <v>2662</v>
      </c>
    </row>
    <row r="701" spans="3:3">
      <c r="C701" t="s">
        <v>2662</v>
      </c>
    </row>
    <row r="702" spans="3:3">
      <c r="C702" t="s">
        <v>2662</v>
      </c>
    </row>
    <row r="703" spans="3:3">
      <c r="C703" t="s">
        <v>2663</v>
      </c>
    </row>
    <row r="704" spans="3:3">
      <c r="C704" t="s">
        <v>2663</v>
      </c>
    </row>
    <row r="705" spans="3:3">
      <c r="C705" t="s">
        <v>2663</v>
      </c>
    </row>
    <row r="706" spans="3:3">
      <c r="C706" t="s">
        <v>2663</v>
      </c>
    </row>
    <row r="707" spans="3:3">
      <c r="C707" t="s">
        <v>2663</v>
      </c>
    </row>
    <row r="708" spans="3:3">
      <c r="C708" t="s">
        <v>2663</v>
      </c>
    </row>
    <row r="709" spans="3:3">
      <c r="C709" t="s">
        <v>2663</v>
      </c>
    </row>
    <row r="710" spans="3:3">
      <c r="C710" t="s">
        <v>2663</v>
      </c>
    </row>
    <row r="711" spans="3:3">
      <c r="C711" t="s">
        <v>2663</v>
      </c>
    </row>
    <row r="712" spans="3:3">
      <c r="C712" t="s">
        <v>2663</v>
      </c>
    </row>
    <row r="713" spans="3:3">
      <c r="C713" t="s">
        <v>2663</v>
      </c>
    </row>
    <row r="714" spans="3:3">
      <c r="C714" t="s">
        <v>2663</v>
      </c>
    </row>
    <row r="715" spans="3:3">
      <c r="C715" t="s">
        <v>2663</v>
      </c>
    </row>
    <row r="716" spans="3:3">
      <c r="C716" t="s">
        <v>2663</v>
      </c>
    </row>
    <row r="717" spans="3:3">
      <c r="C717" t="s">
        <v>2663</v>
      </c>
    </row>
    <row r="718" spans="3:3">
      <c r="C718" t="s">
        <v>2663</v>
      </c>
    </row>
    <row r="719" spans="3:3">
      <c r="C719" t="s">
        <v>2663</v>
      </c>
    </row>
    <row r="720" spans="3:3">
      <c r="C720" t="s">
        <v>2663</v>
      </c>
    </row>
    <row r="721" spans="3:3">
      <c r="C721" t="s">
        <v>2663</v>
      </c>
    </row>
    <row r="722" spans="3:3">
      <c r="C722" t="s">
        <v>2663</v>
      </c>
    </row>
    <row r="723" spans="3:3">
      <c r="C723" t="s">
        <v>2663</v>
      </c>
    </row>
    <row r="724" spans="3:3">
      <c r="C724" t="s">
        <v>2663</v>
      </c>
    </row>
    <row r="725" spans="3:3">
      <c r="C725" t="s">
        <v>2663</v>
      </c>
    </row>
    <row r="726" spans="3:3">
      <c r="C726" t="s">
        <v>2663</v>
      </c>
    </row>
    <row r="727" spans="3:3">
      <c r="C727" t="s">
        <v>2663</v>
      </c>
    </row>
    <row r="728" spans="3:3">
      <c r="C728" t="s">
        <v>2663</v>
      </c>
    </row>
    <row r="729" spans="3:3">
      <c r="C729" t="s">
        <v>2663</v>
      </c>
    </row>
    <row r="730" spans="3:3">
      <c r="C730" t="s">
        <v>2663</v>
      </c>
    </row>
    <row r="731" spans="3:3">
      <c r="C731" t="s">
        <v>2663</v>
      </c>
    </row>
    <row r="732" spans="3:3">
      <c r="C732" t="s">
        <v>2663</v>
      </c>
    </row>
    <row r="733" spans="3:3">
      <c r="C733" t="s">
        <v>2664</v>
      </c>
    </row>
    <row r="734" spans="3:3">
      <c r="C734" t="s">
        <v>2664</v>
      </c>
    </row>
    <row r="735" spans="3:3">
      <c r="C735" t="s">
        <v>2664</v>
      </c>
    </row>
    <row r="736" spans="3:3">
      <c r="C736" t="s">
        <v>2664</v>
      </c>
    </row>
    <row r="737" spans="3:3">
      <c r="C737" t="s">
        <v>2664</v>
      </c>
    </row>
    <row r="738" spans="3:3">
      <c r="C738" t="s">
        <v>2664</v>
      </c>
    </row>
    <row r="739" spans="3:3">
      <c r="C739" t="s">
        <v>2664</v>
      </c>
    </row>
    <row r="740" spans="3:3">
      <c r="C740" t="s">
        <v>2664</v>
      </c>
    </row>
    <row r="741" spans="3:3">
      <c r="C741" t="s">
        <v>2664</v>
      </c>
    </row>
    <row r="742" spans="3:3">
      <c r="C742" t="s">
        <v>2664</v>
      </c>
    </row>
    <row r="743" spans="3:3">
      <c r="C743" t="s">
        <v>2664</v>
      </c>
    </row>
    <row r="744" spans="3:3">
      <c r="C744" t="s">
        <v>2664</v>
      </c>
    </row>
    <row r="745" spans="3:3">
      <c r="C745" t="s">
        <v>2664</v>
      </c>
    </row>
    <row r="746" spans="3:3">
      <c r="C746" t="s">
        <v>2664</v>
      </c>
    </row>
    <row r="747" spans="3:3">
      <c r="C747" t="s">
        <v>2664</v>
      </c>
    </row>
    <row r="748" spans="3:3">
      <c r="C748" t="s">
        <v>2664</v>
      </c>
    </row>
    <row r="749" spans="3:3">
      <c r="C749" t="s">
        <v>2664</v>
      </c>
    </row>
    <row r="750" spans="3:3">
      <c r="C750" t="s">
        <v>2664</v>
      </c>
    </row>
    <row r="751" spans="3:3">
      <c r="C751" t="s">
        <v>2664</v>
      </c>
    </row>
    <row r="752" spans="3:3">
      <c r="C752" t="s">
        <v>2664</v>
      </c>
    </row>
    <row r="753" spans="3:3">
      <c r="C753" t="s">
        <v>2664</v>
      </c>
    </row>
    <row r="754" spans="3:3">
      <c r="C754" t="s">
        <v>2664</v>
      </c>
    </row>
    <row r="755" spans="3:3">
      <c r="C755" t="s">
        <v>2664</v>
      </c>
    </row>
    <row r="756" spans="3:3">
      <c r="C756" t="s">
        <v>2664</v>
      </c>
    </row>
    <row r="757" spans="3:3">
      <c r="C757" t="s">
        <v>2664</v>
      </c>
    </row>
    <row r="758" spans="3:3">
      <c r="C758" t="s">
        <v>2664</v>
      </c>
    </row>
    <row r="759" spans="3:3">
      <c r="C759" t="s">
        <v>2664</v>
      </c>
    </row>
    <row r="760" spans="3:3">
      <c r="C760" t="s">
        <v>2664</v>
      </c>
    </row>
    <row r="761" spans="3:3">
      <c r="C761" t="s">
        <v>2664</v>
      </c>
    </row>
    <row r="762" spans="3:3">
      <c r="C762" t="s">
        <v>2664</v>
      </c>
    </row>
    <row r="763" spans="3:3">
      <c r="C763" t="s">
        <v>2664</v>
      </c>
    </row>
    <row r="764" spans="3:3">
      <c r="C764" t="s">
        <v>2665</v>
      </c>
    </row>
    <row r="765" spans="3:3">
      <c r="C765" t="s">
        <v>2665</v>
      </c>
    </row>
    <row r="766" spans="3:3">
      <c r="C766" t="s">
        <v>2665</v>
      </c>
    </row>
    <row r="767" spans="3:3">
      <c r="C767" t="s">
        <v>2665</v>
      </c>
    </row>
    <row r="768" spans="3:3">
      <c r="C768" t="s">
        <v>2665</v>
      </c>
    </row>
    <row r="769" spans="3:3">
      <c r="C769" t="s">
        <v>2665</v>
      </c>
    </row>
    <row r="770" spans="3:3">
      <c r="C770" t="s">
        <v>2665</v>
      </c>
    </row>
    <row r="771" spans="3:3">
      <c r="C771" t="s">
        <v>2665</v>
      </c>
    </row>
    <row r="772" spans="3:3">
      <c r="C772" t="s">
        <v>2665</v>
      </c>
    </row>
    <row r="773" spans="3:3">
      <c r="C773" t="s">
        <v>2665</v>
      </c>
    </row>
    <row r="774" spans="3:3">
      <c r="C774" t="s">
        <v>2665</v>
      </c>
    </row>
    <row r="775" spans="3:3">
      <c r="C775" t="s">
        <v>2665</v>
      </c>
    </row>
    <row r="776" spans="3:3">
      <c r="C776" t="s">
        <v>2665</v>
      </c>
    </row>
    <row r="777" spans="3:3">
      <c r="C777" t="s">
        <v>2665</v>
      </c>
    </row>
    <row r="778" spans="3:3">
      <c r="C778" t="s">
        <v>2665</v>
      </c>
    </row>
    <row r="779" spans="3:3">
      <c r="C779" t="s">
        <v>2665</v>
      </c>
    </row>
    <row r="780" spans="3:3">
      <c r="C780" t="s">
        <v>2665</v>
      </c>
    </row>
    <row r="781" spans="3:3">
      <c r="C781" t="s">
        <v>2665</v>
      </c>
    </row>
    <row r="782" spans="3:3">
      <c r="C782" t="s">
        <v>2665</v>
      </c>
    </row>
    <row r="783" spans="3:3">
      <c r="C783" t="s">
        <v>2665</v>
      </c>
    </row>
    <row r="784" spans="3:3">
      <c r="C784" t="s">
        <v>2665</v>
      </c>
    </row>
    <row r="785" spans="3:3">
      <c r="C785" t="s">
        <v>2665</v>
      </c>
    </row>
    <row r="786" spans="3:3">
      <c r="C786" t="s">
        <v>2665</v>
      </c>
    </row>
    <row r="787" spans="3:3">
      <c r="C787" t="s">
        <v>2665</v>
      </c>
    </row>
    <row r="788" spans="3:3">
      <c r="C788" t="s">
        <v>2665</v>
      </c>
    </row>
    <row r="789" spans="3:3">
      <c r="C789" t="s">
        <v>2665</v>
      </c>
    </row>
    <row r="790" spans="3:3">
      <c r="C790" t="s">
        <v>2665</v>
      </c>
    </row>
    <row r="791" spans="3:3">
      <c r="C791" t="s">
        <v>2662</v>
      </c>
    </row>
    <row r="792" spans="3:3">
      <c r="C792" t="s">
        <v>2662</v>
      </c>
    </row>
    <row r="793" spans="3:3">
      <c r="C793" t="s">
        <v>2662</v>
      </c>
    </row>
    <row r="794" spans="3:3">
      <c r="C794" t="s">
        <v>2662</v>
      </c>
    </row>
    <row r="795" spans="3:3">
      <c r="C795" t="s">
        <v>2662</v>
      </c>
    </row>
    <row r="796" spans="3:3">
      <c r="C796" t="s">
        <v>2662</v>
      </c>
    </row>
    <row r="797" spans="3:3">
      <c r="C797" t="s">
        <v>2662</v>
      </c>
    </row>
    <row r="798" spans="3:3">
      <c r="C798" t="s">
        <v>2662</v>
      </c>
    </row>
    <row r="799" spans="3:3">
      <c r="C799" t="s">
        <v>2662</v>
      </c>
    </row>
    <row r="800" spans="3:3">
      <c r="C800" t="s">
        <v>2662</v>
      </c>
    </row>
    <row r="801" spans="3:3">
      <c r="C801" t="s">
        <v>2662</v>
      </c>
    </row>
    <row r="802" spans="3:3">
      <c r="C802" t="s">
        <v>2662</v>
      </c>
    </row>
    <row r="803" spans="3:3">
      <c r="C803" t="s">
        <v>2662</v>
      </c>
    </row>
    <row r="804" spans="3:3">
      <c r="C804" t="s">
        <v>2662</v>
      </c>
    </row>
    <row r="805" spans="3:3">
      <c r="C805" t="s">
        <v>2662</v>
      </c>
    </row>
    <row r="806" spans="3:3">
      <c r="C806" t="s">
        <v>2662</v>
      </c>
    </row>
    <row r="807" spans="3:3">
      <c r="C807" t="s">
        <v>2662</v>
      </c>
    </row>
    <row r="808" spans="3:3">
      <c r="C808" t="s">
        <v>2662</v>
      </c>
    </row>
    <row r="809" spans="3:3">
      <c r="C809" t="s">
        <v>2662</v>
      </c>
    </row>
    <row r="810" spans="3:3">
      <c r="C810" t="s">
        <v>2662</v>
      </c>
    </row>
    <row r="811" spans="3:3">
      <c r="C811" t="s">
        <v>2662</v>
      </c>
    </row>
    <row r="812" spans="3:3">
      <c r="C812" t="s">
        <v>2662</v>
      </c>
    </row>
    <row r="813" spans="3:3">
      <c r="C813" t="s">
        <v>2662</v>
      </c>
    </row>
    <row r="814" spans="3:3">
      <c r="C814" t="s">
        <v>2662</v>
      </c>
    </row>
    <row r="815" spans="3:3">
      <c r="C815" t="s">
        <v>2662</v>
      </c>
    </row>
    <row r="816" spans="3:3">
      <c r="C816" t="s">
        <v>2662</v>
      </c>
    </row>
    <row r="817" spans="3:3">
      <c r="C817" t="s">
        <v>2662</v>
      </c>
    </row>
    <row r="818" spans="3:3">
      <c r="C818" t="s">
        <v>2662</v>
      </c>
    </row>
    <row r="819" spans="3:3">
      <c r="C819" t="s">
        <v>2662</v>
      </c>
    </row>
    <row r="820" spans="3:3">
      <c r="C820" t="s">
        <v>2662</v>
      </c>
    </row>
    <row r="821" spans="3:3">
      <c r="C821" t="s">
        <v>2662</v>
      </c>
    </row>
    <row r="822" spans="3:3">
      <c r="C822" t="s">
        <v>2663</v>
      </c>
    </row>
    <row r="823" spans="3:3">
      <c r="C823" t="s">
        <v>2663</v>
      </c>
    </row>
    <row r="824" spans="3:3">
      <c r="C824" t="s">
        <v>2663</v>
      </c>
    </row>
    <row r="825" spans="3:3">
      <c r="C825" t="s">
        <v>2663</v>
      </c>
    </row>
    <row r="826" spans="3:3">
      <c r="C826" t="s">
        <v>2663</v>
      </c>
    </row>
    <row r="827" spans="3:3">
      <c r="C827" t="s">
        <v>2663</v>
      </c>
    </row>
    <row r="828" spans="3:3">
      <c r="C828" t="s">
        <v>2663</v>
      </c>
    </row>
    <row r="829" spans="3:3">
      <c r="C829" t="s">
        <v>2663</v>
      </c>
    </row>
    <row r="830" spans="3:3">
      <c r="C830" t="s">
        <v>2663</v>
      </c>
    </row>
    <row r="831" spans="3:3">
      <c r="C831" t="s">
        <v>2663</v>
      </c>
    </row>
    <row r="832" spans="3:3">
      <c r="C832" t="s">
        <v>2663</v>
      </c>
    </row>
    <row r="833" spans="3:3">
      <c r="C833" t="s">
        <v>2663</v>
      </c>
    </row>
    <row r="834" spans="3:3">
      <c r="C834" t="s">
        <v>2663</v>
      </c>
    </row>
    <row r="835" spans="3:3">
      <c r="C835" t="s">
        <v>2663</v>
      </c>
    </row>
    <row r="836" spans="3:3">
      <c r="C836" t="s">
        <v>2663</v>
      </c>
    </row>
    <row r="837" spans="3:3">
      <c r="C837" t="s">
        <v>2663</v>
      </c>
    </row>
    <row r="838" spans="3:3">
      <c r="C838" t="s">
        <v>2663</v>
      </c>
    </row>
    <row r="839" spans="3:3">
      <c r="C839" t="s">
        <v>2663</v>
      </c>
    </row>
    <row r="840" spans="3:3">
      <c r="C840" t="s">
        <v>2663</v>
      </c>
    </row>
    <row r="841" spans="3:3">
      <c r="C841" t="s">
        <v>2663</v>
      </c>
    </row>
    <row r="842" spans="3:3">
      <c r="C842" t="s">
        <v>2663</v>
      </c>
    </row>
    <row r="843" spans="3:3">
      <c r="C843" t="s">
        <v>2663</v>
      </c>
    </row>
    <row r="844" spans="3:3">
      <c r="C844" t="s">
        <v>2663</v>
      </c>
    </row>
    <row r="845" spans="3:3">
      <c r="C845" t="s">
        <v>2663</v>
      </c>
    </row>
    <row r="846" spans="3:3">
      <c r="C846" t="s">
        <v>2663</v>
      </c>
    </row>
    <row r="847" spans="3:3">
      <c r="C847" t="s">
        <v>2663</v>
      </c>
    </row>
    <row r="848" spans="3:3">
      <c r="C848" t="s">
        <v>2663</v>
      </c>
    </row>
    <row r="849" spans="3:3">
      <c r="C849" t="s">
        <v>2663</v>
      </c>
    </row>
    <row r="850" spans="3:3">
      <c r="C850" t="s">
        <v>2663</v>
      </c>
    </row>
    <row r="851" spans="3:3">
      <c r="C851" t="s">
        <v>2664</v>
      </c>
    </row>
    <row r="852" spans="3:3">
      <c r="C852" t="s">
        <v>2664</v>
      </c>
    </row>
    <row r="853" spans="3:3">
      <c r="C853" t="s">
        <v>2664</v>
      </c>
    </row>
    <row r="854" spans="3:3">
      <c r="C854" t="s">
        <v>2664</v>
      </c>
    </row>
    <row r="855" spans="3:3">
      <c r="C855" t="s">
        <v>2664</v>
      </c>
    </row>
    <row r="856" spans="3:3">
      <c r="C856" t="s">
        <v>2664</v>
      </c>
    </row>
    <row r="857" spans="3:3">
      <c r="C857" t="s">
        <v>2664</v>
      </c>
    </row>
    <row r="858" spans="3:3">
      <c r="C858" t="s">
        <v>2664</v>
      </c>
    </row>
    <row r="859" spans="3:3">
      <c r="C859" t="s">
        <v>2664</v>
      </c>
    </row>
    <row r="860" spans="3:3">
      <c r="C860" t="s">
        <v>2664</v>
      </c>
    </row>
    <row r="861" spans="3:3">
      <c r="C861" t="s">
        <v>2664</v>
      </c>
    </row>
    <row r="862" spans="3:3">
      <c r="C862" t="s">
        <v>2664</v>
      </c>
    </row>
    <row r="863" spans="3:3">
      <c r="C863" t="s">
        <v>2664</v>
      </c>
    </row>
    <row r="864" spans="3:3">
      <c r="C864" t="s">
        <v>2664</v>
      </c>
    </row>
    <row r="865" spans="3:3">
      <c r="C865" t="s">
        <v>2664</v>
      </c>
    </row>
    <row r="866" spans="3:3">
      <c r="C866" t="s">
        <v>2664</v>
      </c>
    </row>
    <row r="867" spans="3:3">
      <c r="C867" t="s">
        <v>2664</v>
      </c>
    </row>
    <row r="868" spans="3:3">
      <c r="C868" t="s">
        <v>2664</v>
      </c>
    </row>
    <row r="869" spans="3:3">
      <c r="C869" t="s">
        <v>2664</v>
      </c>
    </row>
    <row r="870" spans="3:3">
      <c r="C870" t="s">
        <v>2664</v>
      </c>
    </row>
    <row r="871" spans="3:3">
      <c r="C871" t="s">
        <v>2664</v>
      </c>
    </row>
    <row r="872" spans="3:3">
      <c r="C872" t="s">
        <v>2664</v>
      </c>
    </row>
    <row r="873" spans="3:3">
      <c r="C873" t="s">
        <v>2664</v>
      </c>
    </row>
    <row r="874" spans="3:3">
      <c r="C874" t="s">
        <v>2664</v>
      </c>
    </row>
    <row r="875" spans="3:3">
      <c r="C875" t="s">
        <v>2664</v>
      </c>
    </row>
    <row r="876" spans="3:3">
      <c r="C876" t="s">
        <v>2664</v>
      </c>
    </row>
    <row r="877" spans="3:3">
      <c r="C877" t="s">
        <v>2664</v>
      </c>
    </row>
    <row r="878" spans="3:3">
      <c r="C878" t="s">
        <v>2664</v>
      </c>
    </row>
    <row r="879" spans="3:3">
      <c r="C879" t="s">
        <v>2664</v>
      </c>
    </row>
    <row r="880" spans="3:3">
      <c r="C880" t="s">
        <v>2664</v>
      </c>
    </row>
    <row r="881" spans="3:3">
      <c r="C881" t="s">
        <v>2664</v>
      </c>
    </row>
    <row r="882" spans="3:3">
      <c r="C882" t="s">
        <v>2664</v>
      </c>
    </row>
    <row r="883" spans="3:3">
      <c r="C883" t="s">
        <v>2664</v>
      </c>
    </row>
    <row r="884" spans="3:3">
      <c r="C884" t="s">
        <v>2665</v>
      </c>
    </row>
    <row r="885" spans="3:3">
      <c r="C885" t="s">
        <v>2665</v>
      </c>
    </row>
    <row r="886" spans="3:3">
      <c r="C886" t="s">
        <v>2665</v>
      </c>
    </row>
    <row r="887" spans="3:3">
      <c r="C887" t="s">
        <v>2665</v>
      </c>
    </row>
    <row r="888" spans="3:3">
      <c r="C888" t="s">
        <v>2665</v>
      </c>
    </row>
    <row r="889" spans="3:3">
      <c r="C889" t="s">
        <v>2665</v>
      </c>
    </row>
    <row r="890" spans="3:3">
      <c r="C890" t="s">
        <v>2665</v>
      </c>
    </row>
    <row r="891" spans="3:3">
      <c r="C891" t="s">
        <v>2665</v>
      </c>
    </row>
    <row r="892" spans="3:3">
      <c r="C892" t="s">
        <v>2665</v>
      </c>
    </row>
    <row r="893" spans="3:3">
      <c r="C893" t="s">
        <v>2665</v>
      </c>
    </row>
    <row r="894" spans="3:3">
      <c r="C894" t="s">
        <v>2665</v>
      </c>
    </row>
    <row r="895" spans="3:3">
      <c r="C895" t="s">
        <v>2665</v>
      </c>
    </row>
    <row r="896" spans="3:3">
      <c r="C896" t="s">
        <v>2665</v>
      </c>
    </row>
    <row r="897" spans="3:3">
      <c r="C897" t="s">
        <v>2665</v>
      </c>
    </row>
    <row r="898" spans="3:3">
      <c r="C898" t="s">
        <v>2665</v>
      </c>
    </row>
    <row r="899" spans="3:3">
      <c r="C899" t="s">
        <v>2665</v>
      </c>
    </row>
    <row r="900" spans="3:3">
      <c r="C900" t="s">
        <v>2665</v>
      </c>
    </row>
    <row r="901" spans="3:3">
      <c r="C901" t="s">
        <v>2665</v>
      </c>
    </row>
    <row r="902" spans="3:3">
      <c r="C902" t="s">
        <v>2665</v>
      </c>
    </row>
    <row r="903" spans="3:3">
      <c r="C903" t="s">
        <v>2665</v>
      </c>
    </row>
    <row r="904" spans="3:3">
      <c r="C904" t="s">
        <v>2665</v>
      </c>
    </row>
    <row r="905" spans="3:3">
      <c r="C905" t="s">
        <v>2665</v>
      </c>
    </row>
    <row r="906" spans="3:3">
      <c r="C906" t="s">
        <v>2665</v>
      </c>
    </row>
    <row r="907" spans="3:3">
      <c r="C907" t="s">
        <v>2665</v>
      </c>
    </row>
    <row r="908" spans="3:3">
      <c r="C908" t="s">
        <v>2665</v>
      </c>
    </row>
    <row r="909" spans="3:3">
      <c r="C909" t="s">
        <v>2662</v>
      </c>
    </row>
    <row r="910" spans="3:3">
      <c r="C910" t="s">
        <v>2662</v>
      </c>
    </row>
    <row r="911" spans="3:3">
      <c r="C911" t="s">
        <v>2662</v>
      </c>
    </row>
    <row r="912" spans="3:3">
      <c r="C912" t="s">
        <v>2662</v>
      </c>
    </row>
    <row r="913" spans="3:3">
      <c r="C913" t="s">
        <v>2662</v>
      </c>
    </row>
    <row r="914" spans="3:3">
      <c r="C914" t="s">
        <v>2662</v>
      </c>
    </row>
    <row r="915" spans="3:3">
      <c r="C915" t="s">
        <v>2662</v>
      </c>
    </row>
    <row r="916" spans="3:3">
      <c r="C916" t="s">
        <v>2662</v>
      </c>
    </row>
    <row r="917" spans="3:3">
      <c r="C917" t="s">
        <v>2662</v>
      </c>
    </row>
    <row r="918" spans="3:3">
      <c r="C918" t="s">
        <v>2662</v>
      </c>
    </row>
    <row r="919" spans="3:3">
      <c r="C919" t="s">
        <v>2662</v>
      </c>
    </row>
    <row r="920" spans="3:3">
      <c r="C920" t="s">
        <v>2662</v>
      </c>
    </row>
    <row r="921" spans="3:3">
      <c r="C921" t="s">
        <v>2662</v>
      </c>
    </row>
    <row r="922" spans="3:3">
      <c r="C922" t="s">
        <v>2662</v>
      </c>
    </row>
    <row r="923" spans="3:3">
      <c r="C923" t="s">
        <v>2662</v>
      </c>
    </row>
    <row r="924" spans="3:3">
      <c r="C924" t="s">
        <v>2662</v>
      </c>
    </row>
    <row r="925" spans="3:3">
      <c r="C925" t="s">
        <v>2662</v>
      </c>
    </row>
    <row r="926" spans="3:3">
      <c r="C926" t="s">
        <v>2662</v>
      </c>
    </row>
    <row r="927" spans="3:3">
      <c r="C927" t="s">
        <v>2662</v>
      </c>
    </row>
    <row r="928" spans="3:3">
      <c r="C928" t="s">
        <v>2662</v>
      </c>
    </row>
    <row r="929" spans="3:3">
      <c r="C929" t="s">
        <v>2662</v>
      </c>
    </row>
    <row r="930" spans="3:3">
      <c r="C930" t="s">
        <v>2662</v>
      </c>
    </row>
    <row r="931" spans="3:3">
      <c r="C931" t="s">
        <v>2662</v>
      </c>
    </row>
    <row r="932" spans="3:3">
      <c r="C932" t="s">
        <v>2662</v>
      </c>
    </row>
    <row r="933" spans="3:3">
      <c r="C933" t="s">
        <v>2662</v>
      </c>
    </row>
    <row r="934" spans="3:3">
      <c r="C934" t="s">
        <v>2662</v>
      </c>
    </row>
    <row r="935" spans="3:3">
      <c r="C935" t="s">
        <v>2662</v>
      </c>
    </row>
    <row r="936" spans="3:3">
      <c r="C936" t="s">
        <v>2662</v>
      </c>
    </row>
    <row r="937" spans="3:3">
      <c r="C937" t="s">
        <v>2662</v>
      </c>
    </row>
    <row r="938" spans="3:3">
      <c r="C938" t="s">
        <v>2662</v>
      </c>
    </row>
    <row r="939" spans="3:3">
      <c r="C939" t="s">
        <v>2662</v>
      </c>
    </row>
    <row r="940" spans="3:3">
      <c r="C940" t="s">
        <v>2663</v>
      </c>
    </row>
    <row r="941" spans="3:3">
      <c r="C941" t="s">
        <v>2663</v>
      </c>
    </row>
    <row r="942" spans="3:3">
      <c r="C942" t="s">
        <v>2663</v>
      </c>
    </row>
    <row r="943" spans="3:3">
      <c r="C943" t="s">
        <v>2663</v>
      </c>
    </row>
    <row r="944" spans="3:3">
      <c r="C944" t="s">
        <v>2663</v>
      </c>
    </row>
    <row r="945" spans="3:3">
      <c r="C945" t="s">
        <v>2663</v>
      </c>
    </row>
    <row r="946" spans="3:3">
      <c r="C946" t="s">
        <v>2663</v>
      </c>
    </row>
    <row r="947" spans="3:3">
      <c r="C947" t="s">
        <v>2663</v>
      </c>
    </row>
    <row r="948" spans="3:3">
      <c r="C948" t="s">
        <v>2663</v>
      </c>
    </row>
    <row r="949" spans="3:3">
      <c r="C949" t="s">
        <v>2663</v>
      </c>
    </row>
    <row r="950" spans="3:3">
      <c r="C950" t="s">
        <v>2663</v>
      </c>
    </row>
    <row r="951" spans="3:3">
      <c r="C951" t="s">
        <v>2663</v>
      </c>
    </row>
    <row r="952" spans="3:3">
      <c r="C952" t="s">
        <v>2663</v>
      </c>
    </row>
    <row r="953" spans="3:3">
      <c r="C953" t="s">
        <v>2663</v>
      </c>
    </row>
    <row r="954" spans="3:3">
      <c r="C954" t="s">
        <v>2663</v>
      </c>
    </row>
    <row r="955" spans="3:3">
      <c r="C955" t="s">
        <v>2663</v>
      </c>
    </row>
    <row r="956" spans="3:3">
      <c r="C956" t="s">
        <v>2663</v>
      </c>
    </row>
    <row r="957" spans="3:3">
      <c r="C957" t="s">
        <v>2663</v>
      </c>
    </row>
    <row r="958" spans="3:3">
      <c r="C958" t="s">
        <v>2663</v>
      </c>
    </row>
    <row r="959" spans="3:3">
      <c r="C959" t="s">
        <v>2663</v>
      </c>
    </row>
    <row r="960" spans="3:3">
      <c r="C960" t="s">
        <v>2663</v>
      </c>
    </row>
    <row r="961" spans="3:3">
      <c r="C961" t="s">
        <v>2663</v>
      </c>
    </row>
    <row r="962" spans="3:3">
      <c r="C962" t="s">
        <v>2663</v>
      </c>
    </row>
    <row r="963" spans="3:3">
      <c r="C963" t="s">
        <v>2663</v>
      </c>
    </row>
    <row r="964" spans="3:3">
      <c r="C964" t="s">
        <v>2663</v>
      </c>
    </row>
    <row r="965" spans="3:3">
      <c r="C965" t="s">
        <v>2663</v>
      </c>
    </row>
    <row r="966" spans="3:3">
      <c r="C966" t="s">
        <v>2663</v>
      </c>
    </row>
    <row r="967" spans="3:3">
      <c r="C967" t="s">
        <v>2663</v>
      </c>
    </row>
    <row r="968" spans="3:3">
      <c r="C968" t="s">
        <v>2663</v>
      </c>
    </row>
    <row r="969" spans="3:3">
      <c r="C969" t="s">
        <v>2663</v>
      </c>
    </row>
    <row r="970" spans="3:3">
      <c r="C970" t="s">
        <v>2664</v>
      </c>
    </row>
    <row r="971" spans="3:3">
      <c r="C971" t="s">
        <v>2664</v>
      </c>
    </row>
    <row r="972" spans="3:3">
      <c r="C972" t="s">
        <v>2664</v>
      </c>
    </row>
    <row r="973" spans="3:3">
      <c r="C973" t="s">
        <v>2664</v>
      </c>
    </row>
    <row r="974" spans="3:3">
      <c r="C974" t="s">
        <v>2664</v>
      </c>
    </row>
    <row r="975" spans="3:3">
      <c r="C975" t="s">
        <v>2664</v>
      </c>
    </row>
    <row r="976" spans="3:3">
      <c r="C976" t="s">
        <v>2664</v>
      </c>
    </row>
    <row r="977" spans="3:3">
      <c r="C977" t="s">
        <v>2664</v>
      </c>
    </row>
    <row r="978" spans="3:3">
      <c r="C978" t="s">
        <v>2664</v>
      </c>
    </row>
    <row r="979" spans="3:3">
      <c r="C979" t="s">
        <v>2664</v>
      </c>
    </row>
    <row r="980" spans="3:3">
      <c r="C980" t="s">
        <v>2664</v>
      </c>
    </row>
    <row r="981" spans="3:3">
      <c r="C981" t="s">
        <v>2664</v>
      </c>
    </row>
    <row r="982" spans="3:3">
      <c r="C982" t="s">
        <v>2664</v>
      </c>
    </row>
    <row r="983" spans="3:3">
      <c r="C983" t="s">
        <v>2664</v>
      </c>
    </row>
    <row r="984" spans="3:3">
      <c r="C984" t="s">
        <v>2664</v>
      </c>
    </row>
    <row r="985" spans="3:3">
      <c r="C985" t="s">
        <v>2664</v>
      </c>
    </row>
    <row r="986" spans="3:3">
      <c r="C986" t="s">
        <v>2664</v>
      </c>
    </row>
    <row r="987" spans="3:3">
      <c r="C987" t="s">
        <v>2664</v>
      </c>
    </row>
    <row r="988" spans="3:3">
      <c r="C988" t="s">
        <v>2664</v>
      </c>
    </row>
    <row r="989" spans="3:3">
      <c r="C989" t="s">
        <v>2664</v>
      </c>
    </row>
    <row r="990" spans="3:3">
      <c r="C990" t="s">
        <v>2664</v>
      </c>
    </row>
    <row r="991" spans="3:3">
      <c r="C991" t="s">
        <v>2664</v>
      </c>
    </row>
    <row r="992" spans="3:3">
      <c r="C992" t="s">
        <v>2664</v>
      </c>
    </row>
    <row r="993" spans="3:3">
      <c r="C993" t="s">
        <v>2664</v>
      </c>
    </row>
    <row r="994" spans="3:3">
      <c r="C994" t="s">
        <v>2664</v>
      </c>
    </row>
    <row r="995" spans="3:3">
      <c r="C995" t="s">
        <v>2664</v>
      </c>
    </row>
    <row r="996" spans="3:3">
      <c r="C996" t="s">
        <v>2664</v>
      </c>
    </row>
    <row r="997" spans="3:3">
      <c r="C997" t="s">
        <v>2664</v>
      </c>
    </row>
    <row r="998" spans="3:3">
      <c r="C998" t="s">
        <v>2664</v>
      </c>
    </row>
    <row r="999" spans="3:3">
      <c r="C999" t="s">
        <v>2664</v>
      </c>
    </row>
    <row r="1000" spans="3:3">
      <c r="C1000" t="s">
        <v>2664</v>
      </c>
    </row>
    <row r="1001" spans="3:3">
      <c r="C1001" t="s">
        <v>2665</v>
      </c>
    </row>
    <row r="1002" spans="3:3">
      <c r="C1002" t="s">
        <v>2665</v>
      </c>
    </row>
    <row r="1003" spans="3:3">
      <c r="C1003" t="s">
        <v>2665</v>
      </c>
    </row>
    <row r="1004" spans="3:3">
      <c r="C1004" t="s">
        <v>2665</v>
      </c>
    </row>
    <row r="1005" spans="3:3">
      <c r="C1005" t="s">
        <v>2665</v>
      </c>
    </row>
    <row r="1006" spans="3:3">
      <c r="C1006" t="s">
        <v>2665</v>
      </c>
    </row>
    <row r="1007" spans="3:3">
      <c r="C1007" t="s">
        <v>2665</v>
      </c>
    </row>
    <row r="1008" spans="3:3">
      <c r="C1008" t="s">
        <v>2665</v>
      </c>
    </row>
    <row r="1009" spans="3:3">
      <c r="C1009" t="s">
        <v>2665</v>
      </c>
    </row>
    <row r="1010" spans="3:3">
      <c r="C1010" t="s">
        <v>2665</v>
      </c>
    </row>
    <row r="1011" spans="3:3">
      <c r="C1011" t="s">
        <v>2665</v>
      </c>
    </row>
    <row r="1012" spans="3:3">
      <c r="C1012" t="s">
        <v>2665</v>
      </c>
    </row>
    <row r="1013" spans="3:3">
      <c r="C1013" t="s">
        <v>2665</v>
      </c>
    </row>
    <row r="1014" spans="3:3">
      <c r="C1014" t="s">
        <v>2665</v>
      </c>
    </row>
    <row r="1015" spans="3:3">
      <c r="C1015" t="s">
        <v>2665</v>
      </c>
    </row>
    <row r="1016" spans="3:3">
      <c r="C1016" t="s">
        <v>2665</v>
      </c>
    </row>
    <row r="1017" spans="3:3">
      <c r="C1017" t="s">
        <v>2665</v>
      </c>
    </row>
    <row r="1018" spans="3:3">
      <c r="C1018" t="s">
        <v>2665</v>
      </c>
    </row>
    <row r="1019" spans="3:3">
      <c r="C1019" t="s">
        <v>2665</v>
      </c>
    </row>
    <row r="1020" spans="3:3">
      <c r="C1020" t="s">
        <v>2665</v>
      </c>
    </row>
    <row r="1021" spans="3:3">
      <c r="C1021" t="s">
        <v>2665</v>
      </c>
    </row>
    <row r="1022" spans="3:3">
      <c r="C1022" t="s">
        <v>2665</v>
      </c>
    </row>
    <row r="1023" spans="3:3">
      <c r="C1023" t="s">
        <v>2665</v>
      </c>
    </row>
    <row r="1024" spans="3:3">
      <c r="C1024" t="s">
        <v>2665</v>
      </c>
    </row>
    <row r="1025" spans="3:3">
      <c r="C1025" t="s">
        <v>2665</v>
      </c>
    </row>
    <row r="1026" spans="3:3">
      <c r="C1026" t="s">
        <v>2665</v>
      </c>
    </row>
    <row r="1027" spans="3:3">
      <c r="C1027" t="s">
        <v>2665</v>
      </c>
    </row>
    <row r="1028" spans="3:3">
      <c r="C1028" t="s">
        <v>2662</v>
      </c>
    </row>
    <row r="1029" spans="3:3">
      <c r="C1029" t="s">
        <v>2662</v>
      </c>
    </row>
    <row r="1030" spans="3:3">
      <c r="C1030" t="s">
        <v>2662</v>
      </c>
    </row>
    <row r="1031" spans="3:3">
      <c r="C1031" t="s">
        <v>2662</v>
      </c>
    </row>
    <row r="1032" spans="3:3">
      <c r="C1032" t="s">
        <v>2662</v>
      </c>
    </row>
    <row r="1033" spans="3:3">
      <c r="C1033" t="s">
        <v>2662</v>
      </c>
    </row>
    <row r="1034" spans="3:3">
      <c r="C1034" t="s">
        <v>2662</v>
      </c>
    </row>
    <row r="1035" spans="3:3">
      <c r="C1035" t="s">
        <v>2662</v>
      </c>
    </row>
    <row r="1036" spans="3:3">
      <c r="C1036" t="s">
        <v>2662</v>
      </c>
    </row>
    <row r="1037" spans="3:3">
      <c r="C1037" t="s">
        <v>2662</v>
      </c>
    </row>
    <row r="1038" spans="3:3">
      <c r="C1038" t="s">
        <v>2662</v>
      </c>
    </row>
    <row r="1039" spans="3:3">
      <c r="C1039" t="s">
        <v>2662</v>
      </c>
    </row>
    <row r="1040" spans="3:3">
      <c r="C1040" t="s">
        <v>2662</v>
      </c>
    </row>
    <row r="1041" spans="3:3">
      <c r="C1041" t="s">
        <v>2662</v>
      </c>
    </row>
    <row r="1042" spans="3:3">
      <c r="C1042" t="s">
        <v>2662</v>
      </c>
    </row>
    <row r="1043" spans="3:3">
      <c r="C1043" t="s">
        <v>2662</v>
      </c>
    </row>
    <row r="1044" spans="3:3">
      <c r="C1044" t="s">
        <v>2662</v>
      </c>
    </row>
    <row r="1045" spans="3:3">
      <c r="C1045" t="s">
        <v>2662</v>
      </c>
    </row>
    <row r="1046" spans="3:3">
      <c r="C1046" t="s">
        <v>2662</v>
      </c>
    </row>
    <row r="1047" spans="3:3">
      <c r="C1047" t="s">
        <v>2662</v>
      </c>
    </row>
    <row r="1048" spans="3:3">
      <c r="C1048" t="s">
        <v>2662</v>
      </c>
    </row>
    <row r="1049" spans="3:3">
      <c r="C1049" t="s">
        <v>2662</v>
      </c>
    </row>
    <row r="1050" spans="3:3">
      <c r="C1050" t="s">
        <v>2662</v>
      </c>
    </row>
    <row r="1051" spans="3:3">
      <c r="C1051" t="s">
        <v>2662</v>
      </c>
    </row>
    <row r="1052" spans="3:3">
      <c r="C1052" t="s">
        <v>2662</v>
      </c>
    </row>
    <row r="1053" spans="3:3">
      <c r="C1053" t="s">
        <v>2662</v>
      </c>
    </row>
    <row r="1054" spans="3:3">
      <c r="C1054" t="s">
        <v>2662</v>
      </c>
    </row>
    <row r="1055" spans="3:3">
      <c r="C1055" t="s">
        <v>2662</v>
      </c>
    </row>
    <row r="1056" spans="3:3">
      <c r="C1056" t="s">
        <v>2662</v>
      </c>
    </row>
    <row r="1057" spans="3:3">
      <c r="C1057" t="s">
        <v>2662</v>
      </c>
    </row>
    <row r="1058" spans="3:3">
      <c r="C1058" t="s">
        <v>2662</v>
      </c>
    </row>
    <row r="1059" spans="3:3">
      <c r="C1059" t="s">
        <v>2663</v>
      </c>
    </row>
    <row r="1060" spans="3:3">
      <c r="C1060" t="s">
        <v>2663</v>
      </c>
    </row>
    <row r="1061" spans="3:3">
      <c r="C1061" t="s">
        <v>2663</v>
      </c>
    </row>
    <row r="1062" spans="3:3">
      <c r="C1062" t="s">
        <v>2663</v>
      </c>
    </row>
    <row r="1063" spans="3:3">
      <c r="C1063" t="s">
        <v>2663</v>
      </c>
    </row>
    <row r="1064" spans="3:3">
      <c r="C1064" t="s">
        <v>2663</v>
      </c>
    </row>
    <row r="1065" spans="3:3">
      <c r="C1065" t="s">
        <v>2663</v>
      </c>
    </row>
    <row r="1066" spans="3:3">
      <c r="C1066" t="s">
        <v>2663</v>
      </c>
    </row>
    <row r="1067" spans="3:3">
      <c r="C1067" t="s">
        <v>2663</v>
      </c>
    </row>
    <row r="1068" spans="3:3">
      <c r="C1068" t="s">
        <v>2663</v>
      </c>
    </row>
    <row r="1069" spans="3:3">
      <c r="C1069" t="s">
        <v>2663</v>
      </c>
    </row>
    <row r="1070" spans="3:3">
      <c r="C1070" t="s">
        <v>2663</v>
      </c>
    </row>
    <row r="1071" spans="3:3">
      <c r="C1071" t="s">
        <v>2663</v>
      </c>
    </row>
    <row r="1072" spans="3:3">
      <c r="C1072" t="s">
        <v>2663</v>
      </c>
    </row>
    <row r="1073" spans="3:3">
      <c r="C1073" t="s">
        <v>2663</v>
      </c>
    </row>
    <row r="1074" spans="3:3">
      <c r="C1074" t="s">
        <v>2663</v>
      </c>
    </row>
    <row r="1075" spans="3:3">
      <c r="C1075" t="s">
        <v>2663</v>
      </c>
    </row>
    <row r="1076" spans="3:3">
      <c r="C1076" t="s">
        <v>2663</v>
      </c>
    </row>
    <row r="1077" spans="3:3">
      <c r="C1077" t="s">
        <v>2663</v>
      </c>
    </row>
    <row r="1078" spans="3:3">
      <c r="C1078" t="s">
        <v>2663</v>
      </c>
    </row>
    <row r="1079" spans="3:3">
      <c r="C1079" t="s">
        <v>2663</v>
      </c>
    </row>
    <row r="1080" spans="3:3">
      <c r="C1080" t="s">
        <v>2663</v>
      </c>
    </row>
    <row r="1081" spans="3:3">
      <c r="C1081" t="s">
        <v>2663</v>
      </c>
    </row>
    <row r="1082" spans="3:3">
      <c r="C1082" t="s">
        <v>2663</v>
      </c>
    </row>
    <row r="1083" spans="3:3">
      <c r="C1083" t="s">
        <v>2663</v>
      </c>
    </row>
    <row r="1084" spans="3:3">
      <c r="C1084" t="s">
        <v>2663</v>
      </c>
    </row>
    <row r="1085" spans="3:3">
      <c r="C1085" t="s">
        <v>2663</v>
      </c>
    </row>
    <row r="1086" spans="3:3">
      <c r="C1086" t="s">
        <v>2663</v>
      </c>
    </row>
    <row r="1087" spans="3:3">
      <c r="C1087" t="s">
        <v>2663</v>
      </c>
    </row>
    <row r="1088" spans="3:3">
      <c r="C1088" t="s">
        <v>2664</v>
      </c>
    </row>
    <row r="1089" spans="3:3">
      <c r="C1089" t="s">
        <v>2664</v>
      </c>
    </row>
    <row r="1090" spans="3:3">
      <c r="C1090" t="s">
        <v>2664</v>
      </c>
    </row>
    <row r="1091" spans="3:3">
      <c r="C1091" t="s">
        <v>2664</v>
      </c>
    </row>
    <row r="1092" spans="3:3">
      <c r="C1092" t="s">
        <v>2664</v>
      </c>
    </row>
    <row r="1093" spans="3:3">
      <c r="C1093" t="s">
        <v>2664</v>
      </c>
    </row>
    <row r="1094" spans="3:3">
      <c r="C1094" t="s">
        <v>2664</v>
      </c>
    </row>
    <row r="1095" spans="3:3">
      <c r="C1095" t="s">
        <v>2664</v>
      </c>
    </row>
    <row r="1096" spans="3:3">
      <c r="C1096" t="s">
        <v>2664</v>
      </c>
    </row>
    <row r="1097" spans="3:3">
      <c r="C1097" t="s">
        <v>2664</v>
      </c>
    </row>
    <row r="1098" spans="3:3">
      <c r="C1098" t="s">
        <v>2664</v>
      </c>
    </row>
    <row r="1099" spans="3:3">
      <c r="C1099" t="s">
        <v>2664</v>
      </c>
    </row>
    <row r="1100" spans="3:3">
      <c r="C1100" t="s">
        <v>2664</v>
      </c>
    </row>
    <row r="1101" spans="3:3">
      <c r="C1101" t="s">
        <v>2664</v>
      </c>
    </row>
    <row r="1102" spans="3:3">
      <c r="C1102" t="s">
        <v>2664</v>
      </c>
    </row>
    <row r="1103" spans="3:3">
      <c r="C1103" t="s">
        <v>2664</v>
      </c>
    </row>
    <row r="1104" spans="3:3">
      <c r="C1104" t="s">
        <v>2664</v>
      </c>
    </row>
    <row r="1105" spans="3:3">
      <c r="C1105" t="s">
        <v>2664</v>
      </c>
    </row>
    <row r="1106" spans="3:3">
      <c r="C1106" t="s">
        <v>2664</v>
      </c>
    </row>
    <row r="1107" spans="3:3">
      <c r="C1107" t="s">
        <v>2664</v>
      </c>
    </row>
    <row r="1108" spans="3:3">
      <c r="C1108" t="s">
        <v>2664</v>
      </c>
    </row>
    <row r="1109" spans="3:3">
      <c r="C1109" t="s">
        <v>2664</v>
      </c>
    </row>
    <row r="1110" spans="3:3">
      <c r="C1110" t="s">
        <v>2664</v>
      </c>
    </row>
    <row r="1111" spans="3:3">
      <c r="C1111" t="s">
        <v>2664</v>
      </c>
    </row>
    <row r="1112" spans="3:3">
      <c r="C1112" t="s">
        <v>2664</v>
      </c>
    </row>
    <row r="1113" spans="3:3">
      <c r="C1113" t="s">
        <v>2664</v>
      </c>
    </row>
    <row r="1114" spans="3:3">
      <c r="C1114" t="s">
        <v>2664</v>
      </c>
    </row>
    <row r="1115" spans="3:3">
      <c r="C1115" t="s">
        <v>2664</v>
      </c>
    </row>
    <row r="1116" spans="3:3">
      <c r="C1116" t="s">
        <v>2664</v>
      </c>
    </row>
    <row r="1117" spans="3:3">
      <c r="C1117" t="s">
        <v>2664</v>
      </c>
    </row>
    <row r="1118" spans="3:3">
      <c r="C1118" t="s">
        <v>2664</v>
      </c>
    </row>
    <row r="1119" spans="3:3">
      <c r="C1119" t="s">
        <v>2664</v>
      </c>
    </row>
    <row r="1120" spans="3:3">
      <c r="C1120" t="s">
        <v>2664</v>
      </c>
    </row>
    <row r="1121" spans="3:3">
      <c r="C1121" t="s">
        <v>2665</v>
      </c>
    </row>
    <row r="1122" spans="3:3">
      <c r="C1122" t="s">
        <v>2665</v>
      </c>
    </row>
    <row r="1123" spans="3:3">
      <c r="C1123" t="s">
        <v>2665</v>
      </c>
    </row>
    <row r="1124" spans="3:3">
      <c r="C1124" t="s">
        <v>2665</v>
      </c>
    </row>
    <row r="1125" spans="3:3">
      <c r="C1125" t="s">
        <v>2665</v>
      </c>
    </row>
    <row r="1126" spans="3:3">
      <c r="C1126" t="s">
        <v>2665</v>
      </c>
    </row>
    <row r="1127" spans="3:3">
      <c r="C1127" t="s">
        <v>2665</v>
      </c>
    </row>
    <row r="1128" spans="3:3">
      <c r="C1128" t="s">
        <v>2665</v>
      </c>
    </row>
    <row r="1129" spans="3:3">
      <c r="C1129" t="s">
        <v>2665</v>
      </c>
    </row>
    <row r="1130" spans="3:3">
      <c r="C1130" t="s">
        <v>2665</v>
      </c>
    </row>
    <row r="1131" spans="3:3">
      <c r="C1131" t="s">
        <v>2665</v>
      </c>
    </row>
    <row r="1132" spans="3:3">
      <c r="C1132" t="s">
        <v>2665</v>
      </c>
    </row>
    <row r="1133" spans="3:3">
      <c r="C1133" t="s">
        <v>2665</v>
      </c>
    </row>
    <row r="1134" spans="3:3">
      <c r="C1134" t="s">
        <v>2665</v>
      </c>
    </row>
    <row r="1135" spans="3:3">
      <c r="C1135" t="s">
        <v>2665</v>
      </c>
    </row>
    <row r="1136" spans="3:3">
      <c r="C1136" t="s">
        <v>2665</v>
      </c>
    </row>
    <row r="1137" spans="3:3">
      <c r="C1137" t="s">
        <v>2665</v>
      </c>
    </row>
    <row r="1138" spans="3:3">
      <c r="C1138" t="s">
        <v>2665</v>
      </c>
    </row>
    <row r="1139" spans="3:3">
      <c r="C1139" t="s">
        <v>2665</v>
      </c>
    </row>
    <row r="1140" spans="3:3">
      <c r="C1140" t="s">
        <v>2665</v>
      </c>
    </row>
    <row r="1141" spans="3:3">
      <c r="C1141" t="s">
        <v>2665</v>
      </c>
    </row>
    <row r="1142" spans="3:3">
      <c r="C1142" t="s">
        <v>2665</v>
      </c>
    </row>
    <row r="1143" spans="3:3">
      <c r="C1143" t="s">
        <v>2665</v>
      </c>
    </row>
    <row r="1144" spans="3:3">
      <c r="C1144" t="s">
        <v>2665</v>
      </c>
    </row>
    <row r="1145" spans="3:3">
      <c r="C1145" t="s">
        <v>2665</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7"/>
  <sheetViews>
    <sheetView workbookViewId="0">
      <selection activeCell="A9" sqref="A9"/>
    </sheetView>
  </sheetViews>
  <sheetFormatPr defaultRowHeight="15"/>
  <sheetData>
    <row r="1" spans="1:17">
      <c r="A1">
        <v>222289</v>
      </c>
      <c r="B1">
        <v>2020</v>
      </c>
      <c r="C1" t="s">
        <v>81</v>
      </c>
      <c r="D1" t="s">
        <v>1286</v>
      </c>
      <c r="E1" t="s">
        <v>791</v>
      </c>
      <c r="F1" t="s">
        <v>1287</v>
      </c>
      <c r="G1" t="s">
        <v>85</v>
      </c>
      <c r="H1" t="s">
        <v>150</v>
      </c>
      <c r="I1">
        <v>93</v>
      </c>
      <c r="J1">
        <v>157</v>
      </c>
      <c r="K1" t="s">
        <v>85</v>
      </c>
      <c r="L1" t="s">
        <v>1288</v>
      </c>
      <c r="M1" t="s">
        <v>254</v>
      </c>
      <c r="N1">
        <v>22852156</v>
      </c>
      <c r="O1" t="s">
        <v>87</v>
      </c>
      <c r="P1" t="s">
        <v>87</v>
      </c>
      <c r="Q1" t="b">
        <v>0</v>
      </c>
    </row>
    <row r="2" spans="1:17">
      <c r="A2">
        <v>222289</v>
      </c>
      <c r="B2">
        <v>2020</v>
      </c>
      <c r="C2" t="s">
        <v>81</v>
      </c>
      <c r="D2" t="s">
        <v>1286</v>
      </c>
      <c r="E2" t="s">
        <v>793</v>
      </c>
      <c r="F2" t="s">
        <v>1287</v>
      </c>
      <c r="G2" t="s">
        <v>85</v>
      </c>
      <c r="H2" t="s">
        <v>150</v>
      </c>
      <c r="I2">
        <v>93</v>
      </c>
      <c r="J2">
        <v>157</v>
      </c>
      <c r="K2" t="s">
        <v>85</v>
      </c>
      <c r="L2" t="s">
        <v>1288</v>
      </c>
      <c r="M2" t="s">
        <v>254</v>
      </c>
      <c r="N2">
        <v>22852156</v>
      </c>
      <c r="O2" t="s">
        <v>85</v>
      </c>
      <c r="P2" t="s">
        <v>87</v>
      </c>
      <c r="Q2" t="b">
        <v>0</v>
      </c>
    </row>
    <row r="3" spans="1:17">
      <c r="A3">
        <v>222289</v>
      </c>
      <c r="B3">
        <v>2020</v>
      </c>
      <c r="C3" t="s">
        <v>81</v>
      </c>
      <c r="D3" t="s">
        <v>1286</v>
      </c>
      <c r="E3" t="s">
        <v>780</v>
      </c>
      <c r="F3" t="s">
        <v>1287</v>
      </c>
      <c r="G3" t="s">
        <v>85</v>
      </c>
      <c r="H3" t="s">
        <v>150</v>
      </c>
      <c r="I3">
        <v>93</v>
      </c>
      <c r="J3">
        <v>157</v>
      </c>
      <c r="K3" t="s">
        <v>85</v>
      </c>
      <c r="L3" t="s">
        <v>1288</v>
      </c>
      <c r="M3" t="s">
        <v>254</v>
      </c>
      <c r="N3">
        <v>22852156</v>
      </c>
      <c r="O3" t="s">
        <v>85</v>
      </c>
      <c r="P3" t="s">
        <v>87</v>
      </c>
      <c r="Q3" t="b">
        <v>0</v>
      </c>
    </row>
    <row r="4" spans="1:17">
      <c r="A4">
        <v>222289</v>
      </c>
      <c r="B4">
        <v>2020</v>
      </c>
      <c r="C4" t="s">
        <v>81</v>
      </c>
      <c r="D4" t="s">
        <v>1286</v>
      </c>
      <c r="E4" t="s">
        <v>781</v>
      </c>
      <c r="F4" t="s">
        <v>1287</v>
      </c>
      <c r="G4" t="s">
        <v>85</v>
      </c>
      <c r="H4" t="s">
        <v>150</v>
      </c>
      <c r="I4">
        <v>93</v>
      </c>
      <c r="J4">
        <v>157</v>
      </c>
      <c r="K4" t="s">
        <v>85</v>
      </c>
      <c r="L4" t="s">
        <v>1288</v>
      </c>
      <c r="M4" t="s">
        <v>254</v>
      </c>
      <c r="N4">
        <v>22852156</v>
      </c>
      <c r="O4" t="s">
        <v>85</v>
      </c>
      <c r="P4" t="s">
        <v>87</v>
      </c>
      <c r="Q4" t="b">
        <v>0</v>
      </c>
    </row>
    <row r="5" spans="1:17">
      <c r="A5">
        <v>224763</v>
      </c>
      <c r="B5">
        <v>2020</v>
      </c>
      <c r="C5" t="s">
        <v>81</v>
      </c>
      <c r="D5" t="s">
        <v>1317</v>
      </c>
      <c r="E5" t="s">
        <v>790</v>
      </c>
      <c r="F5" t="s">
        <v>1318</v>
      </c>
      <c r="G5" t="s">
        <v>85</v>
      </c>
      <c r="H5" t="s">
        <v>117</v>
      </c>
      <c r="I5">
        <v>93</v>
      </c>
      <c r="J5">
        <v>157</v>
      </c>
      <c r="K5" t="s">
        <v>85</v>
      </c>
      <c r="L5" t="s">
        <v>1319</v>
      </c>
      <c r="M5" t="s">
        <v>1320</v>
      </c>
      <c r="N5">
        <v>12726445</v>
      </c>
      <c r="O5" t="s">
        <v>87</v>
      </c>
      <c r="P5" t="s">
        <v>87</v>
      </c>
      <c r="Q5" t="b">
        <v>0</v>
      </c>
    </row>
    <row r="6" spans="1:17">
      <c r="A6">
        <v>224763</v>
      </c>
      <c r="B6">
        <v>2020</v>
      </c>
      <c r="C6" t="s">
        <v>81</v>
      </c>
      <c r="D6" t="s">
        <v>1317</v>
      </c>
      <c r="E6" t="s">
        <v>791</v>
      </c>
      <c r="F6" t="s">
        <v>1318</v>
      </c>
      <c r="G6" t="s">
        <v>85</v>
      </c>
      <c r="H6" t="s">
        <v>117</v>
      </c>
      <c r="I6">
        <v>93</v>
      </c>
      <c r="J6">
        <v>157</v>
      </c>
      <c r="K6" t="s">
        <v>85</v>
      </c>
      <c r="L6" t="s">
        <v>1319</v>
      </c>
      <c r="M6" t="s">
        <v>1320</v>
      </c>
      <c r="N6">
        <v>12726445</v>
      </c>
      <c r="O6" t="s">
        <v>85</v>
      </c>
      <c r="P6" t="s">
        <v>87</v>
      </c>
      <c r="Q6" t="b">
        <v>0</v>
      </c>
    </row>
    <row r="7" spans="1:17">
      <c r="A7">
        <v>224763</v>
      </c>
      <c r="B7">
        <v>2020</v>
      </c>
      <c r="C7" t="s">
        <v>81</v>
      </c>
      <c r="D7" t="s">
        <v>1317</v>
      </c>
      <c r="E7" t="s">
        <v>793</v>
      </c>
      <c r="F7" t="s">
        <v>1318</v>
      </c>
      <c r="G7" t="s">
        <v>85</v>
      </c>
      <c r="H7" t="s">
        <v>117</v>
      </c>
      <c r="I7">
        <v>93</v>
      </c>
      <c r="J7">
        <v>157</v>
      </c>
      <c r="K7" t="s">
        <v>85</v>
      </c>
      <c r="L7" t="s">
        <v>1319</v>
      </c>
      <c r="M7" t="s">
        <v>1320</v>
      </c>
      <c r="N7">
        <v>12726445</v>
      </c>
      <c r="O7" t="s">
        <v>85</v>
      </c>
      <c r="P7" t="s">
        <v>87</v>
      </c>
      <c r="Q7" t="b">
        <v>0</v>
      </c>
    </row>
    <row r="8" spans="1:17">
      <c r="A8">
        <v>224763</v>
      </c>
      <c r="B8">
        <v>2020</v>
      </c>
      <c r="C8" t="s">
        <v>81</v>
      </c>
      <c r="D8" t="s">
        <v>1317</v>
      </c>
      <c r="E8" t="s">
        <v>780</v>
      </c>
      <c r="F8" t="s">
        <v>1318</v>
      </c>
      <c r="G8" t="s">
        <v>85</v>
      </c>
      <c r="H8" t="s">
        <v>117</v>
      </c>
      <c r="I8">
        <v>93</v>
      </c>
      <c r="J8">
        <v>157</v>
      </c>
      <c r="K8" t="s">
        <v>85</v>
      </c>
      <c r="L8" t="s">
        <v>1319</v>
      </c>
      <c r="M8" t="s">
        <v>1320</v>
      </c>
      <c r="N8">
        <v>12726445</v>
      </c>
      <c r="O8" t="s">
        <v>85</v>
      </c>
      <c r="P8" t="s">
        <v>87</v>
      </c>
      <c r="Q8" t="b">
        <v>0</v>
      </c>
    </row>
    <row r="9" spans="1:17">
      <c r="A9">
        <v>228285</v>
      </c>
      <c r="B9">
        <v>2020</v>
      </c>
      <c r="C9" t="s">
        <v>81</v>
      </c>
      <c r="D9" t="s">
        <v>1413</v>
      </c>
      <c r="E9" t="s">
        <v>790</v>
      </c>
      <c r="F9" t="s">
        <v>1414</v>
      </c>
      <c r="G9" t="s">
        <v>85</v>
      </c>
      <c r="H9" t="s">
        <v>150</v>
      </c>
      <c r="I9">
        <v>93</v>
      </c>
      <c r="J9">
        <v>157</v>
      </c>
      <c r="K9" t="s">
        <v>85</v>
      </c>
      <c r="L9" t="s">
        <v>1415</v>
      </c>
      <c r="M9" t="s">
        <v>1192</v>
      </c>
      <c r="N9">
        <v>27579427</v>
      </c>
      <c r="O9" t="s">
        <v>85</v>
      </c>
      <c r="P9" t="s">
        <v>87</v>
      </c>
      <c r="Q9" t="b">
        <v>1</v>
      </c>
    </row>
    <row r="10" spans="1:17">
      <c r="A10">
        <v>228285</v>
      </c>
      <c r="B10">
        <v>2020</v>
      </c>
      <c r="C10" t="s">
        <v>81</v>
      </c>
      <c r="D10" t="s">
        <v>1413</v>
      </c>
      <c r="E10" t="s">
        <v>791</v>
      </c>
      <c r="F10" t="s">
        <v>1414</v>
      </c>
      <c r="G10" t="s">
        <v>85</v>
      </c>
      <c r="H10" t="s">
        <v>150</v>
      </c>
      <c r="I10">
        <v>93</v>
      </c>
      <c r="J10">
        <v>157</v>
      </c>
      <c r="K10" t="s">
        <v>85</v>
      </c>
      <c r="L10" t="s">
        <v>1415</v>
      </c>
      <c r="M10" t="s">
        <v>1192</v>
      </c>
      <c r="N10">
        <v>27579427</v>
      </c>
      <c r="O10" t="s">
        <v>85</v>
      </c>
      <c r="P10" t="s">
        <v>87</v>
      </c>
      <c r="Q10" t="b">
        <v>0</v>
      </c>
    </row>
    <row r="11" spans="1:17">
      <c r="A11">
        <v>228285</v>
      </c>
      <c r="B11">
        <v>2020</v>
      </c>
      <c r="C11" t="s">
        <v>81</v>
      </c>
      <c r="D11" t="s">
        <v>1413</v>
      </c>
      <c r="E11" t="s">
        <v>793</v>
      </c>
      <c r="F11" t="s">
        <v>1414</v>
      </c>
      <c r="G11" t="s">
        <v>85</v>
      </c>
      <c r="H11" t="s">
        <v>150</v>
      </c>
      <c r="I11">
        <v>93</v>
      </c>
      <c r="J11">
        <v>157</v>
      </c>
      <c r="K11" t="s">
        <v>85</v>
      </c>
      <c r="L11" t="s">
        <v>1415</v>
      </c>
      <c r="M11" t="s">
        <v>1192</v>
      </c>
      <c r="N11">
        <v>27579427</v>
      </c>
      <c r="O11" t="s">
        <v>85</v>
      </c>
      <c r="P11" t="s">
        <v>87</v>
      </c>
      <c r="Q11" t="b">
        <v>0</v>
      </c>
    </row>
    <row r="12" spans="1:17">
      <c r="A12">
        <v>234203</v>
      </c>
      <c r="B12">
        <v>2020</v>
      </c>
      <c r="C12" t="s">
        <v>81</v>
      </c>
      <c r="D12" t="s">
        <v>1498</v>
      </c>
      <c r="E12" t="s">
        <v>793</v>
      </c>
      <c r="F12" t="s">
        <v>1499</v>
      </c>
      <c r="G12" t="s">
        <v>85</v>
      </c>
      <c r="H12" t="s">
        <v>86</v>
      </c>
      <c r="I12">
        <v>93</v>
      </c>
      <c r="J12">
        <v>157</v>
      </c>
      <c r="K12" t="s">
        <v>85</v>
      </c>
      <c r="L12" t="s">
        <v>1500</v>
      </c>
      <c r="M12" t="s">
        <v>1381</v>
      </c>
      <c r="N12">
        <v>18370581</v>
      </c>
      <c r="O12" t="s">
        <v>87</v>
      </c>
      <c r="P12" t="s">
        <v>87</v>
      </c>
      <c r="Q12" t="b">
        <v>0</v>
      </c>
    </row>
    <row r="13" spans="1:17">
      <c r="A13">
        <v>234203</v>
      </c>
      <c r="B13">
        <v>2020</v>
      </c>
      <c r="C13" t="s">
        <v>81</v>
      </c>
      <c r="D13" t="s">
        <v>1498</v>
      </c>
      <c r="E13" t="s">
        <v>780</v>
      </c>
      <c r="F13" t="s">
        <v>1499</v>
      </c>
      <c r="G13" t="s">
        <v>85</v>
      </c>
      <c r="H13" t="s">
        <v>86</v>
      </c>
      <c r="I13">
        <v>93</v>
      </c>
      <c r="J13">
        <v>157</v>
      </c>
      <c r="K13" t="s">
        <v>85</v>
      </c>
      <c r="L13" t="s">
        <v>1500</v>
      </c>
      <c r="M13" t="s">
        <v>1381</v>
      </c>
      <c r="N13">
        <v>18370581</v>
      </c>
      <c r="O13" t="s">
        <v>85</v>
      </c>
      <c r="P13" t="s">
        <v>87</v>
      </c>
      <c r="Q13" t="b">
        <v>0</v>
      </c>
    </row>
    <row r="14" spans="1:17">
      <c r="A14">
        <v>234203</v>
      </c>
      <c r="B14">
        <v>2020</v>
      </c>
      <c r="C14" t="s">
        <v>81</v>
      </c>
      <c r="D14" t="s">
        <v>1498</v>
      </c>
      <c r="E14" t="s">
        <v>781</v>
      </c>
      <c r="F14" t="s">
        <v>1499</v>
      </c>
      <c r="G14" t="s">
        <v>85</v>
      </c>
      <c r="H14" t="s">
        <v>86</v>
      </c>
      <c r="I14">
        <v>93</v>
      </c>
      <c r="J14">
        <v>157</v>
      </c>
      <c r="K14" t="s">
        <v>85</v>
      </c>
      <c r="L14" t="s">
        <v>1500</v>
      </c>
      <c r="M14" t="s">
        <v>1381</v>
      </c>
      <c r="N14">
        <v>18370581</v>
      </c>
      <c r="O14" t="s">
        <v>85</v>
      </c>
      <c r="P14" t="s">
        <v>87</v>
      </c>
      <c r="Q14" t="b">
        <v>0</v>
      </c>
    </row>
    <row r="15" spans="1:17">
      <c r="A15">
        <v>234203</v>
      </c>
      <c r="B15">
        <v>2020</v>
      </c>
      <c r="C15" t="s">
        <v>81</v>
      </c>
      <c r="D15" t="s">
        <v>1498</v>
      </c>
      <c r="E15" t="s">
        <v>784</v>
      </c>
      <c r="F15" t="s">
        <v>1499</v>
      </c>
      <c r="G15" t="s">
        <v>85</v>
      </c>
      <c r="H15" t="s">
        <v>86</v>
      </c>
      <c r="I15">
        <v>93</v>
      </c>
      <c r="J15">
        <v>157</v>
      </c>
      <c r="K15" t="s">
        <v>85</v>
      </c>
      <c r="L15" t="s">
        <v>1500</v>
      </c>
      <c r="M15" t="s">
        <v>1381</v>
      </c>
      <c r="N15">
        <v>18370581</v>
      </c>
      <c r="O15" t="s">
        <v>85</v>
      </c>
      <c r="P15" t="s">
        <v>87</v>
      </c>
      <c r="Q15" t="b">
        <v>0</v>
      </c>
    </row>
    <row r="16" spans="1:17">
      <c r="A16">
        <v>239787</v>
      </c>
      <c r="B16">
        <v>2020</v>
      </c>
      <c r="C16" t="s">
        <v>81</v>
      </c>
      <c r="D16" t="s">
        <v>1529</v>
      </c>
      <c r="E16" t="s">
        <v>790</v>
      </c>
      <c r="F16" t="s">
        <v>1530</v>
      </c>
      <c r="G16" t="s">
        <v>85</v>
      </c>
      <c r="H16" t="s">
        <v>117</v>
      </c>
      <c r="I16">
        <v>93</v>
      </c>
      <c r="J16">
        <v>157</v>
      </c>
      <c r="K16" t="s">
        <v>85</v>
      </c>
      <c r="L16" t="s">
        <v>1531</v>
      </c>
      <c r="M16" t="s">
        <v>1532</v>
      </c>
      <c r="N16">
        <v>33944458</v>
      </c>
      <c r="O16" t="s">
        <v>87</v>
      </c>
      <c r="P16" t="s">
        <v>87</v>
      </c>
      <c r="Q16" t="b">
        <v>0</v>
      </c>
    </row>
    <row r="17" spans="1:17">
      <c r="A17">
        <v>239787</v>
      </c>
      <c r="B17">
        <v>2020</v>
      </c>
      <c r="C17" t="s">
        <v>81</v>
      </c>
      <c r="D17" t="s">
        <v>1529</v>
      </c>
      <c r="E17" t="s">
        <v>791</v>
      </c>
      <c r="F17" t="s">
        <v>1530</v>
      </c>
      <c r="G17" t="s">
        <v>85</v>
      </c>
      <c r="H17" t="s">
        <v>117</v>
      </c>
      <c r="I17">
        <v>93</v>
      </c>
      <c r="J17">
        <v>157</v>
      </c>
      <c r="K17" t="s">
        <v>85</v>
      </c>
      <c r="L17" t="s">
        <v>1531</v>
      </c>
      <c r="M17" t="s">
        <v>1532</v>
      </c>
      <c r="N17">
        <v>33944458</v>
      </c>
      <c r="O17" t="s">
        <v>85</v>
      </c>
      <c r="P17" t="s">
        <v>87</v>
      </c>
      <c r="Q17"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AK15"/>
  <sheetViews>
    <sheetView topLeftCell="O1" workbookViewId="0">
      <selection activeCell="Y13" sqref="Y13"/>
    </sheetView>
  </sheetViews>
  <sheetFormatPr defaultRowHeight="15"/>
  <cols>
    <col min="3" max="3" width="13.28515625" bestFit="1" customWidth="1"/>
    <col min="4" max="4" width="6.5703125" bestFit="1" customWidth="1"/>
    <col min="5" max="5" width="10.85546875" bestFit="1" customWidth="1"/>
    <col min="6" max="6" width="17.42578125" bestFit="1" customWidth="1"/>
    <col min="7" max="7" width="5.140625" bestFit="1" customWidth="1"/>
    <col min="8" max="8" width="6.5703125" bestFit="1" customWidth="1"/>
    <col min="9" max="9" width="10.85546875" bestFit="1" customWidth="1"/>
    <col min="10" max="10" width="13.42578125" bestFit="1" customWidth="1"/>
    <col min="11" max="11" width="21.140625" bestFit="1" customWidth="1"/>
    <col min="12" max="12" width="18.42578125" bestFit="1" customWidth="1"/>
    <col min="13" max="14" width="18.140625" bestFit="1" customWidth="1"/>
    <col min="15" max="15" width="23.28515625" bestFit="1" customWidth="1"/>
    <col min="16" max="16" width="19.85546875" bestFit="1" customWidth="1"/>
    <col min="17" max="17" width="22.85546875" bestFit="1" customWidth="1"/>
    <col min="18" max="18" width="15.5703125" bestFit="1" customWidth="1"/>
    <col min="19" max="19" width="8" bestFit="1" customWidth="1"/>
    <col min="20" max="20" width="15.28515625" bestFit="1" customWidth="1"/>
    <col min="21" max="21" width="23" bestFit="1" customWidth="1"/>
    <col min="22" max="22" width="13.28515625" bestFit="1" customWidth="1"/>
    <col min="23" max="23" width="6.5703125" bestFit="1" customWidth="1"/>
    <col min="24" max="24" width="10.85546875" bestFit="1" customWidth="1"/>
    <col min="25" max="25" width="43.5703125" customWidth="1"/>
    <col min="26" max="26" width="5.140625" bestFit="1" customWidth="1"/>
    <col min="27" max="27" width="2.85546875" bestFit="1" customWidth="1"/>
    <col min="28" max="28" width="9.7109375" bestFit="1" customWidth="1"/>
    <col min="29" max="29" width="8.85546875" bestFit="1" customWidth="1"/>
    <col min="30" max="30" width="10.85546875" bestFit="1" customWidth="1"/>
    <col min="31" max="31" width="6.5703125" bestFit="1" customWidth="1"/>
    <col min="32" max="32" width="13.28515625" bestFit="1" customWidth="1"/>
    <col min="33" max="33" width="8" bestFit="1" customWidth="1"/>
    <col min="34" max="34" width="12.28515625" bestFit="1" customWidth="1"/>
    <col min="35" max="35" width="5.42578125" bestFit="1" customWidth="1"/>
    <col min="36" max="36" width="9.42578125" bestFit="1" customWidth="1"/>
  </cols>
  <sheetData>
    <row r="1" spans="3:37" ht="18.75">
      <c r="C1" s="139" t="s">
        <v>2666</v>
      </c>
      <c r="D1" s="139"/>
      <c r="E1" s="139"/>
      <c r="F1" s="139"/>
      <c r="G1" s="139"/>
      <c r="H1" s="140" t="s">
        <v>2667</v>
      </c>
      <c r="I1" s="140"/>
      <c r="J1" s="140"/>
      <c r="K1" s="140"/>
      <c r="L1" s="140"/>
      <c r="M1" s="140"/>
      <c r="N1" s="140"/>
      <c r="O1" s="140"/>
      <c r="P1" s="140"/>
      <c r="Q1" s="140"/>
      <c r="R1" s="140"/>
      <c r="S1" s="140"/>
      <c r="T1" s="140"/>
      <c r="U1" s="140"/>
      <c r="V1" s="141" t="s">
        <v>2668</v>
      </c>
      <c r="W1" s="141"/>
      <c r="X1" s="141"/>
      <c r="Y1" s="141"/>
      <c r="Z1" s="141"/>
      <c r="AA1" s="142" t="s">
        <v>2669</v>
      </c>
      <c r="AB1" s="142"/>
      <c r="AC1" s="142"/>
      <c r="AD1" s="142"/>
      <c r="AE1" s="142"/>
      <c r="AF1" s="142"/>
      <c r="AG1" s="142"/>
      <c r="AH1" s="142"/>
      <c r="AI1" s="142"/>
      <c r="AJ1" s="142"/>
    </row>
    <row r="2" spans="3:37">
      <c r="C2" t="s">
        <v>2670</v>
      </c>
      <c r="D2" t="s">
        <v>0</v>
      </c>
      <c r="E2" t="s">
        <v>2671</v>
      </c>
      <c r="F2" t="s">
        <v>2672</v>
      </c>
      <c r="G2" t="s">
        <v>2673</v>
      </c>
      <c r="H2" t="s">
        <v>0</v>
      </c>
      <c r="I2" t="s">
        <v>2671</v>
      </c>
      <c r="J2" t="s">
        <v>2674</v>
      </c>
      <c r="K2" t="s">
        <v>2675</v>
      </c>
      <c r="L2" t="s">
        <v>2676</v>
      </c>
      <c r="M2" t="s">
        <v>2677</v>
      </c>
      <c r="N2" t="s">
        <v>2678</v>
      </c>
      <c r="O2" t="s">
        <v>2679</v>
      </c>
      <c r="P2" t="s">
        <v>2680</v>
      </c>
      <c r="Q2" t="s">
        <v>2681</v>
      </c>
      <c r="R2" t="s">
        <v>2682</v>
      </c>
      <c r="S2" t="s">
        <v>2683</v>
      </c>
      <c r="T2" t="s">
        <v>2684</v>
      </c>
      <c r="U2" t="s">
        <v>2685</v>
      </c>
      <c r="V2" t="s">
        <v>2670</v>
      </c>
      <c r="W2" t="s">
        <v>0</v>
      </c>
      <c r="X2" t="s">
        <v>2671</v>
      </c>
      <c r="Y2" t="s">
        <v>2672</v>
      </c>
      <c r="Z2" t="s">
        <v>2673</v>
      </c>
      <c r="AA2" t="s">
        <v>2654</v>
      </c>
      <c r="AB2" t="s">
        <v>2655</v>
      </c>
      <c r="AC2" t="s">
        <v>2686</v>
      </c>
      <c r="AD2" t="s">
        <v>2671</v>
      </c>
      <c r="AE2" t="s">
        <v>0</v>
      </c>
      <c r="AF2" t="s">
        <v>2670</v>
      </c>
      <c r="AG2" t="s">
        <v>2687</v>
      </c>
      <c r="AH2" t="s">
        <v>2688</v>
      </c>
      <c r="AI2" t="s">
        <v>2689</v>
      </c>
      <c r="AJ2" t="s">
        <v>2690</v>
      </c>
      <c r="AK2" t="s">
        <v>2691</v>
      </c>
    </row>
    <row r="4" spans="3:37" ht="45">
      <c r="Y4" s="6" t="s">
        <v>2692</v>
      </c>
    </row>
    <row r="5" spans="3:37" ht="45">
      <c r="Y5" s="6" t="s">
        <v>2693</v>
      </c>
    </row>
    <row r="6" spans="3:37">
      <c r="Y6" t="s">
        <v>2694</v>
      </c>
    </row>
    <row r="7" spans="3:37">
      <c r="Y7" t="s">
        <v>2695</v>
      </c>
    </row>
    <row r="8" spans="3:37">
      <c r="Y8" t="s">
        <v>2696</v>
      </c>
    </row>
    <row r="9" spans="3:37" ht="30">
      <c r="Y9" s="6" t="s">
        <v>2697</v>
      </c>
    </row>
    <row r="10" spans="3:37" ht="30">
      <c r="Y10" s="6" t="s">
        <v>2698</v>
      </c>
    </row>
    <row r="11" spans="3:37" ht="30">
      <c r="Y11" s="6" t="s">
        <v>2699</v>
      </c>
    </row>
    <row r="12" spans="3:37" ht="30">
      <c r="Y12" s="6" t="s">
        <v>2700</v>
      </c>
    </row>
    <row r="13" spans="3:37">
      <c r="Y13" s="6" t="s">
        <v>2701</v>
      </c>
    </row>
    <row r="15" spans="3:37">
      <c r="Y15" s="14" t="s">
        <v>74</v>
      </c>
    </row>
  </sheetData>
  <mergeCells count="4">
    <mergeCell ref="C1:G1"/>
    <mergeCell ref="H1:U1"/>
    <mergeCell ref="V1:Z1"/>
    <mergeCell ref="AA1:A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W44"/>
  <sheetViews>
    <sheetView topLeftCell="A12" workbookViewId="0">
      <selection activeCell="F22" sqref="F22"/>
    </sheetView>
  </sheetViews>
  <sheetFormatPr defaultRowHeight="15"/>
  <cols>
    <col min="3" max="3" width="14.140625" customWidth="1"/>
    <col min="4" max="10" width="19" customWidth="1"/>
    <col min="11" max="17" width="22.140625" customWidth="1"/>
    <col min="18" max="25" width="22.42578125" customWidth="1"/>
    <col min="61" max="75" width="18" customWidth="1"/>
  </cols>
  <sheetData>
    <row r="2" spans="2:75" ht="38.25">
      <c r="B2" s="7" t="s">
        <v>0</v>
      </c>
      <c r="C2" s="8" t="s">
        <v>11</v>
      </c>
      <c r="D2" s="9" t="s">
        <v>2702</v>
      </c>
      <c r="E2" s="9" t="s">
        <v>3</v>
      </c>
      <c r="F2" s="9" t="s">
        <v>2703</v>
      </c>
      <c r="G2" s="8" t="s">
        <v>2704</v>
      </c>
      <c r="H2" s="8" t="s">
        <v>2705</v>
      </c>
      <c r="I2" s="9" t="s">
        <v>2706</v>
      </c>
      <c r="J2" s="9" t="s">
        <v>2707</v>
      </c>
      <c r="K2" s="9" t="s">
        <v>2708</v>
      </c>
      <c r="L2" s="9" t="s">
        <v>2709</v>
      </c>
      <c r="M2" s="9" t="s">
        <v>2710</v>
      </c>
    </row>
    <row r="7" spans="2:75">
      <c r="C7" t="s">
        <v>2666</v>
      </c>
      <c r="D7" t="s">
        <v>2670</v>
      </c>
      <c r="E7" t="s">
        <v>0</v>
      </c>
      <c r="F7" t="s">
        <v>2671</v>
      </c>
      <c r="G7" t="s">
        <v>2672</v>
      </c>
      <c r="H7" t="s">
        <v>2673</v>
      </c>
    </row>
    <row r="8" spans="2:75">
      <c r="C8" t="s">
        <v>2667</v>
      </c>
      <c r="D8" t="s">
        <v>0</v>
      </c>
      <c r="E8" t="s">
        <v>2671</v>
      </c>
      <c r="F8" t="s">
        <v>2674</v>
      </c>
      <c r="G8" t="s">
        <v>2675</v>
      </c>
      <c r="H8" t="s">
        <v>2676</v>
      </c>
      <c r="I8" t="s">
        <v>2677</v>
      </c>
      <c r="J8" t="s">
        <v>2678</v>
      </c>
      <c r="K8" t="s">
        <v>2679</v>
      </c>
      <c r="L8" t="s">
        <v>2680</v>
      </c>
      <c r="M8" t="s">
        <v>2681</v>
      </c>
      <c r="N8" t="s">
        <v>2682</v>
      </c>
      <c r="O8" t="s">
        <v>2683</v>
      </c>
      <c r="P8" t="s">
        <v>2684</v>
      </c>
      <c r="Q8" t="s">
        <v>2685</v>
      </c>
    </row>
    <row r="9" spans="2:75">
      <c r="C9" t="s">
        <v>2668</v>
      </c>
      <c r="D9" t="s">
        <v>2670</v>
      </c>
      <c r="E9" t="s">
        <v>0</v>
      </c>
      <c r="F9" t="s">
        <v>2671</v>
      </c>
      <c r="G9" t="s">
        <v>2672</v>
      </c>
      <c r="H9" t="s">
        <v>2673</v>
      </c>
    </row>
    <row r="10" spans="2:75">
      <c r="C10" t="s">
        <v>2669</v>
      </c>
      <c r="D10" t="s">
        <v>2654</v>
      </c>
      <c r="E10" t="s">
        <v>2655</v>
      </c>
      <c r="F10" t="s">
        <v>2686</v>
      </c>
      <c r="G10" t="s">
        <v>2671</v>
      </c>
      <c r="H10" t="s">
        <v>0</v>
      </c>
      <c r="I10" t="s">
        <v>2670</v>
      </c>
      <c r="J10" t="s">
        <v>2687</v>
      </c>
      <c r="K10" t="s">
        <v>2688</v>
      </c>
      <c r="L10" t="s">
        <v>2689</v>
      </c>
      <c r="M10" t="s">
        <v>2690</v>
      </c>
    </row>
    <row r="11" spans="2:75" ht="18.75">
      <c r="G11" s="139" t="s">
        <v>2666</v>
      </c>
      <c r="H11" s="139"/>
      <c r="I11" s="139"/>
      <c r="J11" s="139"/>
      <c r="K11" s="139"/>
      <c r="L11" s="140" t="s">
        <v>2667</v>
      </c>
      <c r="M11" s="140"/>
      <c r="N11" s="140"/>
      <c r="O11" s="140"/>
      <c r="P11" s="140"/>
      <c r="Q11" s="140"/>
      <c r="R11" s="140"/>
      <c r="S11" s="140"/>
      <c r="T11" s="140"/>
      <c r="U11" s="140"/>
      <c r="V11" s="140"/>
      <c r="W11" s="140"/>
      <c r="X11" s="140"/>
      <c r="Y11" s="140"/>
      <c r="Z11" s="141" t="s">
        <v>2668</v>
      </c>
      <c r="AA11" s="141"/>
      <c r="AB11" s="141"/>
      <c r="AC11" s="141"/>
      <c r="AD11" s="141"/>
      <c r="AE11" s="142" t="s">
        <v>2669</v>
      </c>
      <c r="AF11" s="142"/>
      <c r="AG11" s="142"/>
      <c r="AH11" s="142"/>
      <c r="AI11" s="142"/>
      <c r="AJ11" s="142"/>
      <c r="AK11" s="142"/>
      <c r="AL11" s="142"/>
      <c r="AM11" s="142"/>
      <c r="AN11" s="142"/>
      <c r="AO11" s="142" t="s">
        <v>2669</v>
      </c>
      <c r="AP11" s="142"/>
      <c r="AQ11" s="142"/>
      <c r="AR11" s="142"/>
      <c r="AS11" s="142"/>
      <c r="AT11" s="142"/>
      <c r="AU11" s="142"/>
      <c r="AV11" s="142"/>
      <c r="AW11" s="142"/>
      <c r="AX11" s="142"/>
      <c r="AY11" s="143" t="s">
        <v>2711</v>
      </c>
      <c r="AZ11" s="143"/>
      <c r="BA11" s="143"/>
      <c r="BB11" s="143"/>
      <c r="BC11" s="143"/>
      <c r="BD11" s="143"/>
      <c r="BE11" s="143"/>
      <c r="BI11" s="144" t="s">
        <v>2712</v>
      </c>
      <c r="BJ11" s="144"/>
      <c r="BK11" s="144"/>
      <c r="BL11" s="144"/>
      <c r="BM11" s="144"/>
      <c r="BN11" s="144"/>
      <c r="BO11" s="144"/>
      <c r="BP11" s="144"/>
      <c r="BQ11" s="144"/>
      <c r="BR11" s="144"/>
      <c r="BS11" s="144"/>
      <c r="BT11" s="144"/>
      <c r="BU11" s="144"/>
      <c r="BV11" s="144"/>
      <c r="BW11" s="144"/>
    </row>
    <row r="12" spans="2:75" ht="60">
      <c r="G12" s="6" t="s">
        <v>2670</v>
      </c>
      <c r="H12" s="6" t="s">
        <v>0</v>
      </c>
      <c r="I12" s="6" t="s">
        <v>2671</v>
      </c>
      <c r="J12" s="6" t="s">
        <v>2672</v>
      </c>
      <c r="K12" s="6" t="s">
        <v>2673</v>
      </c>
      <c r="L12" s="6" t="s">
        <v>0</v>
      </c>
      <c r="M12" s="6" t="s">
        <v>2671</v>
      </c>
      <c r="N12" s="15" t="s">
        <v>2674</v>
      </c>
      <c r="O12" s="15" t="s">
        <v>2675</v>
      </c>
      <c r="P12" s="6" t="s">
        <v>2676</v>
      </c>
      <c r="Q12" s="13" t="s">
        <v>2677</v>
      </c>
      <c r="R12" s="6" t="s">
        <v>2678</v>
      </c>
      <c r="S12" s="6" t="s">
        <v>2679</v>
      </c>
      <c r="T12" s="6" t="s">
        <v>2680</v>
      </c>
      <c r="U12" s="6" t="s">
        <v>2681</v>
      </c>
      <c r="V12" s="6" t="s">
        <v>2682</v>
      </c>
      <c r="W12" s="6" t="s">
        <v>2683</v>
      </c>
      <c r="X12" s="6" t="s">
        <v>2684</v>
      </c>
      <c r="Y12" s="6" t="s">
        <v>2685</v>
      </c>
      <c r="Z12" s="6" t="s">
        <v>2670</v>
      </c>
      <c r="AA12" s="6" t="s">
        <v>0</v>
      </c>
      <c r="AB12" s="6" t="s">
        <v>2671</v>
      </c>
      <c r="AC12" s="6" t="s">
        <v>2672</v>
      </c>
      <c r="AD12" s="6" t="s">
        <v>2673</v>
      </c>
      <c r="AE12" s="6" t="s">
        <v>2654</v>
      </c>
      <c r="AF12" s="6" t="s">
        <v>2655</v>
      </c>
      <c r="AG12" s="6" t="s">
        <v>2686</v>
      </c>
      <c r="AH12" s="6" t="s">
        <v>2671</v>
      </c>
      <c r="AI12" s="6" t="s">
        <v>0</v>
      </c>
      <c r="AJ12" s="6" t="s">
        <v>2670</v>
      </c>
      <c r="AK12" s="6" t="s">
        <v>2687</v>
      </c>
      <c r="AL12" s="6" t="s">
        <v>2688</v>
      </c>
      <c r="AM12" s="6" t="s">
        <v>2689</v>
      </c>
      <c r="AN12" s="6" t="s">
        <v>2690</v>
      </c>
      <c r="AO12" s="6" t="s">
        <v>2654</v>
      </c>
      <c r="AP12" s="6" t="s">
        <v>2655</v>
      </c>
      <c r="AQ12" s="6" t="s">
        <v>2686</v>
      </c>
      <c r="AR12" s="6" t="s">
        <v>2671</v>
      </c>
      <c r="AS12" s="6" t="s">
        <v>0</v>
      </c>
      <c r="AT12" s="6" t="s">
        <v>2670</v>
      </c>
      <c r="AU12" s="6" t="s">
        <v>2687</v>
      </c>
      <c r="AV12" s="6" t="s">
        <v>2688</v>
      </c>
      <c r="AW12" s="6" t="s">
        <v>2689</v>
      </c>
      <c r="AX12" s="6" t="s">
        <v>2690</v>
      </c>
      <c r="AY12" s="6" t="s">
        <v>2713</v>
      </c>
      <c r="AZ12" s="6" t="s">
        <v>2714</v>
      </c>
      <c r="BA12" s="6" t="s">
        <v>2715</v>
      </c>
      <c r="BB12" s="6" t="s">
        <v>42</v>
      </c>
      <c r="BC12" s="6" t="s">
        <v>39</v>
      </c>
      <c r="BD12" s="6" t="s">
        <v>47</v>
      </c>
      <c r="BE12" s="6" t="s">
        <v>2716</v>
      </c>
      <c r="BI12" s="6" t="s">
        <v>2691</v>
      </c>
      <c r="BJ12" s="6" t="s">
        <v>2717</v>
      </c>
      <c r="BK12" s="6" t="s">
        <v>2718</v>
      </c>
      <c r="BL12" s="6" t="s">
        <v>2719</v>
      </c>
      <c r="BM12" s="6" t="s">
        <v>2720</v>
      </c>
      <c r="BN12" s="6" t="s">
        <v>75</v>
      </c>
      <c r="BO12" s="6" t="s">
        <v>76</v>
      </c>
      <c r="BP12" s="6" t="s">
        <v>77</v>
      </c>
      <c r="BQ12" s="6" t="s">
        <v>2721</v>
      </c>
      <c r="BR12" s="6" t="s">
        <v>2722</v>
      </c>
      <c r="BS12" s="6" t="s">
        <v>78</v>
      </c>
      <c r="BT12" s="6" t="s">
        <v>2723</v>
      </c>
      <c r="BU12" s="6" t="s">
        <v>2724</v>
      </c>
      <c r="BV12" s="6" t="s">
        <v>2725</v>
      </c>
      <c r="BW12" s="6" t="s">
        <v>2726</v>
      </c>
    </row>
    <row r="13" spans="2:75">
      <c r="R13" s="11"/>
      <c r="S13" s="11"/>
      <c r="T13" s="11"/>
      <c r="U13" s="11"/>
      <c r="V13" s="11"/>
      <c r="W13" s="11" t="s">
        <v>2727</v>
      </c>
      <c r="X13" s="11"/>
      <c r="BE13" s="11"/>
      <c r="BI13" s="11" t="s">
        <v>2728</v>
      </c>
      <c r="BJ13" s="11" t="s">
        <v>2729</v>
      </c>
      <c r="BK13" s="11" t="s">
        <v>2730</v>
      </c>
      <c r="BL13" s="11" t="s">
        <v>2730</v>
      </c>
      <c r="BM13" s="11" t="s">
        <v>2731</v>
      </c>
      <c r="BN13" s="11" t="s">
        <v>2732</v>
      </c>
      <c r="BO13" s="11" t="s">
        <v>2733</v>
      </c>
      <c r="BP13" s="11"/>
      <c r="BQ13" s="11" t="s">
        <v>2733</v>
      </c>
      <c r="BR13" s="11" t="s">
        <v>2734</v>
      </c>
      <c r="BS13" s="11" t="s">
        <v>2735</v>
      </c>
      <c r="BT13" s="11"/>
      <c r="BU13" s="11" t="s">
        <v>2736</v>
      </c>
      <c r="BV13" s="11" t="s">
        <v>2737</v>
      </c>
      <c r="BW13" s="11" t="s">
        <v>2738</v>
      </c>
    </row>
    <row r="14" spans="2:75">
      <c r="C14" t="s">
        <v>2677</v>
      </c>
      <c r="S14" t="s">
        <v>2739</v>
      </c>
      <c r="V14" t="s">
        <v>2740</v>
      </c>
      <c r="AH14" t="s">
        <v>2741</v>
      </c>
    </row>
    <row r="15" spans="2:75">
      <c r="C15" t="s">
        <v>2742</v>
      </c>
      <c r="R15" s="11" t="s">
        <v>2743</v>
      </c>
      <c r="T15" s="11" t="s">
        <v>2744</v>
      </c>
      <c r="W15" s="11" t="s">
        <v>2745</v>
      </c>
      <c r="BB15" t="s">
        <v>43</v>
      </c>
      <c r="BE15" t="s">
        <v>2746</v>
      </c>
      <c r="BJ15" t="s">
        <v>2747</v>
      </c>
    </row>
    <row r="16" spans="2:75">
      <c r="C16" t="s">
        <v>2748</v>
      </c>
      <c r="BB16" t="s">
        <v>44</v>
      </c>
      <c r="BJ16" t="s">
        <v>2749</v>
      </c>
    </row>
    <row r="17" spans="3:54">
      <c r="C17" t="s">
        <v>2750</v>
      </c>
      <c r="R17" t="s">
        <v>2751</v>
      </c>
      <c r="BB17" t="s">
        <v>45</v>
      </c>
    </row>
    <row r="18" spans="3:54">
      <c r="C18" t="s">
        <v>2752</v>
      </c>
      <c r="F18" t="s">
        <v>2753</v>
      </c>
      <c r="BB18" t="s">
        <v>1737</v>
      </c>
    </row>
    <row r="19" spans="3:54">
      <c r="C19" t="s">
        <v>2754</v>
      </c>
      <c r="F19" t="str">
        <f>IF(AS7="10% De Minimis Cost Rate","Cost rate will be followed. The revised rate will be applied from the last audit period and the expenditure recalculated and submitted.",IF(ISNUMBER(SEARCH("account",AS7)),"The errors in accounting will be corrected. The accounting policy suggested will be followed. The financials will be recalculated based on the revised accounting policies and submitted.",IF(ISNUMBER(SEARCH("loan",AS7)),"Loan accounts will be reviewed and appropriate amendments will be made and submitted","The audit comments will be followed. The financials will be redrawn and resubmitted.")))</f>
        <v>The audit comments will be followed. The financials will be redrawn and resubmitted.</v>
      </c>
    </row>
    <row r="20" spans="3:54">
      <c r="C20" t="s">
        <v>2755</v>
      </c>
      <c r="F20" t="str">
        <f ca="1">IF(LEN(AX6)&gt;0,RANDBETWEEN(56543,98654),"")</f>
        <v/>
      </c>
    </row>
    <row r="21" spans="3:54">
      <c r="C21" t="s">
        <v>2756</v>
      </c>
      <c r="F21" t="str">
        <f>IF(AND(AV6&gt;=56543,AV6&lt;=76543,LEN(AV6)&gt;0),"3 Feb 2020",IF(AND(AV6&gt;=66544,AV6&lt;=99999,LEN(AV6)&gt;0),"12 Sep 2020",""))</f>
        <v/>
      </c>
    </row>
    <row r="22" spans="3:54">
      <c r="C22" t="s">
        <v>2757</v>
      </c>
      <c r="F22" t="str">
        <f>IF(ISNUMBER(SEARCH("C",AK2)),"A",IF(ISNUMBER(SEARCH("B",AK2)),"Q",IF(ISNUMBER(SEARCH("FALSE",AL2)),"Q","")))</f>
        <v/>
      </c>
    </row>
    <row r="23" spans="3:54">
      <c r="C23" t="s">
        <v>2758</v>
      </c>
    </row>
    <row r="24" spans="3:54">
      <c r="C24" t="s">
        <v>2759</v>
      </c>
    </row>
    <row r="25" spans="3:54">
      <c r="C25" t="s">
        <v>2760</v>
      </c>
    </row>
    <row r="26" spans="3:54">
      <c r="C26" t="s">
        <v>2761</v>
      </c>
    </row>
    <row r="27" spans="3:54">
      <c r="C27" t="s">
        <v>2762</v>
      </c>
    </row>
    <row r="28" spans="3:54">
      <c r="C28" t="s">
        <v>2763</v>
      </c>
    </row>
    <row r="29" spans="3:54">
      <c r="C29" t="s">
        <v>2764</v>
      </c>
    </row>
    <row r="30" spans="3:54">
      <c r="C30" t="s">
        <v>2765</v>
      </c>
    </row>
    <row r="32" spans="3:54">
      <c r="C32" t="s">
        <v>2766</v>
      </c>
    </row>
    <row r="33" spans="3:4">
      <c r="C33" t="s">
        <v>2767</v>
      </c>
    </row>
    <row r="34" spans="3:4">
      <c r="C34" t="s">
        <v>2768</v>
      </c>
    </row>
    <row r="35" spans="3:4">
      <c r="C35" t="s">
        <v>2728</v>
      </c>
    </row>
    <row r="36" spans="3:4">
      <c r="C36" t="s">
        <v>2769</v>
      </c>
    </row>
    <row r="40" spans="3:4">
      <c r="C40" t="s">
        <v>2770</v>
      </c>
    </row>
    <row r="41" spans="3:4">
      <c r="C41" t="s">
        <v>425</v>
      </c>
      <c r="D41" t="s">
        <v>2771</v>
      </c>
    </row>
    <row r="42" spans="3:4">
      <c r="C42" t="s">
        <v>954</v>
      </c>
      <c r="D42" t="s">
        <v>2772</v>
      </c>
    </row>
    <row r="44" spans="3:4">
      <c r="C44" t="s">
        <v>2773</v>
      </c>
    </row>
  </sheetData>
  <mergeCells count="7">
    <mergeCell ref="AY11:BE11"/>
    <mergeCell ref="BI11:BW11"/>
    <mergeCell ref="G11:K11"/>
    <mergeCell ref="L11:Y11"/>
    <mergeCell ref="Z11:AD11"/>
    <mergeCell ref="AE11:AN11"/>
    <mergeCell ref="AO11:AX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C38"/>
  <sheetViews>
    <sheetView workbookViewId="0">
      <selection activeCell="C1" sqref="C1"/>
    </sheetView>
  </sheetViews>
  <sheetFormatPr defaultRowHeight="15"/>
  <cols>
    <col min="3" max="3" width="171.28515625" style="6" customWidth="1"/>
  </cols>
  <sheetData>
    <row r="2" spans="2:3">
      <c r="B2" t="s">
        <v>2774</v>
      </c>
    </row>
    <row r="5" spans="2:3" ht="30">
      <c r="B5" s="1" t="s">
        <v>2666</v>
      </c>
      <c r="C5" s="10" t="s">
        <v>2775</v>
      </c>
    </row>
    <row r="6" spans="2:3">
      <c r="B6" s="1" t="s">
        <v>2667</v>
      </c>
      <c r="C6" s="10"/>
    </row>
    <row r="7" spans="2:3">
      <c r="B7" s="1" t="s">
        <v>2668</v>
      </c>
      <c r="C7" s="10" t="s">
        <v>2776</v>
      </c>
    </row>
    <row r="8" spans="2:3" ht="30">
      <c r="B8" s="1" t="s">
        <v>2669</v>
      </c>
      <c r="C8" s="10" t="s">
        <v>2777</v>
      </c>
    </row>
    <row r="11" spans="2:3">
      <c r="C11" s="21" t="s">
        <v>2778</v>
      </c>
    </row>
    <row r="13" spans="2:3">
      <c r="C13" s="6" t="s">
        <v>2779</v>
      </c>
    </row>
    <row r="17" spans="3:3">
      <c r="C17" s="16" t="s">
        <v>2780</v>
      </c>
    </row>
    <row r="18" spans="3:3">
      <c r="C18" s="20"/>
    </row>
    <row r="20" spans="3:3">
      <c r="C20" s="19" t="s">
        <v>2781</v>
      </c>
    </row>
    <row r="22" spans="3:3">
      <c r="C22" s="6" t="s">
        <v>2782</v>
      </c>
    </row>
    <row r="24" spans="3:3">
      <c r="C24" s="16" t="s">
        <v>2783</v>
      </c>
    </row>
    <row r="27" spans="3:3">
      <c r="C27" s="6" t="s">
        <v>2784</v>
      </c>
    </row>
    <row r="30" spans="3:3">
      <c r="C30" s="6" t="s">
        <v>2785</v>
      </c>
    </row>
    <row r="34" spans="3:3" ht="30">
      <c r="C34" s="6" t="s">
        <v>2786</v>
      </c>
    </row>
    <row r="38" spans="3:3">
      <c r="C38" s="20" t="s">
        <v>2787</v>
      </c>
    </row>
  </sheetData>
  <hyperlinks>
    <hyperlink ref="C17" r:id="rId1" xr:uid="{00000000-0004-0000-0A00-000000000000}"/>
    <hyperlink ref="C24" r:id="rId2" xr:uid="{00000000-0004-0000-0A00-000001000000}"/>
    <hyperlink ref="C38" r:id="rId3" xr:uid="{00000000-0004-0000-0A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B44"/>
  <sheetViews>
    <sheetView workbookViewId="0">
      <selection activeCell="B2" sqref="B2"/>
    </sheetView>
  </sheetViews>
  <sheetFormatPr defaultRowHeight="15"/>
  <cols>
    <col min="2" max="2" width="88.42578125" style="6" customWidth="1"/>
  </cols>
  <sheetData>
    <row r="3" spans="2:2" ht="45">
      <c r="B3" s="5" t="s">
        <v>2788</v>
      </c>
    </row>
    <row r="4" spans="2:2">
      <c r="B4" s="5"/>
    </row>
    <row r="5" spans="2:2" ht="45">
      <c r="B5" s="5" t="s">
        <v>2789</v>
      </c>
    </row>
    <row r="6" spans="2:2">
      <c r="B6" s="5"/>
    </row>
    <row r="7" spans="2:2" ht="30">
      <c r="B7" s="5" t="s">
        <v>2790</v>
      </c>
    </row>
    <row r="8" spans="2:2">
      <c r="B8" s="5"/>
    </row>
    <row r="9" spans="2:2" ht="30">
      <c r="B9" s="5" t="s">
        <v>2791</v>
      </c>
    </row>
    <row r="13" spans="2:2" ht="75">
      <c r="B13" s="5" t="s">
        <v>2792</v>
      </c>
    </row>
    <row r="14" spans="2:2">
      <c r="B14" s="5"/>
    </row>
    <row r="15" spans="2:2" ht="60">
      <c r="B15" s="5" t="s">
        <v>2793</v>
      </c>
    </row>
    <row r="16" spans="2:2">
      <c r="B16" s="5"/>
    </row>
    <row r="17" spans="2:2" ht="30">
      <c r="B17" s="5" t="s">
        <v>2794</v>
      </c>
    </row>
    <row r="18" spans="2:2">
      <c r="B18" s="5"/>
    </row>
    <row r="19" spans="2:2" ht="45">
      <c r="B19" s="5" t="s">
        <v>2795</v>
      </c>
    </row>
    <row r="20" spans="2:2">
      <c r="B20" s="5"/>
    </row>
    <row r="21" spans="2:2" ht="30">
      <c r="B21" s="5" t="s">
        <v>2796</v>
      </c>
    </row>
    <row r="22" spans="2:2">
      <c r="B22" s="5"/>
    </row>
    <row r="23" spans="2:2">
      <c r="B23" s="5" t="s">
        <v>2797</v>
      </c>
    </row>
    <row r="24" spans="2:2">
      <c r="B24" s="5"/>
    </row>
    <row r="25" spans="2:2" ht="60">
      <c r="B25" s="5" t="s">
        <v>2798</v>
      </c>
    </row>
    <row r="27" spans="2:2">
      <c r="B27" s="5"/>
    </row>
    <row r="28" spans="2:2">
      <c r="B28" s="5" t="s">
        <v>2799</v>
      </c>
    </row>
    <row r="29" spans="2:2">
      <c r="B29" s="5"/>
    </row>
    <row r="30" spans="2:2" ht="90">
      <c r="B30" s="5" t="s">
        <v>2800</v>
      </c>
    </row>
    <row r="31" spans="2:2">
      <c r="B31" s="5"/>
    </row>
    <row r="32" spans="2:2" ht="75">
      <c r="B32" s="5" t="s">
        <v>2801</v>
      </c>
    </row>
    <row r="33" spans="2:2">
      <c r="B33" s="5"/>
    </row>
    <row r="34" spans="2:2" ht="45">
      <c r="B34" s="5" t="s">
        <v>2802</v>
      </c>
    </row>
    <row r="35" spans="2:2">
      <c r="B35" s="5"/>
    </row>
    <row r="36" spans="2:2" ht="30">
      <c r="B36" s="5" t="s">
        <v>2803</v>
      </c>
    </row>
    <row r="38" spans="2:2">
      <c r="B38" s="12"/>
    </row>
    <row r="40" spans="2:2" ht="30">
      <c r="B40" s="6" t="s">
        <v>2804</v>
      </c>
    </row>
    <row r="42" spans="2:2">
      <c r="B42" s="6" t="s">
        <v>2805</v>
      </c>
    </row>
    <row r="43" spans="2:2">
      <c r="B43" s="6" t="s">
        <v>2806</v>
      </c>
    </row>
    <row r="44" spans="2:2">
      <c r="B44" s="6" t="s">
        <v>2807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B15"/>
  <sheetViews>
    <sheetView workbookViewId="0">
      <selection activeCell="B15" sqref="B15"/>
    </sheetView>
  </sheetViews>
  <sheetFormatPr defaultRowHeight="15"/>
  <cols>
    <col min="2" max="2" width="106.85546875" style="6" customWidth="1"/>
  </cols>
  <sheetData>
    <row r="2" spans="2:2">
      <c r="B2" s="6" t="s">
        <v>2808</v>
      </c>
    </row>
    <row r="3" spans="2:2" ht="75">
      <c r="B3" s="6" t="s">
        <v>2809</v>
      </c>
    </row>
    <row r="5" spans="2:2">
      <c r="B5" s="6" t="s">
        <v>2810</v>
      </c>
    </row>
    <row r="6" spans="2:2" ht="30">
      <c r="B6" s="6" t="s">
        <v>2811</v>
      </c>
    </row>
    <row r="7" spans="2:2">
      <c r="B7" s="6" t="s">
        <v>2812</v>
      </c>
    </row>
    <row r="8" spans="2:2">
      <c r="B8" s="6" t="s">
        <v>2813</v>
      </c>
    </row>
    <row r="9" spans="2:2" ht="30">
      <c r="B9" s="6" t="s">
        <v>2814</v>
      </c>
    </row>
    <row r="10" spans="2:2" ht="30">
      <c r="B10" s="6" t="s">
        <v>2815</v>
      </c>
    </row>
    <row r="11" spans="2:2">
      <c r="B11" s="6" t="s">
        <v>2816</v>
      </c>
    </row>
    <row r="12" spans="2:2" ht="30">
      <c r="B12" s="6" t="s">
        <v>2817</v>
      </c>
    </row>
    <row r="13" spans="2:2" ht="75">
      <c r="B13" s="6" t="s">
        <v>2818</v>
      </c>
    </row>
    <row r="15" spans="2:2" ht="45">
      <c r="B15" s="6" t="s">
        <v>2819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3:D14"/>
  <sheetViews>
    <sheetView workbookViewId="0">
      <selection activeCell="D11" sqref="D11"/>
    </sheetView>
  </sheetViews>
  <sheetFormatPr defaultRowHeight="15"/>
  <cols>
    <col min="3" max="3" width="58.28515625" customWidth="1"/>
    <col min="4" max="4" width="40.140625" customWidth="1"/>
  </cols>
  <sheetData>
    <row r="3" spans="3:4">
      <c r="C3" s="3" t="s">
        <v>2820</v>
      </c>
      <c r="D3" s="3" t="s">
        <v>2821</v>
      </c>
    </row>
    <row r="4" spans="3:4">
      <c r="C4" s="1" t="s">
        <v>2822</v>
      </c>
      <c r="D4" s="2">
        <v>750000</v>
      </c>
    </row>
    <row r="5" spans="3:4">
      <c r="C5" s="1" t="s">
        <v>2823</v>
      </c>
      <c r="D5" s="1" t="s">
        <v>2824</v>
      </c>
    </row>
    <row r="6" spans="3:4">
      <c r="C6" s="1" t="s">
        <v>2825</v>
      </c>
      <c r="D6" s="1" t="s">
        <v>2826</v>
      </c>
    </row>
    <row r="7" spans="3:4">
      <c r="C7" s="1" t="s">
        <v>2827</v>
      </c>
      <c r="D7" s="1" t="s">
        <v>2828</v>
      </c>
    </row>
    <row r="8" spans="3:4">
      <c r="C8" s="1" t="s">
        <v>2829</v>
      </c>
      <c r="D8" s="1" t="s">
        <v>2830</v>
      </c>
    </row>
    <row r="9" spans="3:4">
      <c r="C9" s="1" t="s">
        <v>2831</v>
      </c>
      <c r="D9" s="1" t="s">
        <v>2832</v>
      </c>
    </row>
    <row r="11" spans="3:4">
      <c r="C11" s="3" t="s">
        <v>2820</v>
      </c>
      <c r="D11" s="4" t="s">
        <v>2833</v>
      </c>
    </row>
    <row r="12" spans="3:4">
      <c r="C12" t="s">
        <v>2834</v>
      </c>
      <c r="D12" s="1" t="s">
        <v>2835</v>
      </c>
    </row>
    <row r="14" spans="3:4">
      <c r="C14" t="s">
        <v>2836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Ravi Radhakrishnan</dc:creator>
  <cp:keywords/>
  <dc:description/>
  <cp:lastModifiedBy/>
  <cp:revision/>
  <dcterms:created xsi:type="dcterms:W3CDTF">2020-07-28T07:25:17Z</dcterms:created>
  <dcterms:modified xsi:type="dcterms:W3CDTF">2021-05-25T04:39:11Z</dcterms:modified>
  <cp:category/>
  <cp:contentStatus/>
</cp:coreProperties>
</file>