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docs.live.net/5d19c577fd3b8a8b/3 - Travail/3-DEV/R/Test 1/"/>
    </mc:Choice>
  </mc:AlternateContent>
  <xr:revisionPtr revIDLastSave="2770" documentId="13_ncr:1_{4A7F0E0D-BFA2-4790-8D2E-53994F686FAF}" xr6:coauthVersionLast="47" xr6:coauthVersionMax="47" xr10:uidLastSave="{D90E3602-1017-4AC1-B842-5F49C07D7C7E}"/>
  <bookViews>
    <workbookView xWindow="51480" yWindow="-120" windowWidth="29040" windowHeight="15720" tabRatio="719" activeTab="5" xr2:uid="{00000000-000D-0000-FFFF-FFFF00000000}"/>
  </bookViews>
  <sheets>
    <sheet name="SupplyFood" sheetId="1" r:id="rId1"/>
    <sheet name="SupplyLocalProd" sheetId="10" r:id="rId2"/>
    <sheet name="SupplyImport" sheetId="11" r:id="rId3"/>
    <sheet name="SupplyExport" sheetId="12" r:id="rId4"/>
    <sheet name="Sheet1" sheetId="15" state="hidden" r:id="rId5"/>
    <sheet name="ConsumptionFood" sheetId="13" r:id="rId6"/>
    <sheet name="Listes" sheetId="14" r:id="rId7"/>
    <sheet name="CountryPop" sheetId="16" r:id="rId8"/>
  </sheets>
  <definedNames>
    <definedName name="_xlnm._FilterDatabase" localSheetId="5" hidden="1">ConsumptionFood!$A$2:$AB$2</definedName>
    <definedName name="_xlnm._FilterDatabase" localSheetId="3" hidden="1">SupplyExport!$A$2:$AC$2</definedName>
    <definedName name="_xlnm._FilterDatabase" localSheetId="0" hidden="1">SupplyFood!$A$2:$AC$2</definedName>
    <definedName name="_xlnm._FilterDatabase" localSheetId="2" hidden="1">SupplyImport!$A$2:$AC$2</definedName>
    <definedName name="_xlnm._FilterDatabase" localSheetId="1" hidden="1">SupplyLocalProd!$A$2:$AE$78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1" l="1"/>
  <c r="L12" i="1"/>
  <c r="L11" i="1"/>
  <c r="L10" i="1"/>
  <c r="L8" i="1"/>
  <c r="L7" i="1"/>
  <c r="L6" i="1"/>
  <c r="L5" i="1"/>
  <c r="L4" i="1"/>
  <c r="M32" i="10"/>
  <c r="M31" i="10"/>
  <c r="M30" i="10"/>
  <c r="M29" i="10"/>
  <c r="M26" i="10"/>
  <c r="M25" i="10"/>
  <c r="M24" i="10"/>
  <c r="M17" i="10"/>
  <c r="M21" i="11"/>
  <c r="M19" i="11"/>
  <c r="M18" i="11"/>
  <c r="M16" i="11"/>
  <c r="M15" i="11"/>
  <c r="M10" i="11"/>
  <c r="M11" i="11"/>
  <c r="M12" i="11"/>
  <c r="M13" i="11"/>
  <c r="M14" i="11"/>
  <c r="M9" i="11"/>
  <c r="M5" i="11"/>
  <c r="M6" i="11"/>
  <c r="M7" i="11"/>
  <c r="M8" i="11"/>
  <c r="M4" i="11"/>
  <c r="M3" i="11"/>
  <c r="M20" i="12"/>
  <c r="M19" i="12"/>
  <c r="M18" i="12"/>
  <c r="M16" i="12"/>
  <c r="M17" i="12"/>
  <c r="M14" i="12"/>
  <c r="M13" i="12"/>
  <c r="M12" i="12"/>
  <c r="M11" i="12"/>
  <c r="M10" i="12"/>
  <c r="M9" i="12"/>
  <c r="M8" i="12"/>
  <c r="M7" i="12"/>
  <c r="M25" i="12"/>
  <c r="M27" i="10"/>
  <c r="M5" i="10"/>
  <c r="M7" i="10"/>
  <c r="M56" i="10"/>
  <c r="M72" i="10"/>
  <c r="M16" i="10"/>
  <c r="M41" i="10"/>
  <c r="M23" i="10"/>
  <c r="M33" i="10"/>
  <c r="M38" i="10"/>
  <c r="M4" i="10"/>
  <c r="M3" i="10"/>
  <c r="M78" i="10"/>
  <c r="M77" i="10"/>
  <c r="M76" i="10"/>
  <c r="M74" i="10"/>
  <c r="M73" i="10"/>
  <c r="M71" i="10"/>
  <c r="M68" i="10"/>
  <c r="M67" i="10"/>
  <c r="M66" i="10"/>
  <c r="M65" i="10"/>
  <c r="M64" i="10"/>
  <c r="M63" i="10"/>
  <c r="M62" i="10"/>
  <c r="M61" i="10"/>
  <c r="M9" i="10"/>
  <c r="M53" i="10"/>
  <c r="M40" i="10"/>
  <c r="M39" i="10"/>
  <c r="M18" i="10"/>
  <c r="M20" i="10"/>
  <c r="M24" i="12"/>
  <c r="M6" i="12"/>
  <c r="M5" i="12"/>
  <c r="M4" i="12"/>
  <c r="M59" i="10"/>
  <c r="M28" i="10"/>
  <c r="M58"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tc={FD101D68-A081-495A-85E2-AB5DFA0A32E6}</author>
    <author>tc={43207A49-AAB9-40DB-BBDF-3B6CEDB79D68}</author>
    <author>tc={F5A6ECB1-6A86-46EA-9A08-E18837C28C11}</author>
    <author>tc={B5492B7A-FEB9-4072-9175-A20D748BE91B}</author>
    <author>tc={9669B211-53D9-4A24-BB64-D050E519B0AF}</author>
    <author>tc={FE8EAF22-37AC-4872-A968-653A3DC7C258}</author>
    <author>tc={F45D6BF1-F496-415E-8275-13667F9B9B13}</author>
    <author>tc={12BE1FFB-5958-416F-AFF8-7B598ACCB528}</author>
    <author>tc={7AA4BE73-B7C7-4ABB-A363-8A3828D4B12E}</author>
    <author>tc={DEBEA8AB-ED49-4E29-8E6D-E77C605CCB34}</author>
  </authors>
  <commentList>
    <comment ref="A2" authorId="0" shapeId="0" xr:uid="{FD101D68-A081-495A-85E2-AB5DFA0A32E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C2" authorId="1" shapeId="0" xr:uid="{43207A49-AAB9-40DB-BBDF-3B6CEDB79D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D2" authorId="2" shapeId="0" xr:uid="{F5A6ECB1-6A86-46EA-9A08-E18837C28C1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I2" authorId="3" shapeId="0" xr:uid="{B5492B7A-FEB9-4072-9175-A20D748BE91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Unique product name, usually brand name +product description</t>
      </text>
    </comment>
    <comment ref="L2" authorId="4" shapeId="0" xr:uid="{9669B211-53D9-4A24-BB64-D050E519B0A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Value is in 1000T</t>
      </text>
    </comment>
    <comment ref="Q2" authorId="5" shapeId="0" xr:uid="{FE8EAF22-37AC-4872-A968-653A3DC7C2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 USD</t>
      </text>
    </comment>
    <comment ref="AB2" authorId="6" shapeId="0" xr:uid="{F45D6BF1-F496-415E-8275-13667F9B9B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if use for analysis, 0 otherwise
Réponse :
    Keep it 0 if you want to ignore</t>
      </text>
    </comment>
    <comment ref="C3" authorId="7" shapeId="0" xr:uid="{12BE1FFB-5958-416F-AFF8-7B598ACCB5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 production + Import – Export 
Same for the Rows below</t>
      </text>
    </comment>
    <comment ref="D8" authorId="8" shapeId="0" xr:uid="{7AA4BE73-B7C7-4ABB-A363-8A3828D4B12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Definition: Wheat, wheat Flour, wheat Bran, wheat Macaroni, wheat Germ, wheat Bread, wheat Bulgur, wheat Pastry, wheat Starch, wheat Gluten, Cereals breakfast, Wafers, Mixes and doughs, Food preparations, flour, malt extract </t>
      </text>
    </comment>
    <comment ref="D20" authorId="9" shapeId="0" xr:uid="{DEBEA8AB-ED49-4E29-8E6D-E77C605CCB3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Doesn't categorize into Maize flour / Maize meal. 
Out of the total value given, 1.6 million MT used for human consumption, 1 million MT bought by strategic grains reserve agency and 409,000 MT will be availed for industrial requirements, including for animal feed production.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tc={ECE0D380-2D6E-4486-B2C4-FC6ADD33A36D}</author>
    <author>tc={FEC48331-4487-4C7C-AE90-9CDA80A9D2A0}</author>
    <author>tc={A3E4AF9C-0CD5-4306-B30F-3615D053BC75}</author>
    <author>tc={5555E196-9B99-4234-8BC3-22995BD2B13F}</author>
    <author>tc={29B72825-954F-4CDC-8D89-AA7ACE2B47C5}</author>
    <author>tc={D78238B5-B788-4DD0-8804-45E493B0B1CE}</author>
    <author>tc={31360B5B-EC66-45AE-8E01-A3235FE05729}</author>
    <author>tc={4450D2B2-8BF7-4BE6-A9FD-8EABE61FB19A}</author>
    <author>tc={2D8BEB3C-3AE3-4AF4-B83D-B9E9ABCB904B}</author>
    <author>tc={0FA05E2D-B2D8-41E9-A900-D388AABB3600}</author>
    <author>tc={D866B5C6-DD45-49CD-A3A8-E9F84DB0C88A}</author>
    <author>tc={9A4A8556-074D-4E4D-ABA3-A16AD2FA1EC1}</author>
    <author>tc={04CFAB91-D3A5-4EDF-AA96-FA008C104089}</author>
    <author>tc={453FC29C-ED0F-491A-9F4B-AA5436DA46DD}</author>
  </authors>
  <commentList>
    <comment ref="A2" authorId="0" shapeId="0" xr:uid="{ECE0D380-2D6E-4486-B2C4-FC6ADD33A3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C2" authorId="1" shapeId="0" xr:uid="{FEC48331-4487-4C7C-AE90-9CDA80A9D2A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D2" authorId="2" shapeId="0" xr:uid="{A3E4AF9C-0CD5-4306-B30F-3615D053BC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Put it as Large Scale or Medium or Small (Based on the Capacity-production)</t>
      </text>
    </comment>
    <comment ref="E2" authorId="3" shapeId="0" xr:uid="{5555E196-9B99-4234-8BC3-22995BD2B1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J2" authorId="4" shapeId="0" xr:uid="{29B72825-954F-4CDC-8D89-AA7ACE2B47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Unique product name, usually brand name +product description</t>
      </text>
    </comment>
    <comment ref="M2" authorId="5" shapeId="0" xr:uid="{D78238B5-B788-4DD0-8804-45E493B0B1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Value is in 1000T</t>
      </text>
    </comment>
    <comment ref="R2" authorId="6" shapeId="0" xr:uid="{31360B5B-EC66-45AE-8E01-A3235FE057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 USD</t>
      </text>
    </comment>
    <comment ref="AC2" authorId="7" shapeId="0" xr:uid="{4450D2B2-8BF7-4BE6-A9FD-8EABE61FB1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if use for analysis, 0 otherwise</t>
      </text>
    </comment>
    <comment ref="M8" authorId="8" shapeId="0" xr:uid="{2D8BEB3C-3AE3-4AF4-B83D-B9E9ABCB90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Don't have data for this but creating a separate row in case we get data on this brand (This brand name used by the Company)</t>
      </text>
    </comment>
    <comment ref="M17" authorId="9" shapeId="0" xr:uid="{0FA05E2D-B2D8-41E9-A900-D388AABB36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Here the TOTAL appears to be lower than than the Sum of all the factories under Oil because the estimates from Factories were in per day production capacity (and not actual production) and we converted them in annual estimate by * it by 365, with the assumption that the Factories will be producing daily. </t>
      </text>
    </comment>
    <comment ref="M32" authorId="10" shapeId="0" xr:uid="{D866B5C6-DD45-49CD-A3A8-E9F84DB0C88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Here the TOTAL appears to be lower than than the Sum of all the factories under Wheat Flour because the estimates from Factories were in per day production capacity (and not actual production) and we converted them in annual estimate by * it by 365, with the assumption that the Factories will be producing daily. </t>
      </text>
    </comment>
    <comment ref="M34" authorId="11" shapeId="0" xr:uid="{9A4A8556-074D-4E4D-ABA3-A16AD2FA1EC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Don't have data for this but creating a separate row in case we get data on this brand (The Company produces products under this brand name)</t>
      </text>
    </comment>
    <comment ref="H54" authorId="12" shapeId="0" xr:uid="{04CFAB91-D3A5-4EDF-AA96-FA008C1040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They start production in 2023</t>
      </text>
    </comment>
    <comment ref="H55" authorId="13" shapeId="0" xr:uid="{453FC29C-ED0F-491A-9F4B-AA5436DA46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They start production in 2023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tc={76755C50-233E-4FB0-BED5-744520B00E10}</author>
    <author>tc={8C82F8CC-9E8B-4DAD-B9AE-4D2F10E0C7B9}</author>
    <author>tc={4C806B48-B279-476D-81EC-4AEB8D81C311}</author>
    <author>tc={7EDC8B0D-F831-4D11-BC92-32A34200970B}</author>
    <author>tc={0F4457EA-C2D5-4C3C-98B0-23637CE0391A}</author>
    <author>tc={BBD051E2-1A81-4C1E-9F31-5F9D5DB05679}</author>
    <author>tc={CCCCF22B-E4AB-472A-9CC9-4DD00A556D69}</author>
  </authors>
  <commentList>
    <comment ref="A2" authorId="0" shapeId="0" xr:uid="{76755C50-233E-4FB0-BED5-744520B00E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C2" authorId="1" shapeId="0" xr:uid="{8C82F8CC-9E8B-4DAD-B9AE-4D2F10E0C7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E2" authorId="2" shapeId="0" xr:uid="{4C806B48-B279-476D-81EC-4AEB8D81C31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J2" authorId="3" shapeId="0" xr:uid="{7EDC8B0D-F831-4D11-BC92-32A3420097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Unique product name, usually brand name +product description</t>
      </text>
    </comment>
    <comment ref="M2" authorId="4" shapeId="0" xr:uid="{0F4457EA-C2D5-4C3C-98B0-23637CE03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Value is in 1000T</t>
      </text>
    </comment>
    <comment ref="R2" authorId="5" shapeId="0" xr:uid="{BBD051E2-1A81-4C1E-9F31-5F9D5DB056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 USD</t>
      </text>
    </comment>
    <comment ref="AC2" authorId="6" shapeId="0" xr:uid="{CCCCF22B-E4AB-472A-9CC9-4DD00A556D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if use for analysis, 0 otherwise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tc={11407B0F-3FC7-44F5-B116-CC5641C0A131}</author>
    <author>tc={ED6B53C9-42DB-4161-B6FE-FC70D3F490F3}</author>
    <author>tc={13D8F643-4245-408D-8021-2E659E0D6094}</author>
    <author>tc={641A938D-D0EE-4D65-83A8-54D7166188DB}</author>
    <author>tc={FE5A633A-D3E1-456B-A708-49A45C7A259F}</author>
    <author>tc={502BA4A7-44DE-41B7-933A-62D956DA3496}</author>
    <author>tc={554ADA1F-569A-445F-AA26-36B8A3014512}</author>
    <author>tc={C7642CC6-B6A0-4C90-88CB-7DC291AA0E7B}</author>
    <author>tc={8CBCFEB7-AECC-4B5C-A5DB-F0DA087CE91E}</author>
    <author>tc={7D6DFAD5-0E6D-4C40-8A65-C5F0B95C61D2}</author>
  </authors>
  <commentList>
    <comment ref="A2" authorId="0" shapeId="0" xr:uid="{11407B0F-3FC7-44F5-B116-CC5641C0A13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C2" authorId="1" shapeId="0" xr:uid="{ED6B53C9-42DB-4161-B6FE-FC70D3F490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E2" authorId="2" shapeId="0" xr:uid="{13D8F643-4245-408D-8021-2E659E0D60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 ref="J2" authorId="3" shapeId="0" xr:uid="{641A938D-D0EE-4D65-83A8-54D7166188D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Unique product name, usually brand name +product description</t>
      </text>
    </comment>
    <comment ref="M2" authorId="4" shapeId="0" xr:uid="{FE5A633A-D3E1-456B-A708-49A45C7A259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Value is in 1000T</t>
      </text>
    </comment>
    <comment ref="R2" authorId="5" shapeId="0" xr:uid="{502BA4A7-44DE-41B7-933A-62D956DA349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 USD</t>
      </text>
    </comment>
    <comment ref="AC2" authorId="6" shapeId="0" xr:uid="{554ADA1F-569A-445F-AA26-36B8A301451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if use for analysis, 0 otherwise</t>
      </text>
    </comment>
    <comment ref="A3" authorId="7" shapeId="0" xr:uid="{C7642CC6-B6A0-4C90-88CB-7DC291AA0E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Hiding this since the total amount is less than the total value of exports by company name</t>
      </text>
    </comment>
    <comment ref="E20" authorId="8" shapeId="0" xr:uid="{8CBCFEB7-AECC-4B5C-A5DB-F0DA087CE9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Definition: Wheat, wheat Flour, wheat Bran, wheat Macaroni, wheat Germ, wheat Bread, wheat Bulgur, wheat Pastry, wheat Starch, wheat Gluten, Cereals breakfast, Wafers, Mixes and doughs, Food preparations, flour, malt extract </t>
      </text>
    </comment>
    <comment ref="M23" authorId="9" shapeId="0" xr:uid="{7D6DFAD5-0E6D-4C40-8A65-C5F0B95C61D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These estimates are from 2012 for all the 3 factories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tc={8481D4A5-A613-45EC-8302-FBAA13B08AD5}</author>
    <author>tc={0355AE3A-6D5A-4511-BB18-FFFE438628B5}</author>
    <author>tc={02295A5E-8B15-4198-8D88-050A5A636FEA}</author>
    <author>tc={C4037BCB-26FC-487C-BAF6-8F4A736B51EB}</author>
    <author>tc={B8A72BC4-B5C3-42F1-8BF7-796C451E7165}</author>
    <author>tc={EBB312A1-49FD-4070-ADBE-6DBB06B93F19}</author>
    <author>tc={B7FDB67F-2213-48F1-9F98-B7986A61D71C}</author>
  </authors>
  <commentList>
    <comment ref="I2" authorId="0" shapeId="0" xr:uid="{8481D4A5-A613-45EC-8302-FBAA13B08A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Unique product name, usually brand name +product description</t>
      </text>
    </comment>
    <comment ref="L2" authorId="1" shapeId="0" xr:uid="{0355AE3A-6D5A-4511-BB18-FFFE438628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Value is in 1000T</t>
      </text>
    </comment>
    <comment ref="Q2" authorId="2" shapeId="0" xr:uid="{02295A5E-8B15-4198-8D88-050A5A636F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 USD</t>
      </text>
    </comment>
    <comment ref="AB2" authorId="3" shapeId="0" xr:uid="{C4037BCB-26FC-487C-BAF6-8F4A736B51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 if use for analysis, 0 otherwise</t>
      </text>
    </comment>
    <comment ref="O3" authorId="4" shapeId="0" xr:uid="{B8A72BC4-B5C3-42F1-8BF7-796C451E716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i.e. 0  is the value from data source</t>
      </text>
    </comment>
    <comment ref="D15" authorId="5" shapeId="0" xr:uid="{EBB312A1-49FD-4070-ADBE-6DBB06B93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Wheat and products definition: Wheat, wheat Flour, wheat Bran, wheat Macaroni, wheat Germ, wheat Bread, wheat Bulgur, wheat Pastry, wheat Starch, wheat Gluten, Cereals breakfast, Wafers, Mixes and doughs, Food preparations, flour, malt extract </t>
      </text>
    </comment>
    <comment ref="D18" authorId="6" shapeId="0" xr:uid="{B7FDB67F-2213-48F1-9F98-B7986A61D7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Maize Germ, maize Flour, maize bran, maize gluten, maize starch, maize feed and meal gluten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tc={B8B41AB0-F47A-425D-A94C-D844406BE1E6}</author>
  </authors>
  <commentList>
    <comment ref="A1" authorId="0" shapeId="0" xr:uid="{B8B41AB0-F47A-425D-A94C-D844406BE1E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Mandatory</t>
      </text>
    </comment>
  </commentList>
</comments>
</file>

<file path=xl/sharedStrings.xml><?xml version="1.0" encoding="utf-8"?>
<sst xmlns="http://schemas.openxmlformats.org/spreadsheetml/2006/main" count="1481" uniqueCount="285">
  <si>
    <t xml:space="preserve">Select from list, if no specific domestic supply category then select "Total" </t>
  </si>
  <si>
    <t xml:space="preserve">Select from list, if country overall then select "Total"- (go to List to add regions/zones options) </t>
  </si>
  <si>
    <t xml:space="preserve">Mandatory select from list, if no specific domestic supply category then select "Total" </t>
  </si>
  <si>
    <t>Mandatory Input of food</t>
  </si>
  <si>
    <t>Input, if no specific food type then input "Total"</t>
  </si>
  <si>
    <t xml:space="preserve">Select from list, if  no specific category then select "Total" </t>
  </si>
  <si>
    <t>Input, if no specific company then input "Total"</t>
  </si>
  <si>
    <t>Input company country and address if available, if no specific company then input "Total"</t>
  </si>
  <si>
    <t>Input, if no specific brand product then input "Total"</t>
  </si>
  <si>
    <t>Input as per raw data or leave blank</t>
  </si>
  <si>
    <t>Input raw data source</t>
  </si>
  <si>
    <t>Input any notes to source 1</t>
  </si>
  <si>
    <t>Input any notes to source 2</t>
  </si>
  <si>
    <t>Input any notes to source 3</t>
  </si>
  <si>
    <t>Select "1" from List if data should be included</t>
  </si>
  <si>
    <t>LEGEND</t>
  </si>
  <si>
    <t>Country</t>
  </si>
  <si>
    <t>Location (Region)</t>
  </si>
  <si>
    <t>Domestic Supply Category</t>
  </si>
  <si>
    <t>Food Staple</t>
  </si>
  <si>
    <t>Food Type</t>
  </si>
  <si>
    <t>Packaged/Bulk</t>
  </si>
  <si>
    <t>Company Name</t>
  </si>
  <si>
    <t>Country of origin - Supplier address -  Manufacturer or re-packer of the brand or food type</t>
  </si>
  <si>
    <t>Brand Product</t>
  </si>
  <si>
    <t>Unit</t>
  </si>
  <si>
    <t>% of Company Total</t>
  </si>
  <si>
    <t>% of Total</t>
  </si>
  <si>
    <t>Consumption per Capita (kg/y)</t>
  </si>
  <si>
    <t>Monetary Value</t>
  </si>
  <si>
    <t>Monetary Unit</t>
  </si>
  <si>
    <t>Monetary Value of 1kt</t>
  </si>
  <si>
    <t>Price (USD)</t>
  </si>
  <si>
    <t>Avg Price in USD per L or Kg</t>
  </si>
  <si>
    <t>Source for price</t>
  </si>
  <si>
    <t>Source 1</t>
  </si>
  <si>
    <t>Notes Source 1</t>
  </si>
  <si>
    <t>Source 2</t>
  </si>
  <si>
    <t>Notes Source 2</t>
  </si>
  <si>
    <t>Source 3</t>
  </si>
  <si>
    <t>Notes Source 3</t>
  </si>
  <si>
    <t>Reference for analysis</t>
  </si>
  <si>
    <t>Mandatory</t>
  </si>
  <si>
    <t>Optionnal</t>
  </si>
  <si>
    <t>Automatic</t>
  </si>
  <si>
    <t>Zambia</t>
  </si>
  <si>
    <t>Total</t>
  </si>
  <si>
    <t>Edible Oil</t>
  </si>
  <si>
    <t>Zambia Association of Manufacturers. Upscaling Local Content in the Edible Oils Sector</t>
  </si>
  <si>
    <t>Wheat and products</t>
  </si>
  <si>
    <t>https://www.fao.org/faostat/en/#data/FBS/report</t>
  </si>
  <si>
    <t>Did not use the 2nd Source since it did not give definition of sugar</t>
  </si>
  <si>
    <t>Sugar</t>
  </si>
  <si>
    <t>https://www.foodbusinessafrica.com/country-focus-grains-and-milling-industry-in-zambia/</t>
  </si>
  <si>
    <t>Data is in 3.4 million metric tonnes</t>
  </si>
  <si>
    <t>Domestic Supply Sub-category</t>
  </si>
  <si>
    <t>South</t>
  </si>
  <si>
    <t>Local production</t>
  </si>
  <si>
    <t>MOUNT MERU MILLERS ZAMBIA LIMITED </t>
  </si>
  <si>
    <t>Production capacity was per day so it was converted to Annual Production Capacity by multiplying it by 365. Unit was MT so divided it by 1000 to convert it to 1000MT</t>
  </si>
  <si>
    <t>https://enterprisezambia.org/mount-meru-millers-zambia-limited/</t>
  </si>
  <si>
    <t>Golden Goodness</t>
  </si>
  <si>
    <t>Zamanita Ltd</t>
  </si>
  <si>
    <t>https://www.zamanita.com/</t>
  </si>
  <si>
    <t>Data is in Metric tonnes Unit (MT), so it was converted to 1000 MTonnes by dividing it by 1000. Production capacity was per day so  it was converted to Annual Production Capacity by multiplying it by 365</t>
  </si>
  <si>
    <t>Zamsoy</t>
  </si>
  <si>
    <t>Cargill Oil Crush &amp; Refinery</t>
  </si>
  <si>
    <t>https://www.cargill.com/location/zambia</t>
  </si>
  <si>
    <t>Zambeef Products</t>
  </si>
  <si>
    <t>https://www.zambeefplc.com/our-businesses/zam-oils/</t>
  </si>
  <si>
    <t>ZamGold</t>
  </si>
  <si>
    <t>Gourock Industries Limited</t>
  </si>
  <si>
    <t>https://eprints.lse.ac.uk/64095/1/Enterprise_map_Zambia.pdf</t>
  </si>
  <si>
    <t>% value is Share in the Zambian edible oils market. Data on local production is 1 MT and per day. Converted it 1000 MT annual  production by multiplying it by 365 and dividing it by 1000</t>
  </si>
  <si>
    <t>North</t>
  </si>
  <si>
    <t>Global Industry</t>
  </si>
  <si>
    <t>Used the 1st Source since the data is more recent</t>
  </si>
  <si>
    <t>Central</t>
  </si>
  <si>
    <t>Supa Oil</t>
  </si>
  <si>
    <t>Kalomo Grains</t>
  </si>
  <si>
    <t>Cottonseed Oil</t>
  </si>
  <si>
    <t>https://www.fao.org/faostat/en/#data/FBS</t>
  </si>
  <si>
    <t>Groundnut Oil</t>
  </si>
  <si>
    <t>Oilcrops, Other</t>
  </si>
  <si>
    <t>Palm Oil</t>
  </si>
  <si>
    <t xml:space="preserve">Peanut Oil </t>
  </si>
  <si>
    <t>Index Mundi</t>
  </si>
  <si>
    <t>Converted the original value (that was in T into MT by dividing it by 1.102)</t>
  </si>
  <si>
    <t>Rape and Mustard Oil</t>
  </si>
  <si>
    <t>Soyabean Oil</t>
  </si>
  <si>
    <t>https://www.indexmundi.com/agriculture/?country=zm&amp;commodity=soybean-oilseed&amp;graph=exports</t>
  </si>
  <si>
    <t xml:space="preserve"> Didn't use this since majority of the other data were from FAO Fact sheet.  </t>
  </si>
  <si>
    <t>Sunflowerseed Oil</t>
  </si>
  <si>
    <t>African milling</t>
  </si>
  <si>
    <t>https://www.aatif.lu/african-milling-company.html</t>
  </si>
  <si>
    <t>Data is in Metric tonnes Unit (MT), so it was converted to 1000 MTonnes by dividing it by 1000. Data was in Per day production capacity so converted it to annual value by multiplying it by 365.  % market share is from PPT Slide: Zambia Large-Scale Food Fortification  (LSFF) Feasibility Assessment</t>
  </si>
  <si>
    <t>Good Nature</t>
  </si>
  <si>
    <t>Royal</t>
  </si>
  <si>
    <t>Mpongwe</t>
  </si>
  <si>
    <t>African Gold</t>
  </si>
  <si>
    <t>Continental Milling</t>
  </si>
  <si>
    <t>https://superiormilling.com/about-us/</t>
  </si>
  <si>
    <t>Data is in Metric tonnes Unit (MT), so it was converted to 1000 MTonnes by dividing it by 1000. Production capacity was per day so it was converted to Annual Production Capacity by multiplying it by 365</t>
  </si>
  <si>
    <t>Superior Milling</t>
  </si>
  <si>
    <t>Nyimba Millers</t>
  </si>
  <si>
    <t>http://nyimbamillers.com/about-us/</t>
  </si>
  <si>
    <t>Crown Milling</t>
  </si>
  <si>
    <t>https://crownflourmillng.com/</t>
  </si>
  <si>
    <t>Data is in Metric tonnes Unit (MT), so it was converted to 1000 MTonnes by dividing it by 1000. Data on % share is from PPT Slide: Zambia Large-Scale Food Fortification  (LSFF) Feasibility Assessment. Used the 1st Source since the data is more recent</t>
  </si>
  <si>
    <t>Crown</t>
  </si>
  <si>
    <t>Solwezi</t>
  </si>
  <si>
    <t>Alizaman</t>
  </si>
  <si>
    <t>Baker's Inn</t>
  </si>
  <si>
    <t>Crown Homebake</t>
  </si>
  <si>
    <t>National Milling Corporation Limited (NMC)</t>
  </si>
  <si>
    <t>Data is in Metric tonnes Unit (MT), so it was converted to 1000 MTonnes by dividing it by 1000. Per day production capacity converted to per annum by multiplying it by 365</t>
  </si>
  <si>
    <r>
      <rPr>
        <u/>
        <sz val="10"/>
        <color rgb="FF0563C1"/>
        <rFont val="Arial"/>
        <family val="2"/>
      </rPr>
      <t>1) https://eprints.lse.ac.uk/64095/1/Enterprise_map_Zambia.pdf (</t>
    </r>
    <r>
      <rPr>
        <u/>
        <sz val="10"/>
        <color rgb="FF000000"/>
        <rFont val="Arial"/>
        <family val="2"/>
      </rPr>
      <t>2% of flour is sold in retail packs, with the remainder sold in bulk to bakeries and wholesalers. Market % share is from PPT Slide: Zambia Large-Scale Food Fortification  (LSFF) Feasibility Assessment</t>
    </r>
    <r>
      <rPr>
        <u/>
        <sz val="10"/>
        <color rgb="FF0563C1"/>
        <rFont val="Arial"/>
        <family val="2"/>
      </rPr>
      <t>). Source 3) https://www.nmc.co.zm/our-capacity/</t>
    </r>
  </si>
  <si>
    <t>Didn't use this since these data are older and more recent data is in Source 1</t>
  </si>
  <si>
    <t>Super breakfast</t>
  </si>
  <si>
    <t>Hoombe</t>
  </si>
  <si>
    <t>Imfuti</t>
  </si>
  <si>
    <t>Zamshu</t>
  </si>
  <si>
    <t>Hakuna Mattata</t>
  </si>
  <si>
    <t>Zambia Seed Company Limited (Zamseed)_x000D_</t>
  </si>
  <si>
    <t>Mpongwe milling/ Atheneon milling</t>
  </si>
  <si>
    <t>Data was in Per day production capacity so converted it to annual value by multiplying it by 365. Converted 1MT into 1000 MT by dividing it by 1000</t>
  </si>
  <si>
    <t xml:space="preserve">https://www.agrivisionzambia.com/business-page.html	</t>
  </si>
  <si>
    <t>Jambo milling</t>
  </si>
  <si>
    <t>Bwino Milling</t>
  </si>
  <si>
    <t>South-Central</t>
  </si>
  <si>
    <t>Pembe Zambia</t>
  </si>
  <si>
    <t>Chimanga Changa Milling</t>
  </si>
  <si>
    <t>Antelope Milling</t>
  </si>
  <si>
    <t>https://antelope.co.zm/mill/</t>
  </si>
  <si>
    <t>Data is in Metric tonnes Unit (MT), so it was converted to 1000 MTonnes by dividing it by 1000. Data was in Per day production capacity so converted it to annual value by multiplying it by 365. Multiplied by 2 since there are 2 factories with similar production capacity</t>
  </si>
  <si>
    <t>FAO. Food Outlook. BIANNUAL REPORT ON GLOBAL FOOD MARKETS. November 2022</t>
  </si>
  <si>
    <t>Zambia Sugar Plc</t>
  </si>
  <si>
    <t>Used this data since it has data on local prodcution and Export and % share</t>
  </si>
  <si>
    <t xml:space="preserve">PPT Slide: Zambia Large-Scale Food Fortification  (LSFF) Feasibility Assessment Opportunities to expand large-scale food fortification (LSFF)  in Zambia in collaboration with the food industry February 2024. </t>
  </si>
  <si>
    <t>White Crystal Sugar</t>
  </si>
  <si>
    <t xml:space="preserve">Brown Sugar-Light Muscovado </t>
  </si>
  <si>
    <t xml:space="preserve">Brown Sugar-Dark Muscovado </t>
  </si>
  <si>
    <t xml:space="preserve">Mansa Sugar </t>
  </si>
  <si>
    <t xml:space="preserve"> http://www.zambiansugar.com/our-operations/mansa-sugar-limited/
Illovo Sugar Africa website: https://www.illovosugarafrica.com/zambia/operations/mansa-sugar-limited</t>
  </si>
  <si>
    <t xml:space="preserve">Data is in 1 tonnes Unit (T), so it was converted to 1000 MTonnes by dividing it by 1000*1.102. </t>
  </si>
  <si>
    <t xml:space="preserve"> Kafue Sugar</t>
  </si>
  <si>
    <t>Value was between  20,000 and 30,000 MT per annum so that is why 30,000 MT was used. Used this data since it has data on local prodcution and % share</t>
  </si>
  <si>
    <t xml:space="preserve"> Kalungwishi Suga (aka Kasama
Sugar)</t>
  </si>
  <si>
    <t>Sweeteners</t>
  </si>
  <si>
    <t>Maize flour</t>
  </si>
  <si>
    <t>Zambia Large-Scale Food Fortification (LSFF) Feasibility Assessment Opportunities to expand large-scale food fortification (LSFF) in Zambia in collaboration with the food industry. February 2023. USAID</t>
  </si>
  <si>
    <t>Data is in Metric tonnes Unit (T), so it was converted to 1000 MTonnes by dividing it by 1000</t>
  </si>
  <si>
    <t>APG Milling - Kasama</t>
  </si>
  <si>
    <t>APG Milling – Lusaka</t>
  </si>
  <si>
    <t>APG Milling - Mansa</t>
  </si>
  <si>
    <t>APG Milling - Solwezi</t>
  </si>
  <si>
    <t>APG Milling –Choma</t>
  </si>
  <si>
    <t>APG Milling -Mongu</t>
  </si>
  <si>
    <t> </t>
  </si>
  <si>
    <t>Data is in Metric tonnes Unit (T), so it was converted to 1000 MTonnes by dividing it by 1001</t>
  </si>
  <si>
    <t xml:space="preserve">Jambo Milling </t>
  </si>
  <si>
    <t>https://www.times.co.zm/?p=82411</t>
  </si>
  <si>
    <t>Data is in 1 tonnes Unit (T), so it was converted to 1000 MTonnes by dividing it by 1000*1.102. Production capacity was per month and hence it was divided by 12 for per annual production</t>
  </si>
  <si>
    <t>Maize meal</t>
  </si>
  <si>
    <t>Mpongwe/Atheneon Milling</t>
  </si>
  <si>
    <t>https://www.agrivisionzambia.com/business-page.html</t>
  </si>
  <si>
    <t>Data is in tonnes Unit (T), so it was converted to 1000 MTonnes by dividing it by 1.102*1000</t>
  </si>
  <si>
    <t>National Milling</t>
  </si>
  <si>
    <t>Value is not actual production but INSTALLED  CAPACITY (MT PER ANNUM), Data is in Metric tonnes Unit (T), so it was converted to 1000 MTonnes by dividing it by 1000</t>
  </si>
  <si>
    <t>Nimba Millers</t>
  </si>
  <si>
    <t>Pembe Milling</t>
  </si>
  <si>
    <t>Star Milling - Lusaka</t>
  </si>
  <si>
    <t>https://www.foodbusinessafrica.com/star-milling-to-set-up-new-20-million-plant/</t>
  </si>
  <si>
    <t>Data was 6,000 of 25 kg  in a day</t>
  </si>
  <si>
    <t>Star milling - Ndola</t>
  </si>
  <si>
    <t>Data was 7,000 of 25 kg  in a day</t>
  </si>
  <si>
    <t>http://www.daily-mail.co.zm/superior-milling-double-mealie-meal-output/</t>
  </si>
  <si>
    <t>Volume Value (kt/y)</t>
  </si>
  <si>
    <t>Import</t>
  </si>
  <si>
    <t>1000 Mtonnes</t>
  </si>
  <si>
    <t>Coconut Oil</t>
  </si>
  <si>
    <t>Maize Germ Oil</t>
  </si>
  <si>
    <t>Palmkernel Oil</t>
  </si>
  <si>
    <t>Peanut oilseed</t>
  </si>
  <si>
    <t>Ricebran Oil</t>
  </si>
  <si>
    <t>Sesameseed Oil</t>
  </si>
  <si>
    <t>Didn't use this since majority of the other data were from FAO Fact sheet.</t>
  </si>
  <si>
    <t>Soyabean seed Oil</t>
  </si>
  <si>
    <t>Another Source. Didn't use this since it doesn't have overall total and hasn't given definition on the types of Sugar. 1) GIEWS - Global Information and Early Warning System on Food and Agriculture. Food Outlook.  BIANNUAL REPORT ON GLOBAL FOOD MARKETS. November 2023. https://www.fao.org/3/cc2864en/cc2864en.pdf 2) https://www.indexmundi.com/agriculture/?country=zm&amp;commodity=centrifugal-sugar&amp;graph=exports</t>
  </si>
  <si>
    <t>% of Total volume</t>
  </si>
  <si>
    <t>Export</t>
  </si>
  <si>
    <t>Zambeef Products PLC</t>
  </si>
  <si>
    <t>Zambeef Products PLC, "Annual Report 2021</t>
  </si>
  <si>
    <t>Trade Kings Group</t>
  </si>
  <si>
    <t>Zambia Development Agency, "Export Directory 2020"</t>
  </si>
  <si>
    <t xml:space="preserve">Zambeef Products PLC, "Annual Report 2021" </t>
  </si>
  <si>
    <t>Sunbird Bioenergy Zambia Limited</t>
  </si>
  <si>
    <t>Another potential sources for this variable. Didn't use these since majority of the other data were from FAO Fact sheet and the other sources only reported on wheat.  1) https://www.statista.com/outlook/cmo/food/oils-fats/edible-oils/zambia 2) https://knoema.com/atlas/Zambia/topics/Agriculture/Domestic-Supply-Food/Vegetable-oils-for-food 3) https://www.indexmundi.com/trade/exports/?country=zm</t>
  </si>
  <si>
    <t>Wheat flour</t>
  </si>
  <si>
    <t xml:space="preserve">Some 100,000 mt of sugar is exported to the DRC, Rwanda, Burundi, Zimbabwe and other neighbouring countries. Over 120,000 mt per annum is exported to the EU as raw sugar </t>
  </si>
  <si>
    <t>Value is 98842MT</t>
  </si>
  <si>
    <t>Nakambala Sugar Estates Limited</t>
  </si>
  <si>
    <t>Input, if no specific food type then leave blank</t>
  </si>
  <si>
    <t>Company Group</t>
  </si>
  <si>
    <t>Company country</t>
  </si>
  <si>
    <t>Company region</t>
  </si>
  <si>
    <t>Supplier address -  Manufacturer or re-packer of the brand or food type</t>
  </si>
  <si>
    <t>Brand_name</t>
  </si>
  <si>
    <t>Product description</t>
  </si>
  <si>
    <t xml:space="preserve"> Capacity (kMT/y) </t>
  </si>
  <si>
    <t>% capacity annual use</t>
  </si>
  <si>
    <t>raw Grain input (kMT/y)</t>
  </si>
  <si>
    <t>% extraction</t>
  </si>
  <si>
    <t xml:space="preserve">Mandatory select from list, if no specific consumption/use category then select "Total" </t>
  </si>
  <si>
    <t>Consumption/Use category</t>
  </si>
  <si>
    <t>Oilcrops Oil, Other</t>
  </si>
  <si>
    <t>Rice bran Oil</t>
  </si>
  <si>
    <t>Sesame seed Oil</t>
  </si>
  <si>
    <t>Sunflower seed Oil</t>
  </si>
  <si>
    <t>USDA. The supply and demand for sugar in Zambia. Other source= PPT Slide: Zambia Large-Scale Food Fortification  (LSFF) Feasibility Assessment</t>
  </si>
  <si>
    <t>Did not use this source since the data is from 2017 and data from Source 1 is more recent. Did not use the other PPT slide source since the unit is kcal/capita/day</t>
  </si>
  <si>
    <t>Did not use this source since the unit is kcal/capita/day</t>
  </si>
  <si>
    <t>Edible oil</t>
  </si>
  <si>
    <t>East</t>
  </si>
  <si>
    <t>West</t>
  </si>
  <si>
    <t>Waste</t>
  </si>
  <si>
    <t>North-East</t>
  </si>
  <si>
    <t>Opening Stock</t>
  </si>
  <si>
    <t>Margarine</t>
  </si>
  <si>
    <t>North-West</t>
  </si>
  <si>
    <t>Closing Stock</t>
  </si>
  <si>
    <t>Salt</t>
  </si>
  <si>
    <t>South-East</t>
  </si>
  <si>
    <t>Maize and products</t>
  </si>
  <si>
    <t>Zambia Large-Scale Food Fortification (LSFF) Feasibility Assessment Opportunities to expand large-scale food fortification (LSFF) in Zambia in collaboration with the food industry February 2023</t>
  </si>
  <si>
    <t>https://www.indexmundi.com/agriculture/?country=zm&amp;commodity=centrifugal-sugar&amp;graph=production</t>
  </si>
  <si>
    <t>https://www.indexmundi.com/agriculture/?country=zm&amp;commodity=centrifugal-sugar&amp;graph=imports</t>
  </si>
  <si>
    <t>Stock variation</t>
  </si>
  <si>
    <t>https://www.selinawamucii.com/insights/market/zambia/wheat-flour/#:~:text=In%202019%20Zambia%20shipped%2067,m%20for%20the%20year%202019.</t>
  </si>
  <si>
    <t>Used Data source 1 since it was more recent</t>
  </si>
  <si>
    <t>Data is in 1 tonnes Unit (T), so it was converted to 1000 MTonnes by dividing it by 1.102*1000</t>
  </si>
  <si>
    <t>https://www.indexmundi.com/agriculture/?country=zm&amp;commodity=centrifugal-sugar&amp;graph=ending-stocks</t>
  </si>
  <si>
    <t>https://www.indexmundi.com/agriculture/?country=zm&amp;commodity=centrifugal-sugar&amp;graph=total-supply</t>
  </si>
  <si>
    <t>https://www.indexmundi.com/agriculture/?country=zm&amp;commodity=centrifugal-sugar&amp;graph=exports</t>
  </si>
  <si>
    <t>Vegetable Oils</t>
  </si>
  <si>
    <t>Volume Value (unit/y)</t>
  </si>
  <si>
    <t>Zambia Large-Scale Food Fortification  (LSFF) Feasibility Assessment Opportunities to expand large-scale food fortification (LSFF)  in Zambia in collaboration with the food industry
February 2024</t>
  </si>
  <si>
    <t>https://www.fao.org/giews/countrybrief/country.jsp?code=ZMB&amp;lang=fr</t>
  </si>
  <si>
    <t>Zambia Large-Scale Food Fortification  (LSFF) Feasibility Assessment Opportunities to expand large-scale food fortification (LSFF)  in Zambia in collaboration with the food industry. February 2023</t>
  </si>
  <si>
    <t>Source 1 is more recent</t>
  </si>
  <si>
    <t>https://zambeefplc.com/zampalm-pioneers-zambias-first-palm-oil-plantation/#:~:text=LUSAKA%2C%20ZAMBIA%20%E2%80%93%20Zampalm%20in%20Mpika,on%20the%20market%20in%20Zambia.</t>
  </si>
  <si>
    <t>https://wits.worldbank.org/trade/comtrade/en/country/ZMB/year/2019/tradeflow/Exports/partner/ALL/product/110100#:~:text=Zambia%20exports%20of%20Wheat%20or,44.03K%20%2C%2066%2C500%20Kg).</t>
  </si>
  <si>
    <t>Data source 1 is more recent</t>
  </si>
  <si>
    <t>https://www.indexmundi.com/agriculture/?country=zm&amp;commodity=corn&amp;graph=ending-stocks</t>
  </si>
  <si>
    <t>https://www.indexmundi.com/agriculture/?country=zm&amp;commodity=corn&amp;graph=exports</t>
  </si>
  <si>
    <t>https://www.indexmundi.com/agriculture/?country=zm&amp;commodity=corn&amp;graph=production</t>
  </si>
  <si>
    <t>https://www.indexmundi.com/agriculture/?country=zm&amp;commodity=corn&amp;graph=imports</t>
  </si>
  <si>
    <t>Says that about 45% of the Zambian edible oil market but didnt use this value since it is dated Year</t>
  </si>
  <si>
    <t>https://www.indexmundi.com/agriculture/?country=zm&amp;commodity=peanut-oil&amp;graph=production</t>
  </si>
  <si>
    <t>https://www.indexmundi.com/agriculture/?country=zm&amp;commodity=wheat&amp;graph=total-supply</t>
  </si>
  <si>
    <t>https://www.indexmundi.com/agriculture/?country=zm&amp;commodity=wheat&amp;graph=ending-stocks</t>
  </si>
  <si>
    <t>Both data sources have simalr data/ value</t>
  </si>
  <si>
    <t>https://www.indexmundi.com/agriculture/?country=zm&amp;commodity=wheat&amp;graph=production</t>
  </si>
  <si>
    <t>https://www.indexmundi.com/agriculture/?country=zm&amp;commodity=wheat&amp;graph=exports</t>
  </si>
  <si>
    <t>https://www.indexmundi.com/agriculture/?country=zm&amp;commodity=wheat&amp;graph=imports</t>
  </si>
  <si>
    <t>https://www.fao.org/3/cc4668en/cc4668en.pdf#page=59</t>
  </si>
  <si>
    <t>https://www.fao.org/faostat/en/#</t>
  </si>
  <si>
    <t>Sugar and sweetner</t>
  </si>
  <si>
    <t>Sugar (raw equivalent)</t>
  </si>
  <si>
    <t>MT</t>
  </si>
  <si>
    <t>Unit quantity</t>
  </si>
  <si>
    <t xml:space="preserve">Location (Region) </t>
  </si>
  <si>
    <t>export</t>
  </si>
  <si>
    <t>sugar</t>
  </si>
  <si>
    <t>$</t>
  </si>
  <si>
    <t>Nigeria</t>
  </si>
  <si>
    <t>Population</t>
  </si>
  <si>
    <t>France</t>
  </si>
  <si>
    <t>Input as per raw data or leave blank ( =Monetary unit/kt)</t>
  </si>
  <si>
    <t>Input as per raw data or leave blank (Monetary unit/y)</t>
  </si>
  <si>
    <t>Metric ton mandatory here</t>
  </si>
  <si>
    <t>ement</t>
  </si>
  <si>
    <t>test</t>
  </si>
  <si>
    <t>test2</t>
  </si>
  <si>
    <t>test3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</si>
</sst>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
    <numFmt numFmtId="165" formatCode="0.0%"/>
    <numFmt numFmtId="166" formatCode="0.0"/>
  </numFmts>
  <fonts count="61" x14ac:knownFonts="1">
    <font>
      <sz val="11"/>
      <color theme="1"/>
      <name val="Calibri"/>
      <family val="2"/>
      <scheme val="minor"/>
    </font>
    <font>
      <sz val="8"/>
      <name val="Calibri"/>
      <family val="2"/>
      <scheme val="minor"/>
    </font>
    <font>
      <sz val="11"/>
      <color theme="1"/>
      <name val="Calibri"/>
      <family val="2"/>
      <scheme val="minor"/>
    </font>
    <font>
      <u/>
      <sz val="11"/>
      <color theme="10"/>
      <name val="Calibri"/>
      <family val="2"/>
      <scheme val="minor"/>
    </font>
    <font>
      <sz val="11"/>
      <color rgb="FF000000"/>
      <name val="Arial"/>
      <family val="2"/>
    </font>
    <font>
      <b/>
      <sz val="11"/>
      <color rgb="FF000000"/>
      <name val="Arial"/>
      <family val="2"/>
    </font>
    <font>
      <sz val="11"/>
      <color theme="1"/>
      <name val="Arial"/>
      <family val="2"/>
    </font>
    <font>
      <sz val="8"/>
      <color theme="1"/>
      <name val="Calibri"/>
      <family val="2"/>
      <scheme val="minor"/>
    </font>
    <font>
      <sz val="8"/>
      <color theme="0"/>
      <name val="Arial"/>
      <family val="2"/>
    </font>
    <font>
      <b/>
      <sz val="8"/>
      <color theme="0"/>
      <name val="Calibri Light"/>
      <family val="2"/>
      <scheme val="major"/>
    </font>
    <font>
      <sz val="11"/>
      <color rgb="FF000000"/>
      <name val="Calibri"/>
      <family val="2"/>
    </font>
    <font>
      <u/>
      <sz val="11"/>
      <color rgb="FF000000"/>
      <name val="Arial"/>
      <family val="2"/>
    </font>
    <font>
      <b/>
      <u/>
      <sz val="11"/>
      <color rgb="FF000000"/>
      <name val="Arial"/>
      <family val="2"/>
    </font>
    <font>
      <sz val="11"/>
      <color rgb="FF444444"/>
      <name val="Calibri"/>
      <family val="2"/>
      <charset val="1"/>
    </font>
    <font>
      <sz val="10"/>
      <color theme="1"/>
      <name val="Arial"/>
      <family val="2"/>
    </font>
    <font>
      <b/>
      <sz val="10"/>
      <color theme="1"/>
      <name val="Arial"/>
      <family val="2"/>
    </font>
    <font>
      <sz val="10"/>
      <color theme="0"/>
      <name val="Arial"/>
      <family val="2"/>
    </font>
    <font>
      <b/>
      <sz val="10"/>
      <color theme="0"/>
      <name val="Arial"/>
      <family val="2"/>
    </font>
    <font>
      <sz val="10"/>
      <color rgb="FF000000"/>
      <name val="Arial"/>
      <family val="2"/>
    </font>
    <font>
      <b/>
      <sz val="10"/>
      <color rgb="FF000000"/>
      <name val="Arial"/>
      <family val="2"/>
    </font>
    <font>
      <b/>
      <u/>
      <sz val="10"/>
      <color rgb="FF000000"/>
      <name val="Arial"/>
      <family val="2"/>
    </font>
    <font>
      <u/>
      <sz val="10"/>
      <color rgb="FF000000"/>
      <name val="Arial"/>
      <family val="2"/>
    </font>
    <font>
      <u/>
      <sz val="10"/>
      <color theme="10"/>
      <name val="Arial"/>
      <family val="2"/>
    </font>
    <font>
      <b/>
      <sz val="10"/>
      <color rgb="FFFF0000"/>
      <name val="Arial"/>
      <family val="2"/>
    </font>
    <font>
      <sz val="11"/>
      <color rgb="FFFF0000"/>
      <name val="Arial"/>
      <family val="2"/>
    </font>
    <font>
      <b/>
      <sz val="11"/>
      <color theme="1"/>
      <name val="Calibri"/>
      <family val="2"/>
      <scheme val="minor"/>
    </font>
    <font>
      <b/>
      <sz val="11"/>
      <color rgb="FFFF0000"/>
      <name val="Arial"/>
      <family val="2"/>
    </font>
    <font>
      <b/>
      <sz val="11"/>
      <color rgb="FF000000"/>
      <name val="Calibri"/>
      <family val="2"/>
      <scheme val="minor"/>
    </font>
    <font>
      <b/>
      <u/>
      <sz val="11"/>
      <color theme="10"/>
      <name val="Calibri"/>
      <family val="2"/>
      <scheme val="minor"/>
    </font>
    <font>
      <sz val="11"/>
      <name val="Calibri"/>
      <family val="2"/>
    </font>
    <font>
      <b/>
      <sz val="16"/>
      <color rgb="FF000000"/>
      <name val="Calibri"/>
      <family val="2"/>
    </font>
    <font>
      <sz val="11"/>
      <color rgb="FFFFFFFF"/>
      <name val="Arial"/>
      <family val="2"/>
    </font>
    <font>
      <sz val="11"/>
      <name val="Arial"/>
      <family val="2"/>
    </font>
    <font>
      <b/>
      <sz val="11"/>
      <color rgb="FFFF0000"/>
      <name val="Calibri"/>
      <family val="2"/>
      <scheme val="minor"/>
    </font>
    <font>
      <sz val="11"/>
      <color rgb="FF000000"/>
      <name val="Arial"/>
      <family val="2"/>
    </font>
    <font>
      <sz val="10"/>
      <color rgb="FFFF0000"/>
      <name val="Arial"/>
      <family val="2"/>
    </font>
    <font>
      <sz val="10"/>
      <color rgb="FF444444"/>
      <name val="Arial"/>
      <family val="2"/>
    </font>
    <font>
      <u/>
      <sz val="10"/>
      <name val="Arial"/>
      <family val="2"/>
    </font>
    <font>
      <sz val="10"/>
      <color rgb="FF374151"/>
      <name val="Arial"/>
      <family val="2"/>
    </font>
    <font>
      <u/>
      <sz val="10"/>
      <color rgb="FF0563C1"/>
      <name val="Arial"/>
      <family val="2"/>
    </font>
    <font>
      <b/>
      <sz val="10"/>
      <color rgb="FF444444"/>
      <name val="Arial"/>
      <family val="2"/>
    </font>
    <font>
      <sz val="11"/>
      <color rgb="FFFF0000"/>
      <name val="Calibri"/>
      <family val="2"/>
      <scheme val="minor"/>
    </font>
    <font>
      <sz val="10"/>
      <color theme="1"/>
      <name val="Arial"/>
      <family val="2"/>
    </font>
    <font>
      <b/>
      <sz val="10"/>
      <color theme="1"/>
      <name val="Arial"/>
      <family val="2"/>
    </font>
    <font>
      <sz val="10"/>
      <color theme="0"/>
      <name val="Arial"/>
      <family val="2"/>
    </font>
    <font>
      <b/>
      <sz val="10"/>
      <color theme="0"/>
      <name val="Arial"/>
      <family val="2"/>
    </font>
    <font>
      <b/>
      <sz val="10"/>
      <color rgb="FF000000"/>
      <name val="Arial"/>
      <family val="2"/>
    </font>
    <font>
      <sz val="10"/>
      <color rgb="FF000000"/>
      <name val="Arial"/>
      <family val="2"/>
    </font>
    <font>
      <u/>
      <sz val="10"/>
      <color rgb="FF000000"/>
      <name val="Arial"/>
      <family val="2"/>
    </font>
    <font>
      <u/>
      <sz val="10"/>
      <color theme="10"/>
      <name val="Arial"/>
      <family val="2"/>
    </font>
    <font>
      <sz val="10"/>
      <color rgb="FF444444"/>
      <name val="Arial"/>
      <family val="2"/>
    </font>
    <font>
      <b/>
      <sz val="11"/>
      <color rgb="FF444444"/>
      <name val="Calibri"/>
      <family val="2"/>
      <charset val="1"/>
    </font>
    <font>
      <sz val="10"/>
      <color rgb="FFFF0000"/>
      <name val="Arial"/>
      <family val="2"/>
    </font>
    <font>
      <b/>
      <sz val="11"/>
      <color rgb="FF000000"/>
      <name val="Arial"/>
      <family val="2"/>
    </font>
    <font>
      <sz val="11"/>
      <color rgb="FFFF0000"/>
      <name val="Arial"/>
      <family val="2"/>
    </font>
    <font>
      <b/>
      <sz val="11"/>
      <color rgb="FF000000"/>
      <name val="Arial"/>
      <family val="2"/>
    </font>
    <font>
      <sz val="11"/>
      <color rgb="FF000000"/>
      <name val="Arial"/>
      <family val="2"/>
    </font>
    <font>
      <sz val="11"/>
      <color theme="1"/>
      <name val="Calibri Light"/>
      <family val="2"/>
      <scheme val="major"/>
    </font>
    <font>
      <b/>
      <sz val="11"/>
      <name val="Calibri"/>
      <family val="2"/>
      <scheme val="minor"/>
    </font>
    <font>
      <sz val="11"/>
      <name val="Calibri"/>
      <family val="2"/>
      <scheme val="minor"/>
    </font>
    <font>
      <sz val="10"/>
      <name val="Arial"/>
      <family val="2"/>
    </font>
  </fonts>
  <fills count="21">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002060"/>
        <bgColor indexed="64"/>
      </patternFill>
    </fill>
    <fill>
      <patternFill patternType="solid">
        <fgColor rgb="FFFF0000"/>
        <bgColor indexed="64"/>
      </patternFill>
    </fill>
    <fill>
      <patternFill patternType="solid">
        <fgColor theme="7" tint="0.79998168889431442"/>
        <bgColor indexed="64"/>
      </patternFill>
    </fill>
    <fill>
      <patternFill patternType="solid">
        <fgColor rgb="FFFCE4D6"/>
        <bgColor indexed="64"/>
      </patternFill>
    </fill>
    <fill>
      <patternFill patternType="solid">
        <fgColor rgb="FFD9E1F2"/>
        <bgColor indexed="64"/>
      </patternFill>
    </fill>
    <fill>
      <patternFill patternType="solid">
        <fgColor rgb="FFFFEBD0"/>
        <bgColor rgb="FF000000"/>
      </patternFill>
    </fill>
    <fill>
      <patternFill patternType="solid">
        <fgColor rgb="FF92D050"/>
        <bgColor rgb="FF000000"/>
      </patternFill>
    </fill>
    <fill>
      <patternFill patternType="solid">
        <fgColor rgb="FF00B0F0"/>
        <bgColor rgb="FF000000"/>
      </patternFill>
    </fill>
    <fill>
      <patternFill patternType="solid">
        <fgColor rgb="FFFF0000"/>
        <bgColor rgb="FF000000"/>
      </patternFill>
    </fill>
    <fill>
      <patternFill patternType="solid">
        <fgColor rgb="FF002060"/>
        <bgColor rgb="FF000000"/>
      </patternFill>
    </fill>
    <fill>
      <patternFill patternType="solid">
        <fgColor rgb="FFBDD7EE"/>
        <bgColor rgb="FF000000"/>
      </patternFill>
    </fill>
    <fill>
      <patternFill patternType="solid">
        <fgColor rgb="FFDDEBF7"/>
        <bgColor rgb="FF000000"/>
      </patternFill>
    </fill>
    <fill>
      <patternFill patternType="solid">
        <fgColor rgb="FFA6A6A6"/>
        <bgColor rgb="FF000000"/>
      </patternFill>
    </fill>
    <fill>
      <patternFill patternType="solid">
        <fgColor rgb="FF203764"/>
        <bgColor indexed="64"/>
      </patternFill>
    </fill>
    <fill>
      <patternFill patternType="solid">
        <fgColor rgb="FFFFFFFF"/>
        <bgColor indexed="64"/>
      </patternFill>
    </fill>
    <fill>
      <patternFill patternType="solid">
        <fgColor rgb="FFF8CBAD"/>
        <bgColor indexed="64"/>
      </patternFill>
    </fill>
    <fill>
      <patternFill patternType="solid">
        <fgColor rgb="FFFFF2CC"/>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theme="1" tint="0.79998168889431442"/>
      </left>
      <right style="thin">
        <color theme="1" tint="0.79998168889431442"/>
      </right>
      <top style="thin">
        <color theme="1" tint="0.79998168889431442"/>
      </top>
      <bottom style="thin">
        <color theme="1" tint="0.79998168889431442"/>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6" fillId="0" borderId="0"/>
  </cellStyleXfs>
  <cellXfs count="343">
    <xf numFmtId="0" fontId="0" fillId="0" borderId="0" xfId="0"/>
    <xf numFmtId="0" fontId="0" fillId="0" borderId="0" xfId="0" applyAlignment="1">
      <alignment horizontal="center" vertical="center"/>
    </xf>
    <xf numFmtId="0" fontId="4" fillId="0" borderId="1" xfId="0" applyFont="1" applyBorder="1" applyAlignment="1">
      <alignment horizontal="center"/>
    </xf>
    <xf numFmtId="0" fontId="7"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7" fillId="0" borderId="0" xfId="0" applyFont="1" applyAlignment="1">
      <alignment horizontal="center" vertical="center"/>
    </xf>
    <xf numFmtId="0" fontId="8" fillId="5"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7" fillId="0" borderId="0" xfId="0" applyFont="1"/>
    <xf numFmtId="0" fontId="10" fillId="0" borderId="0" xfId="0" applyFont="1"/>
    <xf numFmtId="0" fontId="3" fillId="0" borderId="0" xfId="3"/>
    <xf numFmtId="0" fontId="10" fillId="0" borderId="0" xfId="0" applyFont="1" applyAlignment="1">
      <alignment horizontal="center" vertical="center"/>
    </xf>
    <xf numFmtId="0" fontId="18" fillId="0" borderId="0" xfId="0" applyFont="1" applyAlignment="1">
      <alignment horizontal="center"/>
    </xf>
    <xf numFmtId="0" fontId="18" fillId="0" borderId="0" xfId="4" applyFont="1" applyAlignment="1" applyProtection="1">
      <alignment horizontal="center" vertical="top"/>
      <protection locked="0"/>
    </xf>
    <xf numFmtId="0" fontId="18" fillId="0" borderId="0" xfId="0" applyFont="1" applyAlignment="1">
      <alignment horizontal="left"/>
    </xf>
    <xf numFmtId="0" fontId="14" fillId="3" borderId="0" xfId="0" applyFont="1" applyFill="1" applyAlignment="1">
      <alignment horizontal="center" vertical="center" wrapText="1"/>
    </xf>
    <xf numFmtId="0" fontId="14" fillId="2" borderId="0" xfId="0" applyFont="1" applyFill="1" applyAlignment="1">
      <alignment horizontal="center" vertical="center" wrapText="1"/>
    </xf>
    <xf numFmtId="0" fontId="14" fillId="2" borderId="0" xfId="0" applyFont="1" applyFill="1" applyAlignment="1">
      <alignment horizontal="left" vertical="center" wrapText="1"/>
    </xf>
    <xf numFmtId="0" fontId="14" fillId="0" borderId="0" xfId="0" applyFont="1" applyAlignment="1">
      <alignment horizontal="center" vertical="center"/>
    </xf>
    <xf numFmtId="0" fontId="16" fillId="5" borderId="0" xfId="0" applyFont="1" applyFill="1" applyAlignment="1">
      <alignment horizontal="center" vertical="center" wrapText="1"/>
    </xf>
    <xf numFmtId="0" fontId="16" fillId="4" borderId="0" xfId="0" applyFont="1" applyFill="1" applyAlignment="1">
      <alignment horizontal="center" vertical="center" wrapText="1"/>
    </xf>
    <xf numFmtId="0" fontId="17" fillId="4" borderId="0" xfId="0" applyFont="1" applyFill="1" applyAlignment="1">
      <alignment horizontal="center" vertical="center" wrapText="1"/>
    </xf>
    <xf numFmtId="0" fontId="16" fillId="4" borderId="0" xfId="0" applyFont="1" applyFill="1" applyAlignment="1">
      <alignment horizontal="left" vertical="center" wrapText="1"/>
    </xf>
    <xf numFmtId="0" fontId="14" fillId="0" borderId="0" xfId="0" applyFont="1"/>
    <xf numFmtId="0" fontId="19" fillId="0" borderId="0" xfId="0" applyFont="1" applyAlignment="1">
      <alignment horizontal="center"/>
    </xf>
    <xf numFmtId="0" fontId="21" fillId="0" borderId="0" xfId="0" applyFont="1" applyAlignment="1">
      <alignment horizontal="left"/>
    </xf>
    <xf numFmtId="0" fontId="21" fillId="0" borderId="0" xfId="0" applyFont="1" applyAlignment="1">
      <alignment horizontal="center"/>
    </xf>
    <xf numFmtId="0" fontId="21" fillId="0" borderId="0" xfId="3" applyFont="1" applyBorder="1" applyAlignment="1">
      <alignment horizontal="left"/>
    </xf>
    <xf numFmtId="0" fontId="14" fillId="0" borderId="0" xfId="0" applyFont="1" applyAlignment="1">
      <alignment horizontal="center"/>
    </xf>
    <xf numFmtId="0" fontId="18" fillId="0" borderId="0" xfId="0" applyFont="1"/>
    <xf numFmtId="0" fontId="14" fillId="0" borderId="0" xfId="0" applyFont="1" applyAlignment="1">
      <alignment horizontal="left"/>
    </xf>
    <xf numFmtId="0" fontId="15" fillId="0" borderId="0" xfId="0" applyFont="1"/>
    <xf numFmtId="0" fontId="15" fillId="0" borderId="0" xfId="0" applyFont="1" applyAlignment="1">
      <alignment horizontal="center"/>
    </xf>
    <xf numFmtId="0" fontId="19" fillId="0" borderId="0" xfId="0" applyFont="1" applyAlignment="1">
      <alignment horizontal="left"/>
    </xf>
    <xf numFmtId="0" fontId="19" fillId="0" borderId="0" xfId="0" applyFont="1" applyAlignment="1">
      <alignment horizontal="center" wrapText="1"/>
    </xf>
    <xf numFmtId="0" fontId="25" fillId="0" borderId="0" xfId="0" applyFont="1"/>
    <xf numFmtId="0" fontId="28" fillId="0" borderId="0" xfId="3" applyFont="1"/>
    <xf numFmtId="0" fontId="5" fillId="0" borderId="1" xfId="0" applyFont="1" applyBorder="1" applyAlignment="1">
      <alignment horizontal="center"/>
    </xf>
    <xf numFmtId="0" fontId="10" fillId="10" borderId="1" xfId="0" applyFont="1" applyFill="1" applyBorder="1" applyAlignment="1">
      <alignment wrapText="1"/>
    </xf>
    <xf numFmtId="0" fontId="10" fillId="10" borderId="3" xfId="0" applyFont="1" applyFill="1" applyBorder="1" applyAlignment="1">
      <alignment wrapText="1"/>
    </xf>
    <xf numFmtId="0" fontId="10" fillId="11" borderId="3" xfId="0" applyFont="1" applyFill="1" applyBorder="1" applyAlignment="1">
      <alignment wrapText="1"/>
    </xf>
    <xf numFmtId="0" fontId="10" fillId="11" borderId="3" xfId="0" applyFont="1" applyFill="1" applyBorder="1"/>
    <xf numFmtId="0" fontId="29" fillId="11" borderId="3" xfId="0" applyFont="1" applyFill="1" applyBorder="1" applyAlignment="1">
      <alignment wrapText="1"/>
    </xf>
    <xf numFmtId="0" fontId="10" fillId="0" borderId="3" xfId="0" applyFont="1" applyBorder="1" applyAlignment="1">
      <alignment wrapText="1"/>
    </xf>
    <xf numFmtId="0" fontId="31" fillId="12" borderId="6" xfId="0" applyFont="1" applyFill="1" applyBorder="1" applyAlignment="1">
      <alignment wrapText="1"/>
    </xf>
    <xf numFmtId="0" fontId="31" fillId="13" borderId="7" xfId="0" applyFont="1" applyFill="1" applyBorder="1" applyAlignment="1">
      <alignment wrapText="1"/>
    </xf>
    <xf numFmtId="0" fontId="31" fillId="12" borderId="7" xfId="0" applyFont="1" applyFill="1" applyBorder="1" applyAlignment="1">
      <alignment wrapText="1"/>
    </xf>
    <xf numFmtId="0" fontId="31" fillId="13" borderId="7" xfId="0" applyFont="1" applyFill="1" applyBorder="1"/>
    <xf numFmtId="0" fontId="32" fillId="0" borderId="7" xfId="0" applyFont="1" applyBorder="1" applyAlignment="1">
      <alignment wrapText="1"/>
    </xf>
    <xf numFmtId="0" fontId="10" fillId="14" borderId="8" xfId="0" applyFont="1" applyFill="1" applyBorder="1" applyAlignment="1">
      <alignment wrapText="1"/>
    </xf>
    <xf numFmtId="0" fontId="10" fillId="15" borderId="7" xfId="0" applyFont="1" applyFill="1" applyBorder="1" applyAlignment="1">
      <alignment wrapText="1"/>
    </xf>
    <xf numFmtId="0" fontId="10" fillId="16" borderId="7" xfId="0" applyFont="1" applyFill="1" applyBorder="1"/>
    <xf numFmtId="0" fontId="3" fillId="0" borderId="0" xfId="3" applyAlignment="1">
      <alignment horizontal="left"/>
    </xf>
    <xf numFmtId="0" fontId="18" fillId="0" borderId="0" xfId="0" applyFont="1" applyAlignment="1">
      <alignment horizontal="center" wrapText="1"/>
    </xf>
    <xf numFmtId="0" fontId="35" fillId="0" borderId="0" xfId="0" applyFont="1"/>
    <xf numFmtId="0" fontId="14" fillId="2" borderId="0" xfId="0" applyFont="1" applyFill="1" applyAlignment="1">
      <alignment vertical="center" wrapText="1"/>
    </xf>
    <xf numFmtId="0" fontId="21" fillId="0" borderId="0" xfId="3" applyFont="1" applyBorder="1" applyAlignment="1"/>
    <xf numFmtId="0" fontId="14" fillId="18" borderId="2" xfId="0" applyFont="1" applyFill="1" applyBorder="1"/>
    <xf numFmtId="10" fontId="14" fillId="18" borderId="2" xfId="0" applyNumberFormat="1" applyFont="1" applyFill="1" applyBorder="1"/>
    <xf numFmtId="0" fontId="18" fillId="0" borderId="0" xfId="0" applyFont="1" applyAlignment="1">
      <alignment horizontal="center" vertical="center"/>
    </xf>
    <xf numFmtId="0" fontId="19" fillId="0" borderId="0" xfId="0" applyFont="1" applyAlignment="1">
      <alignment horizontal="center" vertical="center"/>
    </xf>
    <xf numFmtId="9" fontId="18" fillId="18" borderId="2" xfId="0" applyNumberFormat="1" applyFont="1" applyFill="1" applyBorder="1" applyAlignment="1">
      <alignment horizontal="center" vertical="center"/>
    </xf>
    <xf numFmtId="164" fontId="18" fillId="0" borderId="0" xfId="4" applyNumberFormat="1" applyFont="1" applyAlignment="1" applyProtection="1">
      <alignment horizontal="center" vertical="center"/>
      <protection locked="0"/>
    </xf>
    <xf numFmtId="0" fontId="18" fillId="0" borderId="0" xfId="0" applyFont="1" applyAlignment="1">
      <alignment horizontal="center" vertical="center" wrapText="1"/>
    </xf>
    <xf numFmtId="164" fontId="19" fillId="0" borderId="0" xfId="4" applyNumberFormat="1" applyFont="1" applyAlignment="1" applyProtection="1">
      <alignment horizontal="center" vertical="center"/>
      <protection locked="0"/>
    </xf>
    <xf numFmtId="2" fontId="18" fillId="0" borderId="0" xfId="0" applyNumberFormat="1" applyFont="1" applyAlignment="1">
      <alignment horizontal="center" vertical="center"/>
    </xf>
    <xf numFmtId="0" fontId="18" fillId="18" borderId="2" xfId="0" applyFont="1" applyFill="1" applyBorder="1"/>
    <xf numFmtId="0" fontId="18" fillId="18" borderId="2" xfId="0" applyFont="1" applyFill="1" applyBorder="1" applyAlignment="1">
      <alignment horizontal="center"/>
    </xf>
    <xf numFmtId="0" fontId="18" fillId="18" borderId="2" xfId="0" applyFont="1" applyFill="1" applyBorder="1" applyAlignment="1">
      <alignment horizontal="center" vertical="center"/>
    </xf>
    <xf numFmtId="0" fontId="22" fillId="0" borderId="0" xfId="3" applyFont="1" applyAlignment="1">
      <alignment horizontal="left"/>
    </xf>
    <xf numFmtId="0" fontId="18" fillId="0" borderId="2" xfId="0" applyFont="1" applyBorder="1" applyAlignment="1">
      <alignment horizontal="center"/>
    </xf>
    <xf numFmtId="0" fontId="21" fillId="0" borderId="2" xfId="3" applyFont="1" applyBorder="1" applyAlignment="1"/>
    <xf numFmtId="0" fontId="22" fillId="18" borderId="2" xfId="3" applyFont="1" applyFill="1" applyBorder="1" applyAlignment="1"/>
    <xf numFmtId="0" fontId="39" fillId="18" borderId="2" xfId="0" applyFont="1" applyFill="1" applyBorder="1"/>
    <xf numFmtId="3" fontId="18" fillId="18" borderId="2" xfId="0" applyNumberFormat="1" applyFont="1" applyFill="1" applyBorder="1" applyAlignment="1">
      <alignment horizontal="center"/>
    </xf>
    <xf numFmtId="0" fontId="3" fillId="18" borderId="2" xfId="3" applyFill="1" applyBorder="1"/>
    <xf numFmtId="2" fontId="18" fillId="18" borderId="2" xfId="0" applyNumberFormat="1" applyFont="1" applyFill="1" applyBorder="1" applyAlignment="1">
      <alignment horizontal="center"/>
    </xf>
    <xf numFmtId="1" fontId="18" fillId="18" borderId="2" xfId="0" applyNumberFormat="1" applyFont="1" applyFill="1" applyBorder="1" applyAlignment="1">
      <alignment horizontal="center"/>
    </xf>
    <xf numFmtId="0" fontId="25" fillId="0" borderId="0" xfId="0" applyFont="1" applyAlignment="1">
      <alignment horizontal="center" vertical="center"/>
    </xf>
    <xf numFmtId="0" fontId="27" fillId="0" borderId="0" xfId="0" applyFont="1" applyAlignment="1">
      <alignment horizontal="center" vertical="center"/>
    </xf>
    <xf numFmtId="0" fontId="42" fillId="3" borderId="0" xfId="0" applyFont="1" applyFill="1" applyAlignment="1">
      <alignment horizontal="center" vertical="center" wrapText="1"/>
    </xf>
    <xf numFmtId="0" fontId="42" fillId="2" borderId="0" xfId="0" applyFont="1" applyFill="1" applyAlignment="1">
      <alignment horizontal="center" vertical="center" wrapText="1"/>
    </xf>
    <xf numFmtId="0" fontId="42" fillId="2" borderId="0" xfId="0" applyFont="1" applyFill="1" applyAlignment="1">
      <alignment horizontal="left" vertical="top" wrapText="1"/>
    </xf>
    <xf numFmtId="0" fontId="42" fillId="2" borderId="0" xfId="0" applyFont="1" applyFill="1" applyAlignment="1">
      <alignment vertical="center" wrapText="1"/>
    </xf>
    <xf numFmtId="0" fontId="42" fillId="0" borderId="0" xfId="0" applyFont="1" applyAlignment="1">
      <alignment horizontal="center" vertical="center"/>
    </xf>
    <xf numFmtId="0" fontId="44" fillId="5" borderId="0" xfId="0" applyFont="1" applyFill="1" applyAlignment="1">
      <alignment horizontal="center" vertical="center" wrapText="1"/>
    </xf>
    <xf numFmtId="0" fontId="44" fillId="4" borderId="0" xfId="0" applyFont="1" applyFill="1" applyAlignment="1">
      <alignment horizontal="center" vertical="center" wrapText="1"/>
    </xf>
    <xf numFmtId="0" fontId="44" fillId="5" borderId="0" xfId="0" applyFont="1" applyFill="1" applyAlignment="1">
      <alignment horizontal="left" vertical="top" wrapText="1"/>
    </xf>
    <xf numFmtId="0" fontId="45" fillId="4" borderId="0" xfId="0" applyFont="1" applyFill="1" applyAlignment="1">
      <alignment horizontal="center" vertical="center" wrapText="1"/>
    </xf>
    <xf numFmtId="0" fontId="44" fillId="4" borderId="0" xfId="0" applyFont="1" applyFill="1" applyAlignment="1">
      <alignment vertical="center" wrapText="1"/>
    </xf>
    <xf numFmtId="0" fontId="42" fillId="0" borderId="0" xfId="0" applyFont="1"/>
    <xf numFmtId="0" fontId="46" fillId="0" borderId="0" xfId="0" applyFont="1" applyAlignment="1">
      <alignment horizontal="center"/>
    </xf>
    <xf numFmtId="0" fontId="43" fillId="8" borderId="0" xfId="0" applyFont="1" applyFill="1"/>
    <xf numFmtId="0" fontId="46" fillId="8" borderId="0" xfId="0" applyFont="1" applyFill="1" applyAlignment="1">
      <alignment horizontal="center"/>
    </xf>
    <xf numFmtId="0" fontId="46" fillId="8" borderId="0" xfId="0" applyFont="1" applyFill="1" applyAlignment="1">
      <alignment horizontal="left" vertical="top"/>
    </xf>
    <xf numFmtId="0" fontId="46" fillId="8" borderId="0" xfId="4" applyFont="1" applyFill="1" applyAlignment="1" applyProtection="1">
      <alignment horizontal="center" vertical="top"/>
      <protection locked="0"/>
    </xf>
    <xf numFmtId="10" fontId="46" fillId="8" borderId="0" xfId="0" applyNumberFormat="1" applyFont="1" applyFill="1" applyAlignment="1">
      <alignment horizontal="center"/>
    </xf>
    <xf numFmtId="0" fontId="46" fillId="8" borderId="0" xfId="0" applyFont="1" applyFill="1" applyAlignment="1">
      <alignment horizontal="left"/>
    </xf>
    <xf numFmtId="0" fontId="46" fillId="0" borderId="0" xfId="0" applyFont="1"/>
    <xf numFmtId="0" fontId="47" fillId="0" borderId="0" xfId="0" applyFont="1" applyAlignment="1">
      <alignment horizontal="center"/>
    </xf>
    <xf numFmtId="0" fontId="47" fillId="0" borderId="0" xfId="0" applyFont="1" applyAlignment="1">
      <alignment horizontal="left" vertical="top"/>
    </xf>
    <xf numFmtId="0" fontId="47" fillId="0" borderId="0" xfId="4" applyFont="1" applyAlignment="1" applyProtection="1">
      <alignment horizontal="center" vertical="top"/>
      <protection locked="0"/>
    </xf>
    <xf numFmtId="165" fontId="47" fillId="6" borderId="0" xfId="2" applyNumberFormat="1" applyFont="1" applyFill="1" applyBorder="1" applyAlignment="1">
      <alignment horizontal="center"/>
    </xf>
    <xf numFmtId="0" fontId="48" fillId="0" borderId="0" xfId="0" applyFont="1" applyAlignment="1">
      <alignment horizontal="left"/>
    </xf>
    <xf numFmtId="0" fontId="47" fillId="0" borderId="0" xfId="0" applyFont="1"/>
    <xf numFmtId="0" fontId="47" fillId="0" borderId="0" xfId="0" applyFont="1" applyAlignment="1">
      <alignment horizontal="left"/>
    </xf>
    <xf numFmtId="0" fontId="48" fillId="0" borderId="0" xfId="0" applyFont="1"/>
    <xf numFmtId="0" fontId="49" fillId="0" borderId="0" xfId="3" applyFont="1" applyBorder="1" applyAlignment="1"/>
    <xf numFmtId="0" fontId="50" fillId="0" borderId="0" xfId="0" applyFont="1"/>
    <xf numFmtId="0" fontId="43" fillId="0" borderId="0" xfId="0" applyFont="1"/>
    <xf numFmtId="0" fontId="46" fillId="0" borderId="0" xfId="0" applyFont="1" applyAlignment="1">
      <alignment horizontal="center" vertical="center" wrapText="1"/>
    </xf>
    <xf numFmtId="0" fontId="46" fillId="0" borderId="0" xfId="0" applyFont="1" applyAlignment="1">
      <alignment horizontal="left" vertical="top" wrapText="1"/>
    </xf>
    <xf numFmtId="0" fontId="46" fillId="0" borderId="0" xfId="4" applyFont="1" applyAlignment="1" applyProtection="1">
      <alignment horizontal="center" vertical="top"/>
      <protection locked="0"/>
    </xf>
    <xf numFmtId="0" fontId="46" fillId="0" borderId="0" xfId="0" applyFont="1" applyAlignment="1">
      <alignment horizontal="left" vertical="top"/>
    </xf>
    <xf numFmtId="0" fontId="46" fillId="0" borderId="0" xfId="0" applyFont="1" applyAlignment="1">
      <alignment horizontal="center" vertical="center"/>
    </xf>
    <xf numFmtId="0" fontId="43" fillId="0" borderId="0" xfId="0" applyFont="1" applyAlignment="1">
      <alignment horizontal="center"/>
    </xf>
    <xf numFmtId="0" fontId="43" fillId="0" borderId="0" xfId="0" applyFont="1" applyAlignment="1">
      <alignment horizontal="left" vertical="top"/>
    </xf>
    <xf numFmtId="0" fontId="49" fillId="0" borderId="0" xfId="3" applyFont="1"/>
    <xf numFmtId="0" fontId="42" fillId="0" borderId="0" xfId="0" applyFont="1" applyAlignment="1">
      <alignment horizontal="left" vertical="top"/>
    </xf>
    <xf numFmtId="0" fontId="47" fillId="0" borderId="0" xfId="0" applyFont="1" applyAlignment="1">
      <alignment horizontal="center" vertical="center"/>
    </xf>
    <xf numFmtId="0" fontId="3" fillId="0" borderId="0" xfId="3" applyBorder="1" applyAlignment="1">
      <alignment horizontal="left"/>
    </xf>
    <xf numFmtId="9" fontId="52" fillId="18" borderId="2" xfId="0" applyNumberFormat="1" applyFont="1" applyFill="1" applyBorder="1" applyAlignment="1">
      <alignment horizontal="center" vertical="center"/>
    </xf>
    <xf numFmtId="9" fontId="52" fillId="0" borderId="2" xfId="0" applyNumberFormat="1" applyFont="1" applyBorder="1" applyAlignment="1">
      <alignment horizontal="center" vertical="center"/>
    </xf>
    <xf numFmtId="0" fontId="4" fillId="0" borderId="2" xfId="0" applyFont="1" applyBorder="1" applyAlignment="1">
      <alignment horizontal="center"/>
    </xf>
    <xf numFmtId="0" fontId="4" fillId="0" borderId="2" xfId="0" applyFont="1" applyBorder="1" applyAlignment="1">
      <alignment horizontal="left"/>
    </xf>
    <xf numFmtId="0" fontId="44" fillId="17" borderId="0" xfId="0" applyFont="1" applyFill="1" applyAlignment="1">
      <alignment horizontal="center" vertical="center" wrapText="1"/>
    </xf>
    <xf numFmtId="0" fontId="7" fillId="3"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2" borderId="2" xfId="0" applyFont="1" applyFill="1" applyBorder="1" applyAlignment="1">
      <alignment horizontal="center" vertical="center" wrapText="1"/>
    </xf>
    <xf numFmtId="0" fontId="7" fillId="0" borderId="2" xfId="0" applyFont="1" applyBorder="1" applyAlignment="1">
      <alignment horizontal="center" vertical="center"/>
    </xf>
    <xf numFmtId="0" fontId="8" fillId="5"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2" xfId="0" applyFont="1" applyFill="1" applyBorder="1" applyAlignment="1">
      <alignment horizontal="left" vertical="center" wrapText="1"/>
    </xf>
    <xf numFmtId="0" fontId="16"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7" fillId="0" borderId="2" xfId="0" applyFont="1" applyBorder="1"/>
    <xf numFmtId="0" fontId="5" fillId="0" borderId="2" xfId="0" applyFont="1" applyBorder="1" applyAlignment="1">
      <alignment horizontal="center"/>
    </xf>
    <xf numFmtId="0" fontId="25" fillId="0" borderId="2" xfId="0" applyFont="1" applyBorder="1"/>
    <xf numFmtId="0" fontId="5" fillId="0" borderId="2" xfId="0" applyFont="1" applyBorder="1" applyAlignment="1">
      <alignment horizontal="left"/>
    </xf>
    <xf numFmtId="0" fontId="5" fillId="0" borderId="2" xfId="0" applyFont="1" applyBorder="1" applyAlignment="1">
      <alignment horizontal="left" vertical="center"/>
    </xf>
    <xf numFmtId="0" fontId="5" fillId="0" borderId="2" xfId="4" applyFont="1" applyBorder="1" applyAlignment="1" applyProtection="1">
      <alignment horizontal="center" vertical="top"/>
      <protection locked="0"/>
    </xf>
    <xf numFmtId="0" fontId="51" fillId="0" borderId="2" xfId="0" applyFont="1" applyBorder="1"/>
    <xf numFmtId="0" fontId="0" fillId="0" borderId="2" xfId="0" applyBorder="1"/>
    <xf numFmtId="0" fontId="4" fillId="18" borderId="2" xfId="0" applyFont="1" applyFill="1" applyBorder="1" applyAlignment="1">
      <alignment horizontal="center"/>
    </xf>
    <xf numFmtId="0" fontId="4" fillId="0" borderId="2" xfId="4" applyFont="1" applyBorder="1" applyAlignment="1" applyProtection="1">
      <alignment horizontal="center" vertical="top"/>
      <protection locked="0"/>
    </xf>
    <xf numFmtId="1" fontId="4" fillId="0" borderId="2" xfId="0" applyNumberFormat="1" applyFont="1" applyBorder="1" applyAlignment="1">
      <alignment horizontal="center" vertical="center"/>
    </xf>
    <xf numFmtId="0" fontId="4" fillId="18" borderId="2" xfId="0" applyFont="1" applyFill="1" applyBorder="1" applyAlignment="1">
      <alignment horizontal="center" wrapText="1"/>
    </xf>
    <xf numFmtId="0" fontId="24" fillId="0" borderId="2" xfId="0" applyFont="1" applyBorder="1" applyAlignment="1">
      <alignment horizontal="left"/>
    </xf>
    <xf numFmtId="0" fontId="0" fillId="0" borderId="2" xfId="0" applyBorder="1" applyAlignment="1">
      <alignment horizontal="left" vertical="center"/>
    </xf>
    <xf numFmtId="166" fontId="4" fillId="0" borderId="2" xfId="1" applyNumberFormat="1" applyFont="1" applyFill="1" applyBorder="1" applyAlignment="1">
      <alignment horizontal="center" vertical="center"/>
    </xf>
    <xf numFmtId="9" fontId="4" fillId="0" borderId="2" xfId="2" applyFont="1" applyFill="1" applyBorder="1" applyAlignment="1">
      <alignment horizontal="center"/>
    </xf>
    <xf numFmtId="0" fontId="11" fillId="0" borderId="2" xfId="3" applyFont="1" applyFill="1" applyBorder="1" applyAlignment="1">
      <alignment horizontal="left"/>
    </xf>
    <xf numFmtId="0" fontId="0" fillId="0" borderId="2" xfId="0" applyBorder="1" applyAlignment="1">
      <alignment horizontal="left"/>
    </xf>
    <xf numFmtId="0" fontId="5" fillId="18" borderId="2" xfId="0" applyFont="1" applyFill="1" applyBorder="1" applyAlignment="1">
      <alignment horizontal="center" wrapText="1"/>
    </xf>
    <xf numFmtId="0" fontId="33" fillId="0" borderId="2" xfId="0" applyFont="1" applyBorder="1" applyAlignment="1">
      <alignment horizontal="left" vertical="center"/>
    </xf>
    <xf numFmtId="9" fontId="5" fillId="0" borderId="2" xfId="2" applyFont="1" applyFill="1" applyBorder="1" applyAlignment="1">
      <alignment horizontal="center"/>
    </xf>
    <xf numFmtId="0" fontId="12" fillId="0" borderId="2" xfId="3" applyFont="1" applyFill="1" applyBorder="1" applyAlignment="1">
      <alignment horizontal="left"/>
    </xf>
    <xf numFmtId="0" fontId="25" fillId="0" borderId="2" xfId="0" applyFont="1" applyBorder="1" applyAlignment="1">
      <alignment horizontal="left"/>
    </xf>
    <xf numFmtId="0" fontId="41" fillId="0" borderId="2" xfId="0" applyFont="1" applyBorder="1" applyAlignment="1">
      <alignment horizontal="left" vertical="center"/>
    </xf>
    <xf numFmtId="0" fontId="3" fillId="0" borderId="2" xfId="3" applyFill="1" applyBorder="1" applyAlignment="1">
      <alignment horizontal="left"/>
    </xf>
    <xf numFmtId="0" fontId="4" fillId="0" borderId="2" xfId="0" applyFont="1" applyBorder="1" applyAlignment="1">
      <alignment horizontal="center" vertical="center"/>
    </xf>
    <xf numFmtId="0" fontId="27" fillId="0" borderId="2" xfId="0" applyFont="1" applyBorder="1"/>
    <xf numFmtId="0" fontId="5" fillId="0" borderId="2" xfId="0" applyFont="1" applyBorder="1" applyAlignment="1">
      <alignment horizontal="center" vertical="center" wrapText="1"/>
    </xf>
    <xf numFmtId="0" fontId="25" fillId="0" borderId="2" xfId="0" applyFont="1" applyBorder="1" applyAlignment="1">
      <alignment horizontal="left" vertical="center"/>
    </xf>
    <xf numFmtId="0" fontId="25" fillId="0" borderId="2" xfId="0" applyFont="1" applyBorder="1" applyAlignment="1">
      <alignment horizontal="center"/>
    </xf>
    <xf numFmtId="0" fontId="28" fillId="0" borderId="2" xfId="3" applyFont="1" applyBorder="1" applyAlignment="1">
      <alignment horizontal="left"/>
    </xf>
    <xf numFmtId="0" fontId="0" fillId="0" borderId="2" xfId="0" applyBorder="1" applyAlignment="1">
      <alignment horizontal="center"/>
    </xf>
    <xf numFmtId="0" fontId="3" fillId="0" borderId="2" xfId="3" applyBorder="1" applyAlignment="1">
      <alignment horizontal="left"/>
    </xf>
    <xf numFmtId="0" fontId="34" fillId="0" borderId="2" xfId="0" applyFont="1" applyBorder="1" applyAlignment="1">
      <alignment horizontal="left"/>
    </xf>
    <xf numFmtId="0" fontId="19" fillId="0" borderId="0" xfId="0" applyFont="1" applyAlignment="1">
      <alignment wrapText="1"/>
    </xf>
    <xf numFmtId="0" fontId="14" fillId="3"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2" borderId="2" xfId="0" applyFont="1" applyFill="1" applyBorder="1" applyAlignment="1">
      <alignment horizontal="left" vertical="top" wrapText="1"/>
    </xf>
    <xf numFmtId="0" fontId="14" fillId="2" borderId="2" xfId="0" applyFont="1" applyFill="1" applyBorder="1" applyAlignment="1">
      <alignment horizontal="left" vertical="center" wrapText="1"/>
    </xf>
    <xf numFmtId="0" fontId="14" fillId="2" borderId="2" xfId="0" applyFont="1" applyFill="1" applyBorder="1" applyAlignment="1">
      <alignment vertical="center" wrapText="1"/>
    </xf>
    <xf numFmtId="0" fontId="14" fillId="0" borderId="2" xfId="0" applyFont="1" applyBorder="1" applyAlignment="1">
      <alignment horizontal="center" vertical="center"/>
    </xf>
    <xf numFmtId="0" fontId="16" fillId="5" borderId="2" xfId="0" applyFont="1" applyFill="1" applyBorder="1" applyAlignment="1">
      <alignment horizontal="center" vertical="center" wrapText="1"/>
    </xf>
    <xf numFmtId="0" fontId="16" fillId="17" borderId="2" xfId="0" applyFont="1" applyFill="1" applyBorder="1" applyAlignment="1">
      <alignment horizontal="center" vertical="center" wrapText="1"/>
    </xf>
    <xf numFmtId="0" fontId="16" fillId="4" borderId="2" xfId="0" applyFont="1" applyFill="1" applyBorder="1" applyAlignment="1">
      <alignment horizontal="left" vertical="top" wrapText="1"/>
    </xf>
    <xf numFmtId="0" fontId="16" fillId="4" borderId="2" xfId="0" applyFont="1" applyFill="1" applyBorder="1" applyAlignment="1">
      <alignment horizontal="left" vertical="center" wrapText="1"/>
    </xf>
    <xf numFmtId="0" fontId="17" fillId="4" borderId="2" xfId="0" applyFont="1" applyFill="1" applyBorder="1" applyAlignment="1">
      <alignment horizontal="center" vertical="center" wrapText="1"/>
    </xf>
    <xf numFmtId="0" fontId="16" fillId="4" borderId="2" xfId="0" applyFont="1" applyFill="1" applyBorder="1" applyAlignment="1">
      <alignment vertical="center" wrapText="1"/>
    </xf>
    <xf numFmtId="0" fontId="14" fillId="0" borderId="2" xfId="0" applyFont="1" applyBorder="1"/>
    <xf numFmtId="0" fontId="18" fillId="0" borderId="2" xfId="0" applyFont="1" applyBorder="1" applyAlignment="1">
      <alignment horizontal="center" vertical="center"/>
    </xf>
    <xf numFmtId="0" fontId="35" fillId="0" borderId="2" xfId="0" applyFont="1" applyBorder="1" applyAlignment="1">
      <alignment horizontal="center"/>
    </xf>
    <xf numFmtId="0" fontId="14" fillId="0" borderId="2" xfId="0" applyFont="1" applyBorder="1" applyAlignment="1">
      <alignment horizontal="left" vertical="top"/>
    </xf>
    <xf numFmtId="0" fontId="14" fillId="7" borderId="2" xfId="0" applyFont="1" applyFill="1" applyBorder="1" applyAlignment="1">
      <alignment horizontal="left"/>
    </xf>
    <xf numFmtId="0" fontId="18" fillId="0" borderId="2" xfId="0" applyFont="1" applyBorder="1" applyAlignment="1">
      <alignment horizontal="left"/>
    </xf>
    <xf numFmtId="0" fontId="36" fillId="0" borderId="2" xfId="0" applyFont="1" applyBorder="1"/>
    <xf numFmtId="0" fontId="37" fillId="0" borderId="2" xfId="3" applyFont="1" applyFill="1" applyBorder="1" applyAlignment="1"/>
    <xf numFmtId="9" fontId="18" fillId="7" borderId="2" xfId="0" applyNumberFormat="1" applyFont="1" applyFill="1" applyBorder="1" applyAlignment="1">
      <alignment horizontal="left"/>
    </xf>
    <xf numFmtId="0" fontId="21" fillId="0" borderId="2" xfId="0" applyFont="1" applyBorder="1" applyAlignment="1">
      <alignment horizontal="center"/>
    </xf>
    <xf numFmtId="0" fontId="21" fillId="0" borderId="2" xfId="0" applyFont="1" applyBorder="1" applyAlignment="1">
      <alignment horizontal="left"/>
    </xf>
    <xf numFmtId="0" fontId="35" fillId="0" borderId="2" xfId="0" applyFont="1" applyBorder="1"/>
    <xf numFmtId="0" fontId="22" fillId="0" borderId="2" xfId="3" applyFont="1" applyFill="1" applyBorder="1" applyAlignment="1"/>
    <xf numFmtId="0" fontId="14" fillId="0" borderId="2" xfId="0" applyFont="1" applyBorder="1" applyAlignment="1">
      <alignment horizontal="left"/>
    </xf>
    <xf numFmtId="0" fontId="13" fillId="0" borderId="2" xfId="0" applyFont="1" applyBorder="1"/>
    <xf numFmtId="0" fontId="18" fillId="0" borderId="2" xfId="0" applyFont="1" applyBorder="1" applyAlignment="1">
      <alignment horizontal="left" vertical="top"/>
    </xf>
    <xf numFmtId="9" fontId="18" fillId="9" borderId="2" xfId="0" applyNumberFormat="1" applyFont="1" applyFill="1" applyBorder="1" applyAlignment="1">
      <alignment horizontal="left"/>
    </xf>
    <xf numFmtId="9" fontId="14" fillId="0" borderId="2" xfId="0" applyNumberFormat="1" applyFont="1" applyBorder="1" applyAlignment="1">
      <alignment horizontal="center" vertical="center"/>
    </xf>
    <xf numFmtId="0" fontId="21" fillId="0" borderId="2" xfId="0" applyFont="1" applyBorder="1"/>
    <xf numFmtId="0" fontId="3" fillId="0" borderId="2" xfId="3" applyBorder="1"/>
    <xf numFmtId="0" fontId="14" fillId="0" borderId="2" xfId="0" applyFont="1" applyBorder="1" applyAlignment="1">
      <alignment horizontal="center"/>
    </xf>
    <xf numFmtId="164" fontId="18" fillId="18" borderId="2" xfId="4" applyNumberFormat="1" applyFont="1" applyFill="1" applyBorder="1" applyAlignment="1" applyProtection="1">
      <alignment horizontal="center" vertical="center"/>
      <protection locked="0"/>
    </xf>
    <xf numFmtId="165" fontId="23" fillId="20" borderId="2" xfId="2" applyNumberFormat="1" applyFont="1" applyFill="1" applyBorder="1" applyAlignment="1">
      <alignment horizontal="left"/>
    </xf>
    <xf numFmtId="0" fontId="22" fillId="0" borderId="2" xfId="3" applyFont="1" applyBorder="1" applyAlignment="1"/>
    <xf numFmtId="164" fontId="18" fillId="0" borderId="2" xfId="4" applyNumberFormat="1" applyFont="1" applyBorder="1" applyAlignment="1" applyProtection="1">
      <alignment horizontal="center" vertical="center"/>
      <protection locked="0"/>
    </xf>
    <xf numFmtId="165" fontId="18" fillId="6" borderId="2" xfId="2" applyNumberFormat="1" applyFont="1" applyFill="1" applyBorder="1" applyAlignment="1">
      <alignment horizontal="left"/>
    </xf>
    <xf numFmtId="0" fontId="18" fillId="0" borderId="2" xfId="0" applyFont="1" applyBorder="1" applyAlignment="1">
      <alignment horizontal="center" vertical="center" wrapText="1"/>
    </xf>
    <xf numFmtId="0" fontId="18" fillId="0" borderId="2" xfId="0" applyFont="1" applyBorder="1"/>
    <xf numFmtId="0" fontId="22" fillId="0" borderId="2" xfId="3" applyFont="1" applyBorder="1" applyAlignment="1">
      <alignment horizontal="center"/>
    </xf>
    <xf numFmtId="0" fontId="22" fillId="0" borderId="2" xfId="3" applyFont="1" applyBorder="1" applyAlignment="1">
      <alignment horizontal="left"/>
    </xf>
    <xf numFmtId="0" fontId="21" fillId="0" borderId="2" xfId="3" applyFont="1" applyBorder="1" applyAlignment="1">
      <alignment horizontal="left"/>
    </xf>
    <xf numFmtId="0" fontId="18" fillId="0" borderId="2" xfId="4" applyFont="1" applyBorder="1" applyAlignment="1" applyProtection="1">
      <alignment horizontal="center" vertical="top" wrapText="1"/>
      <protection locked="0"/>
    </xf>
    <xf numFmtId="0" fontId="38" fillId="0" borderId="2" xfId="0" applyFont="1" applyBorder="1" applyAlignment="1">
      <alignment horizontal="center" vertical="center"/>
    </xf>
    <xf numFmtId="0" fontId="36" fillId="0" borderId="2" xfId="0" applyFont="1" applyBorder="1" applyAlignment="1">
      <alignment wrapText="1"/>
    </xf>
    <xf numFmtId="0" fontId="46" fillId="3" borderId="2" xfId="0" applyFont="1" applyFill="1" applyBorder="1" applyAlignment="1">
      <alignment horizontal="center"/>
    </xf>
    <xf numFmtId="0" fontId="43" fillId="3" borderId="2" xfId="0" applyFont="1" applyFill="1" applyBorder="1"/>
    <xf numFmtId="0" fontId="46" fillId="3" borderId="2" xfId="4" applyFont="1" applyFill="1" applyBorder="1" applyAlignment="1" applyProtection="1">
      <alignment horizontal="center" vertical="top"/>
      <protection locked="0"/>
    </xf>
    <xf numFmtId="0" fontId="46" fillId="3" borderId="2" xfId="0" applyFont="1" applyFill="1" applyBorder="1" applyAlignment="1">
      <alignment horizontal="center" vertical="center"/>
    </xf>
    <xf numFmtId="0" fontId="19" fillId="3" borderId="2" xfId="4" applyFont="1" applyFill="1" applyBorder="1" applyAlignment="1" applyProtection="1">
      <alignment horizontal="center" vertical="center"/>
      <protection locked="0"/>
    </xf>
    <xf numFmtId="0" fontId="15" fillId="3" borderId="2" xfId="0" applyFont="1" applyFill="1" applyBorder="1"/>
    <xf numFmtId="0" fontId="15" fillId="3" borderId="2" xfId="0" applyFont="1" applyFill="1" applyBorder="1" applyAlignment="1">
      <alignment horizontal="center"/>
    </xf>
    <xf numFmtId="0" fontId="15" fillId="3" borderId="2" xfId="0" applyFont="1" applyFill="1" applyBorder="1" applyAlignment="1">
      <alignment horizontal="left" vertical="top"/>
    </xf>
    <xf numFmtId="0" fontId="19" fillId="3" borderId="2" xfId="0" applyFont="1" applyFill="1" applyBorder="1" applyAlignment="1">
      <alignment horizontal="center"/>
    </xf>
    <xf numFmtId="164" fontId="19" fillId="3" borderId="2" xfId="4" applyNumberFormat="1" applyFont="1" applyFill="1" applyBorder="1" applyAlignment="1" applyProtection="1">
      <alignment horizontal="center" vertical="center"/>
      <protection locked="0"/>
    </xf>
    <xf numFmtId="0" fontId="15" fillId="3" borderId="2" xfId="0" applyFont="1" applyFill="1" applyBorder="1" applyAlignment="1">
      <alignment horizontal="left"/>
    </xf>
    <xf numFmtId="9" fontId="15" fillId="3" borderId="2" xfId="0" applyNumberFormat="1" applyFont="1" applyFill="1" applyBorder="1" applyAlignment="1">
      <alignment horizontal="center" vertical="center"/>
    </xf>
    <xf numFmtId="0" fontId="3" fillId="3" borderId="2" xfId="3" applyFill="1" applyBorder="1"/>
    <xf numFmtId="0" fontId="36" fillId="3" borderId="2" xfId="0" applyFont="1" applyFill="1" applyBorder="1"/>
    <xf numFmtId="0" fontId="19" fillId="3" borderId="2" xfId="0" applyFont="1" applyFill="1" applyBorder="1" applyAlignment="1">
      <alignment horizontal="left"/>
    </xf>
    <xf numFmtId="0" fontId="19" fillId="3" borderId="2" xfId="0" applyFont="1" applyFill="1" applyBorder="1"/>
    <xf numFmtId="0" fontId="18" fillId="0" borderId="2" xfId="4" applyFont="1" applyBorder="1" applyAlignment="1" applyProtection="1">
      <alignment horizontal="center" vertical="top"/>
      <protection locked="0"/>
    </xf>
    <xf numFmtId="0" fontId="14" fillId="0" borderId="2" xfId="0" applyFont="1" applyBorder="1" applyAlignment="1">
      <alignment horizontal="center" wrapText="1"/>
    </xf>
    <xf numFmtId="0" fontId="18" fillId="0" borderId="2" xfId="0" applyFont="1" applyBorder="1" applyAlignment="1">
      <alignment horizontal="center" wrapText="1"/>
    </xf>
    <xf numFmtId="2" fontId="18" fillId="0" borderId="2" xfId="0" applyNumberFormat="1" applyFont="1" applyBorder="1" applyAlignment="1">
      <alignment horizontal="center" vertical="center"/>
    </xf>
    <xf numFmtId="10" fontId="18" fillId="0" borderId="2" xfId="0" applyNumberFormat="1" applyFont="1" applyBorder="1" applyAlignment="1">
      <alignment horizontal="center" vertical="center"/>
    </xf>
    <xf numFmtId="0" fontId="19" fillId="19" borderId="2" xfId="0" applyFont="1" applyFill="1" applyBorder="1" applyAlignment="1">
      <alignment horizontal="center"/>
    </xf>
    <xf numFmtId="0" fontId="19" fillId="19" borderId="2" xfId="0" applyFont="1" applyFill="1" applyBorder="1" applyAlignment="1">
      <alignment horizontal="center" vertical="center"/>
    </xf>
    <xf numFmtId="0" fontId="23" fillId="19" borderId="2" xfId="0" applyFont="1" applyFill="1" applyBorder="1" applyAlignment="1">
      <alignment horizontal="center"/>
    </xf>
    <xf numFmtId="0" fontId="19" fillId="19" borderId="2" xfId="0" applyFont="1" applyFill="1" applyBorder="1"/>
    <xf numFmtId="0" fontId="40" fillId="19" borderId="2" xfId="0" applyFont="1" applyFill="1" applyBorder="1"/>
    <xf numFmtId="3" fontId="18" fillId="0" borderId="2" xfId="0" applyNumberFormat="1" applyFont="1" applyBorder="1"/>
    <xf numFmtId="9" fontId="47" fillId="18" borderId="2" xfId="0" applyNumberFormat="1" applyFont="1" applyFill="1" applyBorder="1" applyAlignment="1">
      <alignment horizontal="center" vertical="center"/>
    </xf>
    <xf numFmtId="0" fontId="53" fillId="19" borderId="2" xfId="0" applyFont="1" applyFill="1" applyBorder="1" applyAlignment="1">
      <alignment horizontal="center"/>
    </xf>
    <xf numFmtId="0" fontId="27" fillId="19" borderId="2" xfId="0" applyFont="1" applyFill="1" applyBorder="1"/>
    <xf numFmtId="0" fontId="19" fillId="19" borderId="2" xfId="0" applyFont="1" applyFill="1" applyBorder="1" applyAlignment="1">
      <alignment horizontal="center" vertical="center" wrapText="1"/>
    </xf>
    <xf numFmtId="0" fontId="19" fillId="19" borderId="2" xfId="0" applyFont="1" applyFill="1" applyBorder="1" applyAlignment="1">
      <alignment horizontal="left" vertical="top" wrapText="1"/>
    </xf>
    <xf numFmtId="1" fontId="53" fillId="19" borderId="2" xfId="0" applyNumberFormat="1" applyFont="1" applyFill="1" applyBorder="1" applyAlignment="1">
      <alignment horizontal="center" vertical="center"/>
    </xf>
    <xf numFmtId="0" fontId="19" fillId="19" borderId="2" xfId="0" applyFont="1" applyFill="1" applyBorder="1" applyAlignment="1">
      <alignment horizontal="left" vertical="center" wrapText="1"/>
    </xf>
    <xf numFmtId="0" fontId="53" fillId="19" borderId="2" xfId="0" applyFont="1" applyFill="1" applyBorder="1" applyAlignment="1">
      <alignment horizontal="left"/>
    </xf>
    <xf numFmtId="0" fontId="15" fillId="19" borderId="2" xfId="0" applyFont="1" applyFill="1" applyBorder="1"/>
    <xf numFmtId="0" fontId="19" fillId="19" borderId="2" xfId="4" applyFont="1" applyFill="1" applyBorder="1" applyAlignment="1" applyProtection="1">
      <alignment horizontal="center" vertical="top" wrapText="1"/>
      <protection locked="0"/>
    </xf>
    <xf numFmtId="0" fontId="15" fillId="19" borderId="2" xfId="0" applyFont="1" applyFill="1" applyBorder="1" applyAlignment="1">
      <alignment horizontal="left" vertical="top"/>
    </xf>
    <xf numFmtId="9" fontId="19" fillId="19" borderId="2" xfId="0" applyNumberFormat="1" applyFont="1" applyFill="1" applyBorder="1" applyAlignment="1">
      <alignment horizontal="left"/>
    </xf>
    <xf numFmtId="10" fontId="15" fillId="19" borderId="2" xfId="0" applyNumberFormat="1" applyFont="1" applyFill="1" applyBorder="1" applyAlignment="1">
      <alignment horizontal="center" vertical="center"/>
    </xf>
    <xf numFmtId="0" fontId="20" fillId="19" borderId="2" xfId="0" applyFont="1" applyFill="1" applyBorder="1" applyAlignment="1">
      <alignment horizontal="left"/>
    </xf>
    <xf numFmtId="0" fontId="5" fillId="18" borderId="2" xfId="0" applyFont="1" applyFill="1" applyBorder="1" applyAlignment="1">
      <alignment wrapText="1"/>
    </xf>
    <xf numFmtId="0" fontId="4" fillId="18" borderId="2" xfId="0" applyFont="1" applyFill="1" applyBorder="1" applyAlignment="1">
      <alignment wrapText="1"/>
    </xf>
    <xf numFmtId="0" fontId="19" fillId="8" borderId="2" xfId="0" applyFont="1" applyFill="1" applyBorder="1" applyAlignment="1">
      <alignment horizontal="center"/>
    </xf>
    <xf numFmtId="0" fontId="15" fillId="8" borderId="2" xfId="0" applyFont="1" applyFill="1" applyBorder="1"/>
    <xf numFmtId="0" fontId="19" fillId="8" borderId="2" xfId="4" applyFont="1" applyFill="1" applyBorder="1" applyAlignment="1" applyProtection="1">
      <alignment horizontal="center" vertical="top" wrapText="1"/>
      <protection locked="0"/>
    </xf>
    <xf numFmtId="0" fontId="19" fillId="8" borderId="2" xfId="0" applyFont="1" applyFill="1" applyBorder="1" applyAlignment="1">
      <alignment horizontal="center" wrapText="1"/>
    </xf>
    <xf numFmtId="0" fontId="15" fillId="8" borderId="2" xfId="0" applyFont="1" applyFill="1" applyBorder="1" applyAlignment="1">
      <alignment horizontal="center"/>
    </xf>
    <xf numFmtId="0" fontId="15" fillId="8" borderId="2" xfId="0" applyFont="1" applyFill="1" applyBorder="1" applyAlignment="1">
      <alignment horizontal="left" vertical="top"/>
    </xf>
    <xf numFmtId="164" fontId="19" fillId="8" borderId="2" xfId="4" applyNumberFormat="1" applyFont="1" applyFill="1" applyBorder="1" applyAlignment="1" applyProtection="1">
      <alignment horizontal="center" vertical="center"/>
      <protection locked="0"/>
    </xf>
    <xf numFmtId="9" fontId="19" fillId="8" borderId="2" xfId="2" applyFont="1" applyFill="1" applyBorder="1" applyAlignment="1">
      <alignment horizontal="left"/>
    </xf>
    <xf numFmtId="9" fontId="15" fillId="8" borderId="2" xfId="0" applyNumberFormat="1" applyFont="1" applyFill="1" applyBorder="1" applyAlignment="1">
      <alignment horizontal="center" vertical="center"/>
    </xf>
    <xf numFmtId="0" fontId="3" fillId="8" borderId="2" xfId="3" applyFill="1" applyBorder="1"/>
    <xf numFmtId="0" fontId="14" fillId="8" borderId="2" xfId="0" applyFont="1" applyFill="1" applyBorder="1"/>
    <xf numFmtId="0" fontId="22" fillId="8" borderId="2" xfId="3" applyFont="1" applyFill="1" applyBorder="1" applyAlignment="1"/>
    <xf numFmtId="1" fontId="47" fillId="18" borderId="2" xfId="4" applyNumberFormat="1" applyFont="1" applyFill="1" applyBorder="1" applyAlignment="1" applyProtection="1">
      <alignment horizontal="center" vertical="center"/>
      <protection locked="0"/>
    </xf>
    <xf numFmtId="0" fontId="47" fillId="2" borderId="0" xfId="0" applyFont="1" applyFill="1" applyAlignment="1">
      <alignment horizontal="center" vertical="center" wrapText="1"/>
    </xf>
    <xf numFmtId="166" fontId="34" fillId="0" borderId="2" xfId="1" applyNumberFormat="1" applyFont="1" applyBorder="1" applyAlignment="1">
      <alignment horizontal="center" vertical="center"/>
    </xf>
    <xf numFmtId="9" fontId="34" fillId="0" borderId="2" xfId="2" applyFont="1" applyBorder="1" applyAlignment="1">
      <alignment horizontal="center"/>
    </xf>
    <xf numFmtId="166" fontId="4" fillId="0" borderId="2" xfId="4" applyNumberFormat="1" applyFont="1" applyBorder="1" applyAlignment="1" applyProtection="1">
      <alignment horizontal="center" vertical="top"/>
      <protection locked="0"/>
    </xf>
    <xf numFmtId="1" fontId="4" fillId="0" borderId="2" xfId="1" applyNumberFormat="1" applyFont="1" applyFill="1" applyBorder="1" applyAlignment="1">
      <alignment horizontal="center" vertical="center"/>
    </xf>
    <xf numFmtId="2" fontId="4" fillId="0" borderId="2" xfId="4" applyNumberFormat="1" applyFont="1" applyBorder="1" applyAlignment="1" applyProtection="1">
      <alignment horizontal="center" vertical="top"/>
      <protection locked="0"/>
    </xf>
    <xf numFmtId="0" fontId="3" fillId="19" borderId="2" xfId="3" applyFill="1" applyBorder="1"/>
    <xf numFmtId="0" fontId="54" fillId="0" borderId="2" xfId="0" applyFont="1" applyBorder="1" applyAlignment="1">
      <alignment horizontal="left"/>
    </xf>
    <xf numFmtId="0" fontId="53" fillId="0" borderId="0" xfId="0" applyFont="1" applyAlignment="1">
      <alignment horizontal="center" wrapText="1"/>
    </xf>
    <xf numFmtId="0" fontId="26" fillId="0" borderId="2" xfId="0" applyFont="1" applyBorder="1" applyAlignment="1">
      <alignment horizontal="left"/>
    </xf>
    <xf numFmtId="0" fontId="33" fillId="0" borderId="2" xfId="0" applyFont="1" applyBorder="1" applyAlignment="1">
      <alignment horizontal="left"/>
    </xf>
    <xf numFmtId="0" fontId="26" fillId="0" borderId="2" xfId="0" applyFont="1" applyBorder="1" applyAlignment="1">
      <alignment horizontal="center"/>
    </xf>
    <xf numFmtId="0" fontId="38" fillId="0" borderId="0" xfId="0" applyFont="1" applyAlignment="1">
      <alignment horizontal="left"/>
    </xf>
    <xf numFmtId="0" fontId="17" fillId="5" borderId="0" xfId="0" applyFont="1" applyFill="1" applyAlignment="1">
      <alignment horizontal="center" vertical="center" wrapText="1"/>
    </xf>
    <xf numFmtId="0" fontId="18" fillId="7" borderId="0" xfId="0" applyFont="1" applyFill="1" applyAlignment="1">
      <alignment horizontal="center"/>
    </xf>
    <xf numFmtId="0" fontId="14" fillId="7" borderId="0" xfId="0" applyFont="1" applyFill="1"/>
    <xf numFmtId="0" fontId="19" fillId="7" borderId="0" xfId="0" applyFont="1" applyFill="1" applyAlignment="1">
      <alignment horizontal="center"/>
    </xf>
    <xf numFmtId="0" fontId="19" fillId="7" borderId="0" xfId="0" applyFont="1" applyFill="1"/>
    <xf numFmtId="0" fontId="14" fillId="7" borderId="0" xfId="0" applyFont="1" applyFill="1" applyAlignment="1">
      <alignment horizontal="center"/>
    </xf>
    <xf numFmtId="0" fontId="19" fillId="7" borderId="0" xfId="4" applyFont="1" applyFill="1" applyAlignment="1" applyProtection="1">
      <alignment horizontal="center" vertical="top"/>
      <protection locked="0"/>
    </xf>
    <xf numFmtId="0" fontId="19" fillId="7" borderId="2" xfId="0" applyFont="1" applyFill="1" applyBorder="1" applyAlignment="1">
      <alignment horizontal="center"/>
    </xf>
    <xf numFmtId="165" fontId="19" fillId="7" borderId="0" xfId="2" applyNumberFormat="1" applyFont="1" applyFill="1" applyBorder="1" applyAlignment="1">
      <alignment horizontal="center"/>
    </xf>
    <xf numFmtId="0" fontId="36" fillId="7" borderId="0" xfId="0" applyFont="1" applyFill="1" applyAlignment="1">
      <alignment horizontal="left"/>
    </xf>
    <xf numFmtId="0" fontId="20" fillId="7" borderId="0" xfId="0" applyFont="1" applyFill="1" applyAlignment="1">
      <alignment horizontal="center"/>
    </xf>
    <xf numFmtId="165" fontId="18" fillId="0" borderId="0" xfId="2" applyNumberFormat="1" applyFont="1" applyFill="1" applyBorder="1" applyAlignment="1">
      <alignment horizontal="center"/>
    </xf>
    <xf numFmtId="165" fontId="18" fillId="6" borderId="0" xfId="2" applyNumberFormat="1" applyFont="1" applyFill="1" applyBorder="1" applyAlignment="1">
      <alignment horizontal="center"/>
    </xf>
    <xf numFmtId="0" fontId="19" fillId="0" borderId="0" xfId="0" applyFont="1" applyAlignment="1">
      <alignment horizontal="center" vertical="center" wrapText="1"/>
    </xf>
    <xf numFmtId="0" fontId="19" fillId="0" borderId="0" xfId="4" applyFont="1" applyAlignment="1" applyProtection="1">
      <alignment horizontal="center" vertical="top"/>
      <protection locked="0"/>
    </xf>
    <xf numFmtId="9" fontId="19" fillId="7" borderId="0" xfId="2" applyFont="1" applyFill="1" applyBorder="1" applyAlignment="1">
      <alignment horizontal="center"/>
    </xf>
    <xf numFmtId="0" fontId="20" fillId="0" borderId="0" xfId="0" applyFont="1" applyAlignment="1">
      <alignment horizontal="left"/>
    </xf>
    <xf numFmtId="0" fontId="19" fillId="0" borderId="0" xfId="0" applyFont="1"/>
    <xf numFmtId="166" fontId="18" fillId="0" borderId="2" xfId="1" applyNumberFormat="1" applyFont="1" applyBorder="1" applyAlignment="1">
      <alignment horizontal="center" vertical="center"/>
    </xf>
    <xf numFmtId="0" fontId="22" fillId="0" borderId="0" xfId="3" applyFont="1"/>
    <xf numFmtId="2" fontId="19" fillId="7" borderId="0" xfId="0" applyNumberFormat="1" applyFont="1" applyFill="1" applyAlignment="1">
      <alignment horizontal="center" vertical="center"/>
    </xf>
    <xf numFmtId="4" fontId="18" fillId="0" borderId="0" xfId="0" applyNumberFormat="1" applyFont="1" applyAlignment="1">
      <alignment horizontal="center" vertical="center"/>
    </xf>
    <xf numFmtId="0" fontId="36" fillId="0" borderId="0" xfId="0" applyFont="1" applyAlignment="1">
      <alignment horizontal="center"/>
    </xf>
    <xf numFmtId="0" fontId="34" fillId="8" borderId="2" xfId="0" applyFont="1" applyFill="1" applyBorder="1" applyAlignment="1">
      <alignment horizontal="center" wrapText="1"/>
    </xf>
    <xf numFmtId="0" fontId="46" fillId="8" borderId="0" xfId="0" applyFont="1" applyFill="1" applyAlignment="1">
      <alignment horizontal="center" vertical="center"/>
    </xf>
    <xf numFmtId="164" fontId="47" fillId="0" borderId="0" xfId="4" applyNumberFormat="1" applyFont="1" applyAlignment="1" applyProtection="1">
      <alignment horizontal="center" vertical="center"/>
      <protection locked="0"/>
    </xf>
    <xf numFmtId="0" fontId="47" fillId="0" borderId="0" xfId="0" applyFont="1" applyAlignment="1">
      <alignment horizontal="center" vertical="center" wrapText="1"/>
    </xf>
    <xf numFmtId="0" fontId="47" fillId="0" borderId="0" xfId="0" applyFont="1" applyAlignment="1">
      <alignment horizontal="left" vertical="top" wrapText="1"/>
    </xf>
    <xf numFmtId="0" fontId="48" fillId="0" borderId="0" xfId="3" applyFont="1" applyBorder="1" applyAlignment="1">
      <alignment horizontal="left"/>
    </xf>
    <xf numFmtId="0" fontId="55" fillId="0" borderId="0" xfId="0" applyFont="1" applyAlignment="1">
      <alignment horizontal="center"/>
    </xf>
    <xf numFmtId="0" fontId="56" fillId="0" borderId="0" xfId="0" applyFont="1"/>
    <xf numFmtId="0" fontId="25" fillId="18" borderId="2" xfId="0" applyFont="1" applyFill="1" applyBorder="1" applyAlignment="1">
      <alignment horizontal="center"/>
    </xf>
    <xf numFmtId="0" fontId="10" fillId="18" borderId="2" xfId="0" applyFont="1" applyFill="1" applyBorder="1" applyAlignment="1">
      <alignment horizontal="center"/>
    </xf>
    <xf numFmtId="0" fontId="7" fillId="3" borderId="2" xfId="0" applyFont="1" applyFill="1" applyBorder="1" applyAlignment="1">
      <alignment vertical="center" wrapText="1"/>
    </xf>
    <xf numFmtId="0" fontId="8" fillId="5" borderId="2" xfId="0" applyFont="1" applyFill="1" applyBorder="1" applyAlignment="1">
      <alignment vertical="center" wrapText="1"/>
    </xf>
    <xf numFmtId="0" fontId="5" fillId="18" borderId="2" xfId="0" applyFont="1" applyFill="1" applyBorder="1"/>
    <xf numFmtId="0" fontId="4" fillId="18" borderId="2" xfId="0" applyFont="1" applyFill="1" applyBorder="1"/>
    <xf numFmtId="0" fontId="5" fillId="18" borderId="2" xfId="0" applyFont="1" applyFill="1" applyBorder="1" applyAlignment="1">
      <alignment vertical="center" wrapText="1"/>
    </xf>
    <xf numFmtId="0" fontId="53" fillId="0" borderId="2" xfId="0" applyFont="1" applyBorder="1" applyAlignment="1">
      <alignment vertical="center" wrapText="1"/>
    </xf>
    <xf numFmtId="166" fontId="0" fillId="0" borderId="2" xfId="0" applyNumberFormat="1" applyBorder="1"/>
    <xf numFmtId="166" fontId="5" fillId="18" borderId="2" xfId="1" applyNumberFormat="1" applyFont="1" applyFill="1" applyBorder="1" applyAlignment="1">
      <alignment horizontal="center" vertical="center"/>
    </xf>
    <xf numFmtId="0" fontId="3" fillId="0" borderId="2" xfId="3" applyBorder="1" applyAlignment="1"/>
    <xf numFmtId="0" fontId="28" fillId="0" borderId="0" xfId="3" applyFont="1" applyFill="1"/>
    <xf numFmtId="0" fontId="5" fillId="0" borderId="1" xfId="4" applyFont="1" applyBorder="1" applyAlignment="1" applyProtection="1">
      <alignment horizontal="left" vertical="top"/>
      <protection locked="0"/>
    </xf>
    <xf numFmtId="0" fontId="57" fillId="0" borderId="9" xfId="0" applyFont="1" applyBorder="1"/>
    <xf numFmtId="0" fontId="5" fillId="0" borderId="0" xfId="4" applyFont="1" applyAlignment="1" applyProtection="1">
      <alignment horizontal="center" vertical="top"/>
      <protection locked="0"/>
    </xf>
    <xf numFmtId="0" fontId="58" fillId="0" borderId="0" xfId="0" applyFont="1"/>
    <xf numFmtId="0" fontId="59" fillId="0" borderId="0" xfId="0" applyFont="1"/>
    <xf numFmtId="0" fontId="60" fillId="0" borderId="0" xfId="0" applyFont="1"/>
    <xf numFmtId="0" fontId="29" fillId="0" borderId="0" xfId="0" applyFont="1"/>
    <xf numFmtId="0" fontId="18" fillId="0" borderId="0" xfId="0" applyFont="1" applyAlignment="1">
      <alignment horizontal="left" vertical="top"/>
    </xf>
    <xf numFmtId="0" fontId="0" fillId="0" borderId="0" xfId="0" applyProtection="1">
      <protection locked="0"/>
    </xf>
    <xf numFmtId="0" fontId="15" fillId="8" borderId="0" xfId="0" applyFont="1" applyFill="1"/>
    <xf numFmtId="0" fontId="30" fillId="0" borderId="4" xfId="0" applyFont="1" applyBorder="1" applyAlignment="1">
      <alignment wrapText="1"/>
    </xf>
    <xf numFmtId="0" fontId="30" fillId="0" borderId="5" xfId="0" applyFont="1" applyBorder="1" applyAlignment="1">
      <alignment wrapText="1"/>
    </xf>
    <xf numFmtId="0" fontId="30" fillId="0" borderId="3" xfId="0" applyFont="1" applyBorder="1" applyAlignment="1">
      <alignment wrapText="1"/>
    </xf>
  </cellXfs>
  <cellStyles count="5">
    <cellStyle name="Lien hypertexte" xfId="3" builtinId="8"/>
    <cellStyle name="Milliers" xfId="1" builtinId="3"/>
    <cellStyle name="Normal" xfId="0" builtinId="0"/>
    <cellStyle name="Normal 2" xfId="4" xr:uid="{ADC86B2F-6B11-4362-8725-7AA8D2DE85F1}"/>
    <cellStyle name="Pourcentage" xfId="2" builtinId="5"/>
  </cellStyles>
  <dxfs count="19">
    <dxf>
      <protection locked="0" hidden="0"/>
    </dxf>
    <dxf>
      <protection locked="0" hidden="0"/>
    </dxf>
    <dxf>
      <protection locked="0" hidden="0"/>
    </dxf>
    <dxf>
      <protection locked="0" hidden="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fill>
        <patternFill patternType="none">
          <fgColor indexed="64"/>
          <bgColor indexed="65"/>
        </patternFill>
      </fill>
    </dxf>
  </dxfs>
  <tableStyles count="0" defaultTableStyle="TableStyleMedium2" defaultPivotStyle="PivotStyleLight16"/>
  <colors>
    <mruColors>
      <color rgb="FFA83D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abi Gurung" id="{D4F082E9-BEFE-4397-ADD1-CA19A37D71E0}" userId="S::sgurung@gainhealth.org::1d3e8477-4a27-4f6d-a3d6-a364910c6921" providerId="AD"/>
  <person displayName="Pierre Come ROQUES" id="{728DD4B5-CFC0-4F60-8B09-B23938D83AD3}" userId="S::pierre-come.roques@jiconseil.com::3b117e8d-410d-4ab1-abd2-dcafa6c5ee7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CD3BB8-76C1-4530-BB6F-C1940BFE086F}" name="Tableau1" displayName="Tableau1" ref="A1:A1048576" totalsRowShown="0">
  <autoFilter ref="A1:A1048576" xr:uid="{F2CD3BB8-76C1-4530-BB6F-C1940BFE086F}"/>
  <tableColumns count="1">
    <tableColumn id="1" xr3:uid="{44194DA8-62AA-41D9-9D8E-FB406B3E1394}" name="Country"/>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E5D011-72F6-4A30-B0E6-288E6D663470}" name="Tableau2" displayName="Tableau2" ref="B1:B1048576" totalsRowShown="0">
  <autoFilter ref="B1:B1048576" xr:uid="{67E5D011-72F6-4A30-B0E6-288E6D663470}"/>
  <tableColumns count="1">
    <tableColumn id="1" xr3:uid="{E860A1F7-2A71-472C-A44C-CE27AC2349A3}" name="Location (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9B24E30-7818-434E-B6B0-60714CA16231}" name="Tableau8" displayName="Tableau8" ref="C1:C1048576" totalsRowShown="0" headerRowDxfId="18" dataDxfId="17">
  <autoFilter ref="C1:C1048576" xr:uid="{B9B24E30-7818-434E-B6B0-60714CA16231}"/>
  <tableColumns count="1">
    <tableColumn id="1" xr3:uid="{3E01331A-75F2-45FE-9BDD-9C04D28A9027}" name="Domestic Supply Category" dataDxfId="16"/>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B0FD517-48F5-4285-9B2D-3D9CC8B0DBFC}" name="Tableau9" displayName="Tableau9" ref="D1:D1048576" totalsRowShown="0" headerRowDxfId="15" dataDxfId="14">
  <autoFilter ref="D1:D1048576" xr:uid="{BB0FD517-48F5-4285-9B2D-3D9CC8B0DBFC}"/>
  <tableColumns count="1">
    <tableColumn id="1" xr3:uid="{C2B01E7D-E71A-486E-A98E-E9B1305612DC}" name="Consumption/Use category" dataDxfId="13"/>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8316F5-A1F6-4D93-9F5A-FE5F56AFB347}" name="Tableau10" displayName="Tableau10" ref="E1:E1048576" totalsRowShown="0" headerRowDxfId="12" dataDxfId="11">
  <autoFilter ref="E1:E1048576" xr:uid="{DF8316F5-A1F6-4D93-9F5A-FE5F56AFB347}"/>
  <tableColumns count="1">
    <tableColumn id="1" xr3:uid="{BAD893A9-8E55-4659-A93D-914EEB857138}" name="Reference for analysis" dataDxfId="10"/>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D3267E7-2DFB-4480-81E6-53E2C0AEAB07}" name="Tableau11" displayName="Tableau11" ref="F1:F1048576" totalsRowShown="0" headerRowDxfId="9" dataDxfId="8">
  <autoFilter ref="F1:F1048576" xr:uid="{DD3267E7-2DFB-4480-81E6-53E2C0AEAB07}"/>
  <tableColumns count="1">
    <tableColumn id="1" xr3:uid="{CC323694-615B-45FE-B65A-4554CF6E60C5}" name="Food Type" dataDxfId="7"/>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6211B5-4D13-40CF-847F-80226F271092}" name="Tableau12" displayName="Tableau12" ref="G1:G1048576" totalsRowShown="0" headerRowDxfId="6" dataDxfId="5">
  <autoFilter ref="G1:G1048576" xr:uid="{F96211B5-4D13-40CF-847F-80226F271092}"/>
  <tableColumns count="1">
    <tableColumn id="1" xr3:uid="{E197AF6D-E5E0-4AB5-9BF5-95CADDEAFA46}" name="Food Staple" dataDxf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EEC7BC-E8E8-4C2B-AC1B-CDAB9D6D4F61}" name="Tableau3" displayName="Tableau3" ref="A1:C1048576" totalsRowShown="0" dataDxfId="3">
  <autoFilter ref="A1:C1048576" xr:uid="{99EEC7BC-E8E8-4C2B-AC1B-CDAB9D6D4F61}"/>
  <tableColumns count="3">
    <tableColumn id="1" xr3:uid="{B3B67C11-207A-4490-96EC-E17B4CEBC5BA}" name="Country" dataDxfId="2"/>
    <tableColumn id="2" xr3:uid="{F19BD5AA-A109-42AA-AEED-D53318708180}" name="Location (Region) " dataDxfId="1"/>
    <tableColumn id="3" xr3:uid="{F4E0A453-D210-4072-9D2E-CDB9F7320D7D}" name="Population"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4-20T09:27:45.07" personId="{728DD4B5-CFC0-4F60-8B09-B23938D83AD3}" id="{FD101D68-A081-495A-85E2-AB5DFA0A32E6}">
    <text>Mandatory</text>
  </threadedComment>
  <threadedComment ref="C2" dT="2023-04-20T09:27:52.14" personId="{728DD4B5-CFC0-4F60-8B09-B23938D83AD3}" id="{43207A49-AAB9-40DB-BBDF-3B6CEDB79D68}">
    <text>Mandatory</text>
  </threadedComment>
  <threadedComment ref="D2" dT="2023-04-20T09:28:03.88" personId="{728DD4B5-CFC0-4F60-8B09-B23938D83AD3}" id="{F5A6ECB1-6A86-46EA-9A08-E18837C28C11}">
    <text>Mandatory</text>
  </threadedComment>
  <threadedComment ref="I2" dT="2023-04-20T09:01:00.64" personId="{728DD4B5-CFC0-4F60-8B09-B23938D83AD3}" id="{B5492B7A-FEB9-4072-9175-A20D748BE91B}">
    <text>Unique product name, usually brand name +product description</text>
  </threadedComment>
  <threadedComment ref="L2" dT="2023-04-24T06:25:42.98" personId="{D4F082E9-BEFE-4397-ADD1-CA19A37D71E0}" id="{9669B211-53D9-4A24-BB64-D050E519B0AF}">
    <text>Value is in 1000T</text>
  </threadedComment>
  <threadedComment ref="Q2" dT="2023-04-20T09:43:58.47" personId="{728DD4B5-CFC0-4F60-8B09-B23938D83AD3}" id="{FE8EAF22-37AC-4872-A968-653A3DC7C258}">
    <text>Ex: USD</text>
  </threadedComment>
  <threadedComment ref="AB2" dT="2023-04-20T09:32:43.49" personId="{728DD4B5-CFC0-4F60-8B09-B23938D83AD3}" id="{F45D6BF1-F496-415E-8275-13667F9B9B13}">
    <text>1 if use for analysis, 0 otherwise</text>
  </threadedComment>
  <threadedComment ref="AB2" dT="2023-05-08T11:50:47.02" personId="{D4F082E9-BEFE-4397-ADD1-CA19A37D71E0}" id="{124F81EF-FDAA-465D-8247-AD05D6B432FE}" parentId="{F45D6BF1-F496-415E-8275-13667F9B9B13}">
    <text>Keep it 0 if you want to ignore</text>
  </threadedComment>
  <threadedComment ref="C3" dT="2023-05-12T12:00:09.90" personId="{D4F082E9-BEFE-4397-ADD1-CA19A37D71E0}" id="{12BE1FFB-5958-416F-AFF8-7B598ACCB528}">
    <text>Local production + Import – Export 
Same for the Rows below</text>
  </threadedComment>
  <threadedComment ref="D8" dT="2023-04-21T05:11:59.87" personId="{D4F082E9-BEFE-4397-ADD1-CA19A37D71E0}" id="{7AA4BE73-B7C7-4ABB-A363-8A3828D4B12E}">
    <text>Definition: Wheat, wheat Flour, wheat Bran, wheat Macaroni, wheat Germ, wheat Bread, wheat Bulgur, wheat Pastry, wheat Starch, wheat Gluten, Cereals breakfast, Wafers, Mixes and doughs, Food preparations, flour, malt extract </text>
  </threadedComment>
  <threadedComment ref="D20" dT="2023-05-19T05:51:51.26" personId="{D4F082E9-BEFE-4397-ADD1-CA19A37D71E0}" id="{DEBEA8AB-ED49-4E29-8E6D-E77C605CCB34}">
    <text>Doesn't categorize into Maize flour / Maize meal. 
Out of the total value given, 1.6 million MT used for human consumption, 1 million MT bought by strategic grains reserve agency and 409,000 MT will be availed for industrial requirements, including for animal feed production.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20T09:27:45.07" personId="{728DD4B5-CFC0-4F60-8B09-B23938D83AD3}" id="{ECE0D380-2D6E-4486-B2C4-FC6ADD33A36D}">
    <text>Mandatory</text>
  </threadedComment>
  <threadedComment ref="C2" dT="2023-04-20T09:27:52.14" personId="{728DD4B5-CFC0-4F60-8B09-B23938D83AD3}" id="{FEC48331-4487-4C7C-AE90-9CDA80A9D2A0}">
    <text>Mandatory</text>
  </threadedComment>
  <threadedComment ref="D2" dT="2023-05-08T11:56:54.85" personId="{D4F082E9-BEFE-4397-ADD1-CA19A37D71E0}" id="{A3E4AF9C-0CD5-4306-B30F-3615D053BC75}">
    <text>Put it as Large Scale or Medium or Small (Based on the Capacity-production)</text>
  </threadedComment>
  <threadedComment ref="E2" dT="2023-04-20T09:28:03.88" personId="{728DD4B5-CFC0-4F60-8B09-B23938D83AD3}" id="{5555E196-9B99-4234-8BC3-22995BD2B13F}">
    <text>Mandatory</text>
  </threadedComment>
  <threadedComment ref="J2" dT="2023-04-20T09:01:00.64" personId="{728DD4B5-CFC0-4F60-8B09-B23938D83AD3}" id="{29B72825-954F-4CDC-8D89-AA7ACE2B47C5}">
    <text>Unique product name, usually brand name +product description</text>
  </threadedComment>
  <threadedComment ref="M2" dT="2023-04-24T06:25:42.98" personId="{D4F082E9-BEFE-4397-ADD1-CA19A37D71E0}" id="{D78238B5-B788-4DD0-8804-45E493B0B1CE}">
    <text>Value is in 1000T</text>
  </threadedComment>
  <threadedComment ref="R2" dT="2023-04-20T09:43:58.47" personId="{728DD4B5-CFC0-4F60-8B09-B23938D83AD3}" id="{31360B5B-EC66-45AE-8E01-A3235FE05729}">
    <text>Ex: USD</text>
  </threadedComment>
  <threadedComment ref="AC2" dT="2023-04-20T09:32:43.49" personId="{728DD4B5-CFC0-4F60-8B09-B23938D83AD3}" id="{4450D2B2-8BF7-4BE6-A9FD-8EABE61FB19A}">
    <text>1 if use for analysis, 0 otherwise</text>
  </threadedComment>
  <threadedComment ref="M8" dT="2023-05-12T13:11:34.01" personId="{D4F082E9-BEFE-4397-ADD1-CA19A37D71E0}" id="{2D8BEB3C-3AE3-4AF4-B83D-B9E9ABCB904B}">
    <text>Don't have data for this but creating a separate row in case we get data on this brand (This brand name used by the Company)</text>
  </threadedComment>
  <threadedComment ref="M17" dT="2023-05-23T05:24:30.23" personId="{D4F082E9-BEFE-4397-ADD1-CA19A37D71E0}" id="{0FA05E2D-B2D8-41E9-A900-D388AABB3600}">
    <text xml:space="preserve">Here the TOTAL appears to be lower than than the Sum of all the factories under Oil because the estimates from Factories were in per day production capacity (and not actual production) and we converted them in annual estimate by * it by 365, with the assumption that the Factories will be producing daily. </text>
  </threadedComment>
  <threadedComment ref="M32" dT="2023-05-23T05:25:30.08" personId="{D4F082E9-BEFE-4397-ADD1-CA19A37D71E0}" id="{D866B5C6-DD45-49CD-A3A8-E9F84DB0C88A}">
    <text xml:space="preserve">Here the TOTAL appears to be lower than than the Sum of all the factories under Wheat Flour because the estimates from Factories were in per day production capacity (and not actual production) and we converted them in annual estimate by * it by 365, with the assumption that the Factories will be producing daily. </text>
  </threadedComment>
  <threadedComment ref="M34" dT="2023-05-12T13:20:51.90" personId="{D4F082E9-BEFE-4397-ADD1-CA19A37D71E0}" id="{9A4A8556-074D-4E4D-ABA3-A16AD2FA1EC1}">
    <text>Don't have data for this but creating a separate row in case we get data on this brand (The Company produces products under this brand name)</text>
  </threadedComment>
  <threadedComment ref="H54" dT="2023-05-12T09:47:22.23" personId="{D4F082E9-BEFE-4397-ADD1-CA19A37D71E0}" id="{04CFAB91-D3A5-4EDF-AA96-FA008C104089}">
    <text>They start production in 2023</text>
  </threadedComment>
  <threadedComment ref="H55" dT="2023-05-12T09:47:29.34" personId="{D4F082E9-BEFE-4397-ADD1-CA19A37D71E0}" id="{453FC29C-ED0F-491A-9F4B-AA5436DA46DD}">
    <text>They start production in 2023</text>
  </threadedComment>
</ThreadedComments>
</file>

<file path=xl/threadedComments/threadedComment3.xml><?xml version="1.0" encoding="utf-8"?>
<ThreadedComments xmlns="http://schemas.microsoft.com/office/spreadsheetml/2018/threadedcomments" xmlns:x="http://schemas.openxmlformats.org/spreadsheetml/2006/main">
  <threadedComment ref="A2" dT="2023-04-20T09:27:45.07" personId="{728DD4B5-CFC0-4F60-8B09-B23938D83AD3}" id="{76755C50-233E-4FB0-BED5-744520B00E10}">
    <text>Mandatory</text>
  </threadedComment>
  <threadedComment ref="C2" dT="2023-04-20T09:27:52.14" personId="{728DD4B5-CFC0-4F60-8B09-B23938D83AD3}" id="{8C82F8CC-9E8B-4DAD-B9AE-4D2F10E0C7B9}">
    <text>Mandatory</text>
  </threadedComment>
  <threadedComment ref="E2" dT="2023-04-20T09:28:03.88" personId="{728DD4B5-CFC0-4F60-8B09-B23938D83AD3}" id="{4C806B48-B279-476D-81EC-4AEB8D81C311}">
    <text>Mandatory</text>
  </threadedComment>
  <threadedComment ref="J2" dT="2023-04-20T09:01:00.64" personId="{728DD4B5-CFC0-4F60-8B09-B23938D83AD3}" id="{7EDC8B0D-F831-4D11-BC92-32A34200970B}">
    <text>Unique product name, usually brand name +product description</text>
  </threadedComment>
  <threadedComment ref="M2" dT="2023-04-24T06:25:42.98" personId="{D4F082E9-BEFE-4397-ADD1-CA19A37D71E0}" id="{0F4457EA-C2D5-4C3C-98B0-23637CE0391A}">
    <text>Value is in 1000T</text>
  </threadedComment>
  <threadedComment ref="R2" dT="2023-04-20T09:43:58.47" personId="{728DD4B5-CFC0-4F60-8B09-B23938D83AD3}" id="{BBD051E2-1A81-4C1E-9F31-5F9D5DB05679}">
    <text>Ex: USD</text>
  </threadedComment>
  <threadedComment ref="AC2" dT="2023-04-20T09:32:43.49" personId="{728DD4B5-CFC0-4F60-8B09-B23938D83AD3}" id="{CCCCF22B-E4AB-472A-9CC9-4DD00A556D69}">
    <text>1 if use for analysis, 0 otherwise</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23-04-20T09:27:45.07" personId="{728DD4B5-CFC0-4F60-8B09-B23938D83AD3}" id="{11407B0F-3FC7-44F5-B116-CC5641C0A131}">
    <text>Mandatory</text>
  </threadedComment>
  <threadedComment ref="C2" dT="2023-04-20T09:27:52.14" personId="{728DD4B5-CFC0-4F60-8B09-B23938D83AD3}" id="{ED6B53C9-42DB-4161-B6FE-FC70D3F490F3}">
    <text>Mandatory</text>
  </threadedComment>
  <threadedComment ref="E2" dT="2023-04-20T09:28:03.88" personId="{728DD4B5-CFC0-4F60-8B09-B23938D83AD3}" id="{13D8F643-4245-408D-8021-2E659E0D6094}">
    <text>Mandatory</text>
  </threadedComment>
  <threadedComment ref="J2" dT="2023-04-20T09:01:00.64" personId="{728DD4B5-CFC0-4F60-8B09-B23938D83AD3}" id="{641A938D-D0EE-4D65-83A8-54D7166188DB}">
    <text>Unique product name, usually brand name +product description</text>
  </threadedComment>
  <threadedComment ref="M2" dT="2023-04-24T06:25:42.98" personId="{D4F082E9-BEFE-4397-ADD1-CA19A37D71E0}" id="{FE5A633A-D3E1-456B-A708-49A45C7A259F}">
    <text>Value is in 1000T</text>
  </threadedComment>
  <threadedComment ref="R2" dT="2023-04-20T09:43:58.47" personId="{728DD4B5-CFC0-4F60-8B09-B23938D83AD3}" id="{502BA4A7-44DE-41B7-933A-62D956DA3496}">
    <text>Ex: USD</text>
  </threadedComment>
  <threadedComment ref="AC2" dT="2023-04-20T09:32:43.49" personId="{728DD4B5-CFC0-4F60-8B09-B23938D83AD3}" id="{554ADA1F-569A-445F-AA26-36B8A3014512}">
    <text>1 if use for analysis, 0 otherwise</text>
  </threadedComment>
  <threadedComment ref="A3" dT="2023-04-27T10:39:08.51" personId="{D4F082E9-BEFE-4397-ADD1-CA19A37D71E0}" id="{C7642CC6-B6A0-4C90-88CB-7DC291AA0E7B}">
    <text>Hiding this since the total amount is less than the total value of exports by company name</text>
  </threadedComment>
  <threadedComment ref="E20" dT="2023-04-21T05:11:22.09" personId="{D4F082E9-BEFE-4397-ADD1-CA19A37D71E0}" id="{8CBCFEB7-AECC-4B5C-A5DB-F0DA087CE91E}">
    <text>Definition: Wheat, wheat Flour, wheat Bran, wheat Macaroni, wheat Germ, wheat Bread, wheat Bulgur, wheat Pastry, wheat Starch, wheat Gluten, Cereals breakfast, Wafers, Mixes and doughs, Food preparations, flour, malt extract </text>
  </threadedComment>
  <threadedComment ref="M23" dT="2023-05-23T10:13:54.12" personId="{D4F082E9-BEFE-4397-ADD1-CA19A37D71E0}" id="{7D6DFAD5-0E6D-4C40-8A65-C5F0B95C61D2}">
    <text xml:space="preserve">These estimates are from 2012 for all the 3 factories </text>
  </threadedComment>
</ThreadedComments>
</file>

<file path=xl/threadedComments/threadedComment5.xml><?xml version="1.0" encoding="utf-8"?>
<ThreadedComments xmlns="http://schemas.microsoft.com/office/spreadsheetml/2018/threadedcomments" xmlns:x="http://schemas.openxmlformats.org/spreadsheetml/2006/main">
  <threadedComment ref="I2" dT="2023-04-20T09:01:00.64" personId="{728DD4B5-CFC0-4F60-8B09-B23938D83AD3}" id="{8481D4A5-A613-45EC-8302-FBAA13B08AD5}">
    <text>Unique product name, usually brand name +product description</text>
  </threadedComment>
  <threadedComment ref="L2" dT="2023-04-24T06:25:42.98" personId="{D4F082E9-BEFE-4397-ADD1-CA19A37D71E0}" id="{0355AE3A-6D5A-4511-BB18-FFFE438628B5}">
    <text>Value is in 1000T</text>
  </threadedComment>
  <threadedComment ref="Q2" dT="2023-04-20T09:43:58.47" personId="{728DD4B5-CFC0-4F60-8B09-B23938D83AD3}" id="{02295A5E-8B15-4198-8D88-050A5A636FEA}">
    <text>Ex: USD</text>
  </threadedComment>
  <threadedComment ref="AB2" dT="2023-04-20T09:32:43.49" personId="{728DD4B5-CFC0-4F60-8B09-B23938D83AD3}" id="{C4037BCB-26FC-487C-BAF6-8F4A736B51EB}">
    <text>1 if use for analysis, 0 otherwise</text>
  </threadedComment>
  <threadedComment ref="O3" dT="2023-04-27T09:21:03.92" personId="{D4F082E9-BEFE-4397-ADD1-CA19A37D71E0}" id="{B8A72BC4-B5C3-42F1-8BF7-796C451E7165}">
    <text>This, i.e. 0  is the value from data source</text>
  </threadedComment>
  <threadedComment ref="D15" dT="2023-04-24T04:58:47.84" personId="{D4F082E9-BEFE-4397-ADD1-CA19A37D71E0}" id="{EBB312A1-49FD-4070-ADBE-6DBB06B93F19}">
    <text>Wheat and products definition: Wheat, wheat Flour, wheat Bran, wheat Macaroni, wheat Germ, wheat Bread, wheat Bulgur, wheat Pastry, wheat Starch, wheat Gluten, Cereals breakfast, Wafers, Mixes and doughs, Food preparations, flour, malt extract </text>
  </threadedComment>
  <threadedComment ref="D18" dT="2023-05-22T09:59:55.57" personId="{D4F082E9-BEFE-4397-ADD1-CA19A37D71E0}" id="{B7FDB67F-2213-48F1-9F98-B7986A61D71C}">
    <text>Maize Germ, maize Flour, maize bran, maize gluten, maize starch, maize feed and meal gluten </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04-20T09:27:45.07" personId="{728DD4B5-CFC0-4F60-8B09-B23938D83AD3}" id="{B8B41AB0-F47A-425D-A94C-D844406BE1E6}">
    <text>Mandatory</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indexmundi.com/agriculture/?country=zm&amp;commodity=wheat&amp;graph=production" TargetMode="External"/><Relationship Id="rId13" Type="http://schemas.openxmlformats.org/officeDocument/2006/relationships/hyperlink" Target="https://www.indexmundi.com/agriculture/?country=zm&amp;commodity=corn&amp;graph=production" TargetMode="External"/><Relationship Id="rId18" Type="http://schemas.openxmlformats.org/officeDocument/2006/relationships/hyperlink" Target="https://www.indexmundi.com/agriculture/?country=zm&amp;commodity=wheat&amp;graph=imports" TargetMode="External"/><Relationship Id="rId3" Type="http://schemas.openxmlformats.org/officeDocument/2006/relationships/hyperlink" Target="https://www.indexmundi.com/agriculture/?country=zm&amp;commodity=centrifugal-sugar&amp;graph=total-supply" TargetMode="External"/><Relationship Id="rId21" Type="http://schemas.openxmlformats.org/officeDocument/2006/relationships/comments" Target="../comments1.xml"/><Relationship Id="rId7" Type="http://schemas.openxmlformats.org/officeDocument/2006/relationships/hyperlink" Target="https://www.indexmundi.com/agriculture/?country=zm&amp;commodity=centrifugal-sugar&amp;graph=imports" TargetMode="External"/><Relationship Id="rId12" Type="http://schemas.openxmlformats.org/officeDocument/2006/relationships/hyperlink" Target="https://www.indexmundi.com/agriculture/?country=zm&amp;commodity=corn&amp;graph=exports" TargetMode="External"/><Relationship Id="rId17" Type="http://schemas.openxmlformats.org/officeDocument/2006/relationships/hyperlink" Target="https://www.indexmundi.com/agriculture/?country=zm&amp;commodity=wheat&amp;graph=exports" TargetMode="External"/><Relationship Id="rId2" Type="http://schemas.openxmlformats.org/officeDocument/2006/relationships/hyperlink" Target="https://www.foodbusinessafrica.com/country-focus-grains-and-milling-industry-in-zambia/" TargetMode="External"/><Relationship Id="rId16" Type="http://schemas.openxmlformats.org/officeDocument/2006/relationships/hyperlink" Target="https://www.indexmundi.com/agriculture/?country=zm&amp;commodity=wheat&amp;graph=ending-stocks" TargetMode="External"/><Relationship Id="rId20" Type="http://schemas.openxmlformats.org/officeDocument/2006/relationships/vmlDrawing" Target="../drawings/vmlDrawing1.vml"/><Relationship Id="rId1" Type="http://schemas.openxmlformats.org/officeDocument/2006/relationships/hyperlink" Target="https://www.fao.org/faostat/en/" TargetMode="External"/><Relationship Id="rId6" Type="http://schemas.openxmlformats.org/officeDocument/2006/relationships/hyperlink" Target="https://www.indexmundi.com/agriculture/?country=zm&amp;commodity=centrifugal-sugar&amp;graph=exports" TargetMode="External"/><Relationship Id="rId11" Type="http://schemas.openxmlformats.org/officeDocument/2006/relationships/hyperlink" Target="https://www.indexmundi.com/agriculture/?country=zm&amp;commodity=corn&amp;graph=ending-stocks" TargetMode="External"/><Relationship Id="rId5" Type="http://schemas.openxmlformats.org/officeDocument/2006/relationships/hyperlink" Target="https://www.indexmundi.com/agriculture/?country=zm&amp;commodity=centrifugal-sugar&amp;graph=production" TargetMode="External"/><Relationship Id="rId15" Type="http://schemas.openxmlformats.org/officeDocument/2006/relationships/hyperlink" Target="https://www.indexmundi.com/agriculture/?country=zm&amp;commodity=wheat&amp;graph=total-supply" TargetMode="External"/><Relationship Id="rId10" Type="http://schemas.openxmlformats.org/officeDocument/2006/relationships/hyperlink" Target="https://wits.worldbank.org/trade/comtrade/en/country/ZMB/year/2019/tradeflow/Exports/partner/ALL/product/110100" TargetMode="External"/><Relationship Id="rId19" Type="http://schemas.openxmlformats.org/officeDocument/2006/relationships/printerSettings" Target="../printerSettings/printerSettings1.bin"/><Relationship Id="rId4" Type="http://schemas.openxmlformats.org/officeDocument/2006/relationships/hyperlink" Target="https://www.indexmundi.com/agriculture/?country=zm&amp;commodity=centrifugal-sugar&amp;graph=ending-stocks" TargetMode="External"/><Relationship Id="rId9" Type="http://schemas.openxmlformats.org/officeDocument/2006/relationships/hyperlink" Target="https://www.fao.org/giews/countrybrief/country.jsp?code=ZMB&amp;lang=fr" TargetMode="External"/><Relationship Id="rId14" Type="http://schemas.openxmlformats.org/officeDocument/2006/relationships/hyperlink" Target="https://www.indexmundi.com/agriculture/?country=zm&amp;commodity=corn&amp;graph=imports" TargetMode="External"/><Relationship Id="rId22"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prints.lse.ac.uk/64095/1/Enterprise_map_Zambia.pdf" TargetMode="External"/><Relationship Id="rId18" Type="http://schemas.openxmlformats.org/officeDocument/2006/relationships/hyperlink" Target="https://www.foodbusinessafrica.com/country-focus-grains-and-milling-industry-in-zambia/" TargetMode="External"/><Relationship Id="rId26" Type="http://schemas.openxmlformats.org/officeDocument/2006/relationships/hyperlink" Target="https://www.foodbusinessafrica.com/star-milling-to-set-up-new-20-million-plant/" TargetMode="External"/><Relationship Id="rId39" Type="http://schemas.openxmlformats.org/officeDocument/2006/relationships/comments" Target="../comments2.xml"/><Relationship Id="rId21" Type="http://schemas.openxmlformats.org/officeDocument/2006/relationships/hyperlink" Target="https://www.agrivisionzambia.com/business-page.html" TargetMode="External"/><Relationship Id="rId34" Type="http://schemas.openxmlformats.org/officeDocument/2006/relationships/hyperlink" Target="https://www.indexmundi.com/agriculture/?country=zm&amp;commodity=corn&amp;graph=production" TargetMode="External"/><Relationship Id="rId7" Type="http://schemas.openxmlformats.org/officeDocument/2006/relationships/hyperlink" Target="https://superiormilling.com/about-us/" TargetMode="External"/><Relationship Id="rId12" Type="http://schemas.openxmlformats.org/officeDocument/2006/relationships/hyperlink" Target="https://eprints.lse.ac.uk/64095/1/Enterprise_map_Zambia.pdf" TargetMode="External"/><Relationship Id="rId17" Type="http://schemas.openxmlformats.org/officeDocument/2006/relationships/hyperlink" Target="https://www.fao.org/faostat/en/" TargetMode="External"/><Relationship Id="rId25" Type="http://schemas.openxmlformats.org/officeDocument/2006/relationships/hyperlink" Target="https://www.foodbusinessafrica.com/star-milling-to-set-up-new-20-million-plant/" TargetMode="External"/><Relationship Id="rId33" Type="http://schemas.openxmlformats.org/officeDocument/2006/relationships/hyperlink" Target="https://zambeefplc.com/zampalm-pioneers-zambias-first-palm-oil-plantation/" TargetMode="External"/><Relationship Id="rId38" Type="http://schemas.openxmlformats.org/officeDocument/2006/relationships/vmlDrawing" Target="../drawings/vmlDrawing2.vml"/><Relationship Id="rId2" Type="http://schemas.openxmlformats.org/officeDocument/2006/relationships/hyperlink" Target="https://www.indexmundi.com/agriculture/?country=zm&amp;commodity=soybean-oilseed&amp;graph=exports" TargetMode="External"/><Relationship Id="rId16" Type="http://schemas.openxmlformats.org/officeDocument/2006/relationships/hyperlink" Target="https://www.cargill.com/location/zambia" TargetMode="External"/><Relationship Id="rId20" Type="http://schemas.openxmlformats.org/officeDocument/2006/relationships/hyperlink" Target="https://antelope.co.zm/mill/" TargetMode="External"/><Relationship Id="rId29" Type="http://schemas.openxmlformats.org/officeDocument/2006/relationships/hyperlink" Target="https://www.times.co.zm/?p=82411" TargetMode="External"/><Relationship Id="rId1" Type="http://schemas.openxmlformats.org/officeDocument/2006/relationships/hyperlink" Target="https://www.fao.org/faostat/en/" TargetMode="External"/><Relationship Id="rId6" Type="http://schemas.openxmlformats.org/officeDocument/2006/relationships/hyperlink" Target="https://superiormilling.com/about-us/" TargetMode="External"/><Relationship Id="rId11" Type="http://schemas.openxmlformats.org/officeDocument/2006/relationships/hyperlink" Target="https://eprints.lse.ac.uk/64095/1/Enterprise_map_Zambia.pdf" TargetMode="External"/><Relationship Id="rId24" Type="http://schemas.openxmlformats.org/officeDocument/2006/relationships/hyperlink" Target="https://eprints.lse.ac.uk/64095/1/Enterprise_map_Zambia.pdf" TargetMode="External"/><Relationship Id="rId32" Type="http://schemas.openxmlformats.org/officeDocument/2006/relationships/hyperlink" Target="https://www.fao.org/giews/countrybrief/country.jsp?code=ZMB&amp;lang=fr" TargetMode="External"/><Relationship Id="rId37" Type="http://schemas.openxmlformats.org/officeDocument/2006/relationships/printerSettings" Target="../printerSettings/printerSettings2.bin"/><Relationship Id="rId40" Type="http://schemas.microsoft.com/office/2017/10/relationships/threadedComment" Target="../threadedComments/threadedComment2.xml"/><Relationship Id="rId5" Type="http://schemas.openxmlformats.org/officeDocument/2006/relationships/hyperlink" Target="https://www.zamanita.com/" TargetMode="External"/><Relationship Id="rId15" Type="http://schemas.openxmlformats.org/officeDocument/2006/relationships/hyperlink" Target="https://eprints.lse.ac.uk/64095/1/Enterprise_map_Zambia.pdf" TargetMode="External"/><Relationship Id="rId23" Type="http://schemas.openxmlformats.org/officeDocument/2006/relationships/hyperlink" Target="https://www.agrivisionzambia.com/business-page.html" TargetMode="External"/><Relationship Id="rId28" Type="http://schemas.openxmlformats.org/officeDocument/2006/relationships/hyperlink" Target="https://www.foodbusinessafrica.com/country-focus-grains-and-milling-industry-in-zambia/" TargetMode="External"/><Relationship Id="rId36" Type="http://schemas.openxmlformats.org/officeDocument/2006/relationships/hyperlink" Target="https://www.fao.org/faostat/en/" TargetMode="External"/><Relationship Id="rId10" Type="http://schemas.openxmlformats.org/officeDocument/2006/relationships/hyperlink" Target="https://crownflourmillng.com/" TargetMode="External"/><Relationship Id="rId19" Type="http://schemas.openxmlformats.org/officeDocument/2006/relationships/hyperlink" Target="https://www.foodbusinessafrica.com/country-focus-grains-and-milling-industry-in-zambia/" TargetMode="External"/><Relationship Id="rId31" Type="http://schemas.openxmlformats.org/officeDocument/2006/relationships/hyperlink" Target="https://www.indexmundi.com/agriculture/?country=zm&amp;commodity=centrifugal-sugar&amp;graph=production" TargetMode="External"/><Relationship Id="rId4" Type="http://schemas.openxmlformats.org/officeDocument/2006/relationships/hyperlink" Target="https://enterprisezambia.org/mount-meru-millers-zambia-limited/" TargetMode="External"/><Relationship Id="rId9" Type="http://schemas.openxmlformats.org/officeDocument/2006/relationships/hyperlink" Target="https://www.aatif.lu/african-milling-company.html" TargetMode="External"/><Relationship Id="rId14" Type="http://schemas.openxmlformats.org/officeDocument/2006/relationships/hyperlink" Target="https://eprints.lse.ac.uk/64095/1/Enterprise_map_Zambia.pdf" TargetMode="External"/><Relationship Id="rId22" Type="http://schemas.openxmlformats.org/officeDocument/2006/relationships/hyperlink" Target="https://www.aatif.lu/african-milling-company.html" TargetMode="External"/><Relationship Id="rId27" Type="http://schemas.openxmlformats.org/officeDocument/2006/relationships/hyperlink" Target="http://www.daily-mail.co.zm/superior-milling-double-mealie-meal-output/" TargetMode="External"/><Relationship Id="rId30" Type="http://schemas.openxmlformats.org/officeDocument/2006/relationships/hyperlink" Target="https://antelope.co.zm/mill/" TargetMode="External"/><Relationship Id="rId35" Type="http://schemas.openxmlformats.org/officeDocument/2006/relationships/hyperlink" Target="https://www.indexmundi.com/agriculture/?country=zm&amp;commodity=peanut-oil&amp;graph=production" TargetMode="External"/><Relationship Id="rId8" Type="http://schemas.openxmlformats.org/officeDocument/2006/relationships/hyperlink" Target="http://nyimbamillers.com/about-us/" TargetMode="External"/><Relationship Id="rId3" Type="http://schemas.openxmlformats.org/officeDocument/2006/relationships/hyperlink" Target="https://www.indexmundi.com/agriculture/?country=zm&amp;commodity=soybean-oilseed&amp;graph=exports"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indexmundi.com/agriculture/?country=zm&amp;commodity=centrifugal-sugar&amp;graph=imports" TargetMode="External"/><Relationship Id="rId7" Type="http://schemas.openxmlformats.org/officeDocument/2006/relationships/hyperlink" Target="https://www.indexmundi.com/agriculture/?country=zm&amp;commodity=wheat&amp;graph=exports" TargetMode="External"/><Relationship Id="rId2" Type="http://schemas.openxmlformats.org/officeDocument/2006/relationships/hyperlink" Target="https://www.fao.org/faostat/en/" TargetMode="External"/><Relationship Id="rId1" Type="http://schemas.openxmlformats.org/officeDocument/2006/relationships/hyperlink" Target="https://www.indexmundi.com/agriculture/?country=zm&amp;commodity=soybean-oilseed&amp;graph=exports" TargetMode="External"/><Relationship Id="rId6" Type="http://schemas.openxmlformats.org/officeDocument/2006/relationships/hyperlink" Target="https://www.fao.org/giews/countrybrief/country.jsp?code=ZMB&amp;lang=fr" TargetMode="External"/><Relationship Id="rId11" Type="http://schemas.microsoft.com/office/2017/10/relationships/threadedComment" Target="../threadedComments/threadedComment3.xml"/><Relationship Id="rId5" Type="http://schemas.openxmlformats.org/officeDocument/2006/relationships/hyperlink" Target="https://www.indexmundi.com/agriculture/?country=zm&amp;commodity=corn&amp;graph=imports" TargetMode="External"/><Relationship Id="rId10" Type="http://schemas.openxmlformats.org/officeDocument/2006/relationships/comments" Target="../comments3.xml"/><Relationship Id="rId4" Type="http://schemas.openxmlformats.org/officeDocument/2006/relationships/hyperlink" Target="https://www.fao.org/giews/countrybrief/country.jsp?code=ZMB&amp;lang=fr" TargetMode="External"/><Relationship Id="rId9"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www.foodbusinessafrica.com/country-focus-grains-and-milling-industry-in-zambia/" TargetMode="External"/><Relationship Id="rId7" Type="http://schemas.openxmlformats.org/officeDocument/2006/relationships/printerSettings" Target="../printerSettings/printerSettings4.bin"/><Relationship Id="rId2" Type="http://schemas.openxmlformats.org/officeDocument/2006/relationships/hyperlink" Target="https://eprints.lse.ac.uk/64095/1/Enterprise_map_Zambia.pdf" TargetMode="External"/><Relationship Id="rId1" Type="http://schemas.openxmlformats.org/officeDocument/2006/relationships/hyperlink" Target="https://www.indexmundi.com/agriculture/?country=zm&amp;commodity=centrifugal-sugar&amp;graph=exports" TargetMode="External"/><Relationship Id="rId6" Type="http://schemas.openxmlformats.org/officeDocument/2006/relationships/hyperlink" Target="https://www.indexmundi.com/agriculture/?country=zm&amp;commodity=corn&amp;graph=exports" TargetMode="External"/><Relationship Id="rId5" Type="http://schemas.openxmlformats.org/officeDocument/2006/relationships/hyperlink" Target="https://www.fao.org/3/cc4668en/cc4668en.pdf" TargetMode="External"/><Relationship Id="rId10" Type="http://schemas.microsoft.com/office/2017/10/relationships/threadedComment" Target="../threadedComments/threadedComment4.xml"/><Relationship Id="rId4" Type="http://schemas.openxmlformats.org/officeDocument/2006/relationships/hyperlink" Target="https://www.selinawamucii.com/insights/market/zambia/wheat-flour/" TargetMode="External"/><Relationship Id="rId9"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www.fao.org/faostat/en/" TargetMode="External"/><Relationship Id="rId7" Type="http://schemas.openxmlformats.org/officeDocument/2006/relationships/printerSettings" Target="../printerSettings/printerSettings5.bin"/><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6" Type="http://schemas.openxmlformats.org/officeDocument/2006/relationships/hyperlink" Target="https://www.fao.org/3/cc4668en/cc4668en.pdf" TargetMode="External"/><Relationship Id="rId5" Type="http://schemas.openxmlformats.org/officeDocument/2006/relationships/hyperlink" Target="https://www.fao.org/faostat/en/" TargetMode="External"/><Relationship Id="rId10" Type="http://schemas.microsoft.com/office/2017/10/relationships/threadedComment" Target="../threadedComments/threadedComment5.xml"/><Relationship Id="rId4" Type="http://schemas.openxmlformats.org/officeDocument/2006/relationships/hyperlink" Target="https://www.fao.org/faostat/en/" TargetMode="External"/><Relationship Id="rId9" Type="http://schemas.openxmlformats.org/officeDocument/2006/relationships/comments" Target="../comments5.xml"/></Relationships>
</file>

<file path=xl/worksheets/_rels/sheet7.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235"/>
  </sheetPr>
  <dimension ref="A1:AB66"/>
  <sheetViews>
    <sheetView workbookViewId="0">
      <pane ySplit="2" topLeftCell="A3" activePane="bottomLeft" state="frozen"/>
      <selection pane="bottomLeft" activeCell="E13" sqref="E13"/>
    </sheetView>
  </sheetViews>
  <sheetFormatPr baseColWidth="10" defaultColWidth="28.7109375" defaultRowHeight="15" customHeight="1" x14ac:dyDescent="0.25"/>
  <cols>
    <col min="1" max="1" width="9.85546875" style="144" customWidth="1"/>
    <col min="2" max="2" width="17.5703125" style="144" bestFit="1" customWidth="1"/>
    <col min="3" max="3" width="19.42578125" style="144" customWidth="1"/>
    <col min="4" max="4" width="19.28515625" style="168" customWidth="1"/>
    <col min="5" max="5" width="23.5703125" style="150" customWidth="1"/>
    <col min="6" max="6" width="14.85546875" style="144" bestFit="1" customWidth="1"/>
    <col min="7" max="7" width="37" style="144" bestFit="1" customWidth="1"/>
    <col min="8" max="8" width="26.42578125" style="144" bestFit="1" customWidth="1"/>
    <col min="9" max="9" width="14.140625" style="144" bestFit="1" customWidth="1"/>
    <col min="10" max="11" width="14.140625" style="144" customWidth="1"/>
    <col min="12" max="12" width="10.7109375" style="168" bestFit="1" customWidth="1"/>
    <col min="13" max="13" width="13.5703125" style="144" customWidth="1"/>
    <col min="14" max="14" width="10.28515625" style="144" bestFit="1" customWidth="1"/>
    <col min="15" max="15" width="13.5703125" style="144" customWidth="1"/>
    <col min="16" max="18" width="10.28515625" style="144" customWidth="1"/>
    <col min="19" max="19" width="12.28515625" style="144" bestFit="1" customWidth="1"/>
    <col min="20" max="20" width="8.7109375" style="144" customWidth="1"/>
    <col min="21" max="21" width="12.85546875" style="144" bestFit="1" customWidth="1"/>
    <col min="22" max="22" width="40.5703125" style="154" customWidth="1"/>
    <col min="23" max="23" width="63" style="144" customWidth="1"/>
    <col min="24" max="24" width="10.7109375" style="144" bestFit="1" customWidth="1"/>
    <col min="25" max="25" width="10.7109375" style="144" customWidth="1"/>
    <col min="26" max="26" width="10.7109375" style="144" bestFit="1" customWidth="1"/>
    <col min="27" max="27" width="10.7109375" style="144" customWidth="1"/>
    <col min="28" max="28" width="14.85546875" style="144" customWidth="1"/>
    <col min="29" max="29" width="7.42578125" style="144" customWidth="1"/>
    <col min="30" max="16384" width="28.7109375" style="144"/>
  </cols>
  <sheetData>
    <row r="1" spans="1:28" s="131" customFormat="1" ht="90" x14ac:dyDescent="0.25">
      <c r="A1" s="128" t="s">
        <v>0</v>
      </c>
      <c r="B1" s="128" t="s">
        <v>1</v>
      </c>
      <c r="C1" s="320" t="s">
        <v>2</v>
      </c>
      <c r="D1" s="130" t="s">
        <v>3</v>
      </c>
      <c r="E1" s="129" t="s">
        <v>4</v>
      </c>
      <c r="F1" s="128" t="s">
        <v>5</v>
      </c>
      <c r="G1" s="130" t="s">
        <v>6</v>
      </c>
      <c r="H1" s="130" t="s">
        <v>7</v>
      </c>
      <c r="I1" s="130" t="s">
        <v>8</v>
      </c>
      <c r="J1" s="130"/>
      <c r="K1" s="130"/>
      <c r="L1" s="130" t="s">
        <v>9</v>
      </c>
      <c r="M1" s="130" t="s">
        <v>9</v>
      </c>
      <c r="N1" s="130" t="s">
        <v>9</v>
      </c>
      <c r="O1" s="130" t="s">
        <v>9</v>
      </c>
      <c r="P1" s="130" t="s">
        <v>9</v>
      </c>
      <c r="Q1" s="130" t="s">
        <v>9</v>
      </c>
      <c r="R1" s="130" t="s">
        <v>9</v>
      </c>
      <c r="S1" s="130" t="s">
        <v>9</v>
      </c>
      <c r="T1" s="130" t="s">
        <v>9</v>
      </c>
      <c r="U1" s="130" t="s">
        <v>9</v>
      </c>
      <c r="V1" s="129" t="s">
        <v>10</v>
      </c>
      <c r="W1" s="130" t="s">
        <v>11</v>
      </c>
      <c r="X1" s="130" t="s">
        <v>10</v>
      </c>
      <c r="Y1" s="130" t="s">
        <v>12</v>
      </c>
      <c r="Z1" s="130" t="s">
        <v>10</v>
      </c>
      <c r="AA1" s="130" t="s">
        <v>13</v>
      </c>
      <c r="AB1" s="128" t="s">
        <v>14</v>
      </c>
    </row>
    <row r="2" spans="1:28" s="137" customFormat="1" ht="45" x14ac:dyDescent="0.2">
      <c r="A2" s="132" t="s">
        <v>16</v>
      </c>
      <c r="B2" s="133" t="s">
        <v>271</v>
      </c>
      <c r="C2" s="321" t="s">
        <v>18</v>
      </c>
      <c r="D2" s="132" t="s">
        <v>19</v>
      </c>
      <c r="E2" s="134" t="s">
        <v>20</v>
      </c>
      <c r="F2" s="133" t="s">
        <v>21</v>
      </c>
      <c r="G2" s="133" t="s">
        <v>22</v>
      </c>
      <c r="H2" s="133" t="s">
        <v>23</v>
      </c>
      <c r="I2" s="133" t="s">
        <v>24</v>
      </c>
      <c r="J2" s="135" t="s">
        <v>270</v>
      </c>
      <c r="K2" s="135" t="s">
        <v>25</v>
      </c>
      <c r="L2" s="133" t="s">
        <v>245</v>
      </c>
      <c r="M2" s="133" t="s">
        <v>26</v>
      </c>
      <c r="N2" s="133" t="s">
        <v>27</v>
      </c>
      <c r="O2" s="133" t="s">
        <v>28</v>
      </c>
      <c r="P2" s="133" t="s">
        <v>29</v>
      </c>
      <c r="Q2" s="133" t="s">
        <v>30</v>
      </c>
      <c r="R2" s="133" t="s">
        <v>31</v>
      </c>
      <c r="S2" s="136" t="s">
        <v>32</v>
      </c>
      <c r="T2" s="136" t="s">
        <v>33</v>
      </c>
      <c r="U2" s="133" t="s">
        <v>34</v>
      </c>
      <c r="V2" s="134" t="s">
        <v>35</v>
      </c>
      <c r="W2" s="133" t="s">
        <v>36</v>
      </c>
      <c r="X2" s="133" t="s">
        <v>37</v>
      </c>
      <c r="Y2" s="133" t="s">
        <v>38</v>
      </c>
      <c r="Z2" s="133" t="s">
        <v>39</v>
      </c>
      <c r="AA2" s="133" t="s">
        <v>40</v>
      </c>
      <c r="AB2" s="132" t="s">
        <v>41</v>
      </c>
    </row>
    <row r="3" spans="1:28" s="139" customFormat="1" x14ac:dyDescent="0.25">
      <c r="A3" s="138" t="s">
        <v>45</v>
      </c>
      <c r="C3" s="322" t="s">
        <v>46</v>
      </c>
      <c r="D3" s="138" t="s">
        <v>222</v>
      </c>
      <c r="E3" s="150"/>
      <c r="I3" s="142"/>
      <c r="J3" s="142">
        <v>1000</v>
      </c>
      <c r="K3" s="332" t="s">
        <v>269</v>
      </c>
      <c r="L3" s="316">
        <v>146.08199999999999</v>
      </c>
      <c r="M3" s="138"/>
      <c r="V3" s="317" t="s">
        <v>50</v>
      </c>
      <c r="W3" s="281"/>
      <c r="X3" s="143" t="s">
        <v>48</v>
      </c>
      <c r="Y3" s="139" t="s">
        <v>249</v>
      </c>
    </row>
    <row r="4" spans="1:28" x14ac:dyDescent="0.25">
      <c r="A4" s="125" t="s">
        <v>45</v>
      </c>
      <c r="C4" s="323" t="s">
        <v>57</v>
      </c>
      <c r="D4" s="125" t="s">
        <v>222</v>
      </c>
      <c r="I4" s="146"/>
      <c r="J4" s="142">
        <v>1000</v>
      </c>
      <c r="K4" s="332" t="s">
        <v>269</v>
      </c>
      <c r="L4" s="147">
        <f>65</f>
        <v>65</v>
      </c>
      <c r="M4" s="125"/>
      <c r="V4" s="126" t="s">
        <v>50</v>
      </c>
      <c r="X4" s="125"/>
    </row>
    <row r="5" spans="1:28" x14ac:dyDescent="0.25">
      <c r="A5" s="125" t="s">
        <v>45</v>
      </c>
      <c r="C5" s="323" t="s">
        <v>190</v>
      </c>
      <c r="D5" s="125" t="s">
        <v>222</v>
      </c>
      <c r="I5" s="146"/>
      <c r="J5" s="142">
        <v>1000</v>
      </c>
      <c r="K5" s="332" t="s">
        <v>269</v>
      </c>
      <c r="L5" s="147">
        <f>8</f>
        <v>8</v>
      </c>
      <c r="V5" s="126" t="s">
        <v>50</v>
      </c>
      <c r="X5" s="125"/>
    </row>
    <row r="6" spans="1:28" x14ac:dyDescent="0.25">
      <c r="A6" s="125" t="s">
        <v>45</v>
      </c>
      <c r="C6" s="323" t="s">
        <v>178</v>
      </c>
      <c r="D6" s="125" t="s">
        <v>222</v>
      </c>
      <c r="I6" s="146"/>
      <c r="J6" s="142"/>
      <c r="K6" s="332" t="s">
        <v>269</v>
      </c>
      <c r="L6" s="147">
        <f>101</f>
        <v>101</v>
      </c>
      <c r="M6" s="125"/>
      <c r="V6" s="126" t="s">
        <v>50</v>
      </c>
      <c r="X6" s="125"/>
    </row>
    <row r="7" spans="1:28" x14ac:dyDescent="0.25">
      <c r="A7" s="125" t="s">
        <v>45</v>
      </c>
      <c r="C7" s="323" t="s">
        <v>237</v>
      </c>
      <c r="D7" s="125" t="s">
        <v>222</v>
      </c>
      <c r="I7" s="146"/>
      <c r="J7" s="142">
        <v>1000</v>
      </c>
      <c r="K7" s="332" t="s">
        <v>269</v>
      </c>
      <c r="L7" s="147">
        <f>-2</f>
        <v>-2</v>
      </c>
      <c r="M7" s="125"/>
      <c r="V7" s="126" t="s">
        <v>50</v>
      </c>
      <c r="X7" s="125"/>
    </row>
    <row r="8" spans="1:28" x14ac:dyDescent="0.25">
      <c r="A8" s="125" t="s">
        <v>45</v>
      </c>
      <c r="C8" s="260" t="s">
        <v>46</v>
      </c>
      <c r="D8" s="145" t="s">
        <v>49</v>
      </c>
      <c r="I8" s="146"/>
      <c r="J8" s="142">
        <v>1000</v>
      </c>
      <c r="K8" s="332"/>
      <c r="L8" s="151">
        <f>226</f>
        <v>226</v>
      </c>
      <c r="M8" s="152"/>
      <c r="V8" s="153" t="s">
        <v>50</v>
      </c>
      <c r="W8" s="149"/>
      <c r="X8" s="154"/>
    </row>
    <row r="9" spans="1:28" s="139" customFormat="1" x14ac:dyDescent="0.25">
      <c r="A9" s="138" t="s">
        <v>45</v>
      </c>
      <c r="C9" s="259" t="s">
        <v>46</v>
      </c>
      <c r="D9" s="155" t="s">
        <v>198</v>
      </c>
      <c r="E9" s="156"/>
      <c r="I9" s="142"/>
      <c r="J9" s="142">
        <v>1000</v>
      </c>
      <c r="K9" s="332" t="s">
        <v>269</v>
      </c>
      <c r="L9" s="327">
        <v>320</v>
      </c>
      <c r="M9" s="157"/>
      <c r="V9" s="161" t="s">
        <v>259</v>
      </c>
      <c r="W9" s="140"/>
      <c r="X9" s="159"/>
    </row>
    <row r="10" spans="1:28" x14ac:dyDescent="0.25">
      <c r="A10" s="125" t="s">
        <v>45</v>
      </c>
      <c r="C10" s="323" t="s">
        <v>57</v>
      </c>
      <c r="D10" s="148" t="s">
        <v>198</v>
      </c>
      <c r="E10" s="160"/>
      <c r="I10" s="277"/>
      <c r="J10" s="142">
        <v>1000</v>
      </c>
      <c r="K10" s="332" t="s">
        <v>269</v>
      </c>
      <c r="L10" s="151">
        <f>235</f>
        <v>235</v>
      </c>
      <c r="M10" s="152"/>
      <c r="V10" s="161" t="s">
        <v>262</v>
      </c>
      <c r="W10" s="126" t="s">
        <v>261</v>
      </c>
      <c r="X10" s="169" t="s">
        <v>247</v>
      </c>
    </row>
    <row r="11" spans="1:28" x14ac:dyDescent="0.25">
      <c r="A11" s="125" t="s">
        <v>45</v>
      </c>
      <c r="C11" s="323" t="s">
        <v>190</v>
      </c>
      <c r="D11" s="148" t="s">
        <v>198</v>
      </c>
      <c r="E11" s="160"/>
      <c r="H11" s="326"/>
      <c r="I11" s="146"/>
      <c r="J11" s="142">
        <v>1000</v>
      </c>
      <c r="K11" s="332" t="s">
        <v>269</v>
      </c>
      <c r="L11" s="278">
        <f>1</f>
        <v>1</v>
      </c>
      <c r="M11" s="152"/>
      <c r="V11" s="169" t="s">
        <v>263</v>
      </c>
      <c r="W11" s="170" t="s">
        <v>261</v>
      </c>
      <c r="X11" s="169" t="s">
        <v>251</v>
      </c>
      <c r="Y11" s="144" t="s">
        <v>252</v>
      </c>
    </row>
    <row r="12" spans="1:28" x14ac:dyDescent="0.25">
      <c r="A12" s="125" t="s">
        <v>45</v>
      </c>
      <c r="C12" s="323" t="s">
        <v>178</v>
      </c>
      <c r="D12" s="148" t="s">
        <v>198</v>
      </c>
      <c r="E12" s="160"/>
      <c r="H12" s="326"/>
      <c r="I12" s="279"/>
      <c r="J12" s="142">
        <v>1000</v>
      </c>
      <c r="K12" s="332" t="s">
        <v>269</v>
      </c>
      <c r="L12" s="151">
        <f>51</f>
        <v>51</v>
      </c>
      <c r="M12" s="152"/>
      <c r="V12" s="169" t="s">
        <v>264</v>
      </c>
      <c r="W12" s="170" t="s">
        <v>261</v>
      </c>
      <c r="X12" s="169" t="s">
        <v>247</v>
      </c>
    </row>
    <row r="13" spans="1:28" x14ac:dyDescent="0.25">
      <c r="A13" s="125" t="s">
        <v>45</v>
      </c>
      <c r="C13" s="144" t="s">
        <v>230</v>
      </c>
      <c r="D13" s="148" t="s">
        <v>198</v>
      </c>
      <c r="E13" s="160"/>
      <c r="I13" s="146"/>
      <c r="J13" s="142">
        <v>1000</v>
      </c>
      <c r="K13" s="332" t="s">
        <v>269</v>
      </c>
      <c r="L13" s="151">
        <v>55</v>
      </c>
      <c r="M13" s="152"/>
      <c r="V13" s="169" t="s">
        <v>260</v>
      </c>
      <c r="W13" s="149"/>
      <c r="X13" s="154"/>
    </row>
    <row r="14" spans="1:28" s="138" customFormat="1" x14ac:dyDescent="0.25">
      <c r="A14" s="138" t="s">
        <v>45</v>
      </c>
      <c r="C14" s="324" t="s">
        <v>46</v>
      </c>
      <c r="D14" s="138" t="s">
        <v>52</v>
      </c>
      <c r="E14" s="140"/>
      <c r="J14" s="142">
        <v>1000</v>
      </c>
      <c r="K14" s="332" t="s">
        <v>269</v>
      </c>
      <c r="L14" s="138">
        <v>525</v>
      </c>
      <c r="R14" s="140"/>
      <c r="V14" s="161" t="s">
        <v>242</v>
      </c>
      <c r="W14" s="140"/>
      <c r="X14" s="140"/>
    </row>
    <row r="15" spans="1:28" s="125" customFormat="1" x14ac:dyDescent="0.25">
      <c r="A15" s="125" t="s">
        <v>45</v>
      </c>
      <c r="C15" s="323" t="s">
        <v>57</v>
      </c>
      <c r="D15" s="125" t="s">
        <v>52</v>
      </c>
      <c r="E15" s="126"/>
      <c r="J15" s="142">
        <v>1000</v>
      </c>
      <c r="K15" s="332" t="s">
        <v>269</v>
      </c>
      <c r="L15" s="162">
        <v>450</v>
      </c>
      <c r="R15" s="126"/>
      <c r="V15" s="161" t="s">
        <v>235</v>
      </c>
      <c r="W15" s="126"/>
      <c r="X15" s="126"/>
    </row>
    <row r="16" spans="1:28" s="125" customFormat="1" x14ac:dyDescent="0.25">
      <c r="A16" s="125" t="s">
        <v>45</v>
      </c>
      <c r="C16" s="323" t="s">
        <v>190</v>
      </c>
      <c r="D16" s="125" t="s">
        <v>52</v>
      </c>
      <c r="E16" s="126"/>
      <c r="G16" s="125" t="s">
        <v>272</v>
      </c>
      <c r="J16" s="142">
        <v>1000</v>
      </c>
      <c r="K16" s="332" t="s">
        <v>269</v>
      </c>
      <c r="L16" s="162">
        <v>110</v>
      </c>
      <c r="R16" s="126"/>
      <c r="V16" s="161" t="s">
        <v>243</v>
      </c>
      <c r="W16" s="126"/>
      <c r="X16" s="126"/>
    </row>
    <row r="17" spans="1:25" s="125" customFormat="1" x14ac:dyDescent="0.25">
      <c r="A17" s="125" t="s">
        <v>45</v>
      </c>
      <c r="C17" s="323" t="s">
        <v>178</v>
      </c>
      <c r="D17" s="125" t="s">
        <v>52</v>
      </c>
      <c r="E17" s="126"/>
      <c r="J17" s="142">
        <v>1000</v>
      </c>
      <c r="K17" s="332" t="s">
        <v>269</v>
      </c>
      <c r="L17" s="162">
        <v>10</v>
      </c>
      <c r="R17" s="126"/>
      <c r="V17" s="161" t="s">
        <v>236</v>
      </c>
      <c r="W17" s="126"/>
      <c r="X17" s="126"/>
    </row>
    <row r="18" spans="1:25" s="125" customFormat="1" x14ac:dyDescent="0.25">
      <c r="A18" s="125" t="s">
        <v>45</v>
      </c>
      <c r="C18" s="144" t="s">
        <v>230</v>
      </c>
      <c r="D18" s="125" t="s">
        <v>52</v>
      </c>
      <c r="E18" s="126"/>
      <c r="G18" s="125" t="s">
        <v>273</v>
      </c>
      <c r="J18" s="142">
        <v>1000</v>
      </c>
      <c r="K18" s="332" t="s">
        <v>269</v>
      </c>
      <c r="L18" s="162">
        <v>70</v>
      </c>
      <c r="R18" s="126"/>
      <c r="V18" s="161" t="s">
        <v>241</v>
      </c>
      <c r="W18" s="126"/>
      <c r="X18" s="126"/>
    </row>
    <row r="19" spans="1:25" s="163" customFormat="1" x14ac:dyDescent="0.25">
      <c r="A19" s="138" t="s">
        <v>45</v>
      </c>
      <c r="C19" s="325" t="s">
        <v>46</v>
      </c>
      <c r="D19" s="282" t="s">
        <v>148</v>
      </c>
      <c r="E19" s="141"/>
      <c r="I19" s="138"/>
      <c r="J19" s="142">
        <v>1000</v>
      </c>
      <c r="K19" s="332" t="s">
        <v>269</v>
      </c>
      <c r="L19" s="164">
        <f>18</f>
        <v>18</v>
      </c>
      <c r="M19" s="138"/>
      <c r="V19" s="158" t="s">
        <v>50</v>
      </c>
      <c r="W19" s="283"/>
      <c r="X19" s="284"/>
      <c r="Y19" s="285"/>
    </row>
    <row r="20" spans="1:25" s="139" customFormat="1" ht="15" customHeight="1" x14ac:dyDescent="0.25">
      <c r="A20" s="138" t="s">
        <v>45</v>
      </c>
      <c r="B20" s="163"/>
      <c r="C20" s="323" t="s">
        <v>57</v>
      </c>
      <c r="D20" s="318" t="s">
        <v>149</v>
      </c>
      <c r="E20" s="165"/>
      <c r="J20" s="142">
        <v>1000</v>
      </c>
      <c r="K20" s="332" t="s">
        <v>269</v>
      </c>
      <c r="L20" s="166">
        <v>3400</v>
      </c>
      <c r="V20" s="167" t="s">
        <v>53</v>
      </c>
      <c r="W20" s="139" t="s">
        <v>54</v>
      </c>
    </row>
    <row r="21" spans="1:25" ht="15" customHeight="1" x14ac:dyDescent="0.25">
      <c r="A21" s="125" t="s">
        <v>45</v>
      </c>
      <c r="C21" s="323" t="s">
        <v>57</v>
      </c>
      <c r="D21" s="319" t="s">
        <v>149</v>
      </c>
      <c r="J21" s="142">
        <v>1000</v>
      </c>
      <c r="K21" s="332" t="s">
        <v>269</v>
      </c>
      <c r="L21" s="168">
        <v>2706</v>
      </c>
      <c r="V21" s="169" t="s">
        <v>255</v>
      </c>
    </row>
    <row r="22" spans="1:25" ht="15" customHeight="1" x14ac:dyDescent="0.25">
      <c r="A22" s="125" t="s">
        <v>45</v>
      </c>
      <c r="C22" s="323" t="s">
        <v>190</v>
      </c>
      <c r="D22" s="319" t="s">
        <v>149</v>
      </c>
      <c r="J22" s="142">
        <v>1000</v>
      </c>
      <c r="K22" s="332" t="s">
        <v>269</v>
      </c>
      <c r="L22" s="168">
        <v>700</v>
      </c>
      <c r="V22" s="169" t="s">
        <v>254</v>
      </c>
    </row>
    <row r="23" spans="1:25" ht="15" customHeight="1" x14ac:dyDescent="0.25">
      <c r="A23" s="125" t="s">
        <v>45</v>
      </c>
      <c r="C23" s="323" t="s">
        <v>178</v>
      </c>
      <c r="D23" s="319" t="s">
        <v>149</v>
      </c>
      <c r="J23" s="142">
        <v>1000</v>
      </c>
      <c r="K23" s="332" t="s">
        <v>269</v>
      </c>
      <c r="L23" s="168">
        <v>10</v>
      </c>
      <c r="V23" s="169" t="s">
        <v>256</v>
      </c>
    </row>
    <row r="24" spans="1:25" ht="15" customHeight="1" x14ac:dyDescent="0.25">
      <c r="A24" s="125" t="s">
        <v>45</v>
      </c>
      <c r="C24" s="144" t="s">
        <v>230</v>
      </c>
      <c r="D24" s="319" t="s">
        <v>149</v>
      </c>
      <c r="G24" s="144" t="s">
        <v>45</v>
      </c>
      <c r="J24" s="142">
        <v>1000</v>
      </c>
      <c r="K24" s="332" t="s">
        <v>269</v>
      </c>
      <c r="L24" s="168">
        <v>917</v>
      </c>
      <c r="V24" s="169" t="s">
        <v>253</v>
      </c>
    </row>
    <row r="25" spans="1:25" x14ac:dyDescent="0.25"/>
    <row r="26" spans="1:25" x14ac:dyDescent="0.25"/>
    <row r="27" spans="1:25" x14ac:dyDescent="0.25"/>
    <row r="28" spans="1:25" x14ac:dyDescent="0.25"/>
    <row r="44" x14ac:dyDescent="0.25"/>
    <row r="50" x14ac:dyDescent="0.25"/>
    <row r="53" x14ac:dyDescent="0.25"/>
    <row r="56" x14ac:dyDescent="0.25"/>
    <row r="57" x14ac:dyDescent="0.25"/>
    <row r="60" x14ac:dyDescent="0.25"/>
    <row r="66" x14ac:dyDescent="0.25"/>
  </sheetData>
  <autoFilter ref="A2:AC2" xr:uid="{00000000-0001-0000-0000-000000000000}"/>
  <phoneticPr fontId="1" type="noConversion"/>
  <hyperlinks>
    <hyperlink ref="V8" r:id="rId1" location="data/FBS/report" xr:uid="{6157E3F6-1D9C-4A87-9124-A2E4746FD790}"/>
    <hyperlink ref="V20" r:id="rId2" xr:uid="{A08E77FF-576C-46B5-B801-BF5A68C58184}"/>
    <hyperlink ref="V14" r:id="rId3" xr:uid="{A2390A04-2F05-49DB-8855-8C074CE33B14}"/>
    <hyperlink ref="V18" r:id="rId4" xr:uid="{17E05469-B4DF-4BC2-A4BC-CBA4EA7BD3D4}"/>
    <hyperlink ref="V15" r:id="rId5" xr:uid="{DCD018BF-03A9-4943-9741-A6944BABBA62}"/>
    <hyperlink ref="V16" r:id="rId6" xr:uid="{9A1765E0-6114-42F1-8D25-E6125CCCD31B}"/>
    <hyperlink ref="V17" r:id="rId7" xr:uid="{E54715FE-EA78-4D1A-AAEF-601AF713A1B8}"/>
    <hyperlink ref="V10" r:id="rId8" xr:uid="{BE86266A-2C12-49B0-9876-400D3361290A}"/>
    <hyperlink ref="V11:V13" r:id="rId9" display="https://www.fao.org/giews/countrybrief/country.jsp?code=ZMB&amp;lang=fr" xr:uid="{27F5C19F-1C82-43BF-B627-236160741211}"/>
    <hyperlink ref="X11" r:id="rId10" location=":~:text=Zambia%20exports%20of%20Wheat%20or,44.03K%20%2C%2066%2C500%20Kg" xr:uid="{BC60B43D-1212-4033-AD8D-266AEDE92CED}"/>
    <hyperlink ref="V24" r:id="rId11" xr:uid="{704C6633-BC1D-4379-AAC1-4673F1183336}"/>
    <hyperlink ref="V22" r:id="rId12" xr:uid="{B99F752F-8D64-4F38-AAD9-634483838169}"/>
    <hyperlink ref="V21" r:id="rId13" xr:uid="{D5D79031-1869-413C-9A49-EDBF2BB6CA7B}"/>
    <hyperlink ref="V23" r:id="rId14" xr:uid="{8F0ECB04-3263-4DE7-9122-A502C090C82B}"/>
    <hyperlink ref="V9" r:id="rId15" xr:uid="{9776A393-ED46-403A-B54E-3235F87E88B3}"/>
    <hyperlink ref="V13" r:id="rId16" xr:uid="{25F17E0C-DABA-41D8-9FBD-9DC5B26D555A}"/>
    <hyperlink ref="V11" r:id="rId17" xr:uid="{E1300A11-9511-4868-919B-C4456F3D199B}"/>
    <hyperlink ref="V12" r:id="rId18" xr:uid="{F594B4D0-8ABE-42CC-9FB5-6ED4384BA7B1}"/>
  </hyperlinks>
  <pageMargins left="0.7" right="0.7" top="0.75" bottom="0.75" header="0.3" footer="0.3"/>
  <pageSetup paperSize="9" orientation="portrait" r:id="rId19"/>
  <legacyDrawing r:id="rId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D1DA-0B3E-4924-8393-39587901B4DD}">
  <sheetPr>
    <tabColor rgb="FFC6E0B4"/>
  </sheetPr>
  <dimension ref="A1:AE83"/>
  <sheetViews>
    <sheetView workbookViewId="0">
      <pane ySplit="2" topLeftCell="A66" activePane="bottomLeft" state="frozen"/>
      <selection pane="bottomLeft" activeCell="M73" sqref="M72:M73"/>
    </sheetView>
  </sheetViews>
  <sheetFormatPr baseColWidth="10" defaultColWidth="28.7109375" defaultRowHeight="12.75" customHeight="1" x14ac:dyDescent="0.2"/>
  <cols>
    <col min="1" max="1" width="8.28515625" style="184" bestFit="1" customWidth="1"/>
    <col min="2" max="2" width="17.5703125" style="184" bestFit="1" customWidth="1"/>
    <col min="3" max="3" width="24.85546875" style="204" customWidth="1"/>
    <col min="4" max="4" width="24.85546875" style="184" customWidth="1"/>
    <col min="5" max="5" width="26.85546875" style="177" customWidth="1"/>
    <col min="6" max="6" width="24.85546875" style="204" customWidth="1"/>
    <col min="7" max="7" width="14.85546875" style="184" bestFit="1" customWidth="1"/>
    <col min="8" max="8" width="37" style="204" bestFit="1" customWidth="1"/>
    <col min="9" max="9" width="26.42578125" style="184" bestFit="1" customWidth="1"/>
    <col min="10" max="10" width="14.140625" style="187" bestFit="1" customWidth="1"/>
    <col min="11" max="11" width="14.140625" style="187" customWidth="1"/>
    <col min="12" max="12" width="14.140625" style="184" customWidth="1"/>
    <col min="13" max="13" width="14" style="177" customWidth="1"/>
    <col min="14" max="14" width="13.5703125" style="197" customWidth="1"/>
    <col min="15" max="15" width="10.28515625" style="177" bestFit="1" customWidth="1"/>
    <col min="16" max="16" width="13.5703125" style="184" customWidth="1"/>
    <col min="17" max="19" width="10.28515625" style="184" customWidth="1"/>
    <col min="20" max="20" width="12.28515625" style="184" bestFit="1" customWidth="1"/>
    <col min="21" max="21" width="12.5703125" style="184" customWidth="1"/>
    <col min="22" max="22" width="12.85546875" style="184" bestFit="1" customWidth="1"/>
    <col min="23" max="23" width="27.85546875" style="184" customWidth="1"/>
    <col min="24" max="24" width="68.7109375" style="184" customWidth="1"/>
    <col min="25" max="25" width="41.85546875" style="197" customWidth="1"/>
    <col min="26" max="26" width="10.7109375" style="184" customWidth="1"/>
    <col min="27" max="27" width="10.7109375" style="184" bestFit="1" customWidth="1"/>
    <col min="28" max="28" width="10.7109375" style="184" customWidth="1"/>
    <col min="29" max="29" width="14.85546875" style="184" customWidth="1"/>
    <col min="30" max="30" width="7.42578125" style="184" customWidth="1"/>
    <col min="31" max="16384" width="28.7109375" style="184"/>
  </cols>
  <sheetData>
    <row r="1" spans="1:31" s="177" customFormat="1" ht="102.75" customHeight="1" x14ac:dyDescent="0.25">
      <c r="A1" s="172" t="s">
        <v>0</v>
      </c>
      <c r="B1" s="172" t="s">
        <v>1</v>
      </c>
      <c r="C1" s="172" t="s">
        <v>2</v>
      </c>
      <c r="D1" s="173" t="s">
        <v>3</v>
      </c>
      <c r="E1" s="173" t="s">
        <v>4</v>
      </c>
      <c r="F1" s="172"/>
      <c r="G1" s="172" t="s">
        <v>5</v>
      </c>
      <c r="H1" s="173" t="s">
        <v>6</v>
      </c>
      <c r="I1" s="173" t="s">
        <v>7</v>
      </c>
      <c r="J1" s="174" t="s">
        <v>8</v>
      </c>
      <c r="K1" s="174"/>
      <c r="L1" s="173"/>
      <c r="M1" s="173" t="s">
        <v>9</v>
      </c>
      <c r="N1" s="175" t="s">
        <v>9</v>
      </c>
      <c r="O1" s="173" t="s">
        <v>9</v>
      </c>
      <c r="P1" s="173" t="s">
        <v>9</v>
      </c>
      <c r="Q1" s="173" t="s">
        <v>9</v>
      </c>
      <c r="R1" s="173" t="s">
        <v>9</v>
      </c>
      <c r="S1" s="173" t="s">
        <v>9</v>
      </c>
      <c r="T1" s="173" t="s">
        <v>9</v>
      </c>
      <c r="U1" s="173" t="s">
        <v>9</v>
      </c>
      <c r="V1" s="173" t="s">
        <v>9</v>
      </c>
      <c r="W1" s="176" t="s">
        <v>10</v>
      </c>
      <c r="X1" s="173" t="s">
        <v>11</v>
      </c>
      <c r="Y1" s="175" t="s">
        <v>10</v>
      </c>
      <c r="Z1" s="173" t="s">
        <v>12</v>
      </c>
      <c r="AA1" s="173" t="s">
        <v>10</v>
      </c>
      <c r="AB1" s="173" t="s">
        <v>13</v>
      </c>
      <c r="AC1" s="172" t="s">
        <v>14</v>
      </c>
    </row>
    <row r="2" spans="1:31" ht="51" x14ac:dyDescent="0.2">
      <c r="A2" s="178" t="s">
        <v>16</v>
      </c>
      <c r="B2" s="135" t="s">
        <v>17</v>
      </c>
      <c r="C2" s="178" t="s">
        <v>18</v>
      </c>
      <c r="D2" s="135" t="s">
        <v>55</v>
      </c>
      <c r="E2" s="178" t="s">
        <v>19</v>
      </c>
      <c r="F2" s="179" t="s">
        <v>20</v>
      </c>
      <c r="G2" s="135" t="s">
        <v>21</v>
      </c>
      <c r="H2" s="135" t="s">
        <v>22</v>
      </c>
      <c r="I2" s="135" t="s">
        <v>23</v>
      </c>
      <c r="J2" s="180" t="s">
        <v>24</v>
      </c>
      <c r="K2" s="135" t="s">
        <v>270</v>
      </c>
      <c r="L2" s="135" t="s">
        <v>25</v>
      </c>
      <c r="M2" s="133" t="s">
        <v>245</v>
      </c>
      <c r="N2" s="181" t="s">
        <v>26</v>
      </c>
      <c r="O2" s="135" t="s">
        <v>27</v>
      </c>
      <c r="P2" s="133" t="s">
        <v>28</v>
      </c>
      <c r="Q2" s="135" t="s">
        <v>29</v>
      </c>
      <c r="R2" s="135" t="s">
        <v>30</v>
      </c>
      <c r="S2" s="135" t="s">
        <v>31</v>
      </c>
      <c r="T2" s="182" t="s">
        <v>32</v>
      </c>
      <c r="U2" s="182" t="s">
        <v>33</v>
      </c>
      <c r="V2" s="135" t="s">
        <v>34</v>
      </c>
      <c r="W2" s="183" t="s">
        <v>35</v>
      </c>
      <c r="X2" s="135" t="s">
        <v>36</v>
      </c>
      <c r="Y2" s="181" t="s">
        <v>37</v>
      </c>
      <c r="Z2" s="135" t="s">
        <v>38</v>
      </c>
      <c r="AA2" s="135" t="s">
        <v>39</v>
      </c>
      <c r="AB2" s="135" t="s">
        <v>40</v>
      </c>
      <c r="AC2" s="178" t="s">
        <v>41</v>
      </c>
    </row>
    <row r="3" spans="1:31" s="242" customFormat="1" ht="14.45" customHeight="1" x14ac:dyDescent="0.2">
      <c r="A3" s="72" t="s">
        <v>45</v>
      </c>
      <c r="B3" s="184" t="s">
        <v>77</v>
      </c>
      <c r="C3" s="72" t="s">
        <v>57</v>
      </c>
      <c r="D3" s="72"/>
      <c r="E3" s="185" t="s">
        <v>222</v>
      </c>
      <c r="F3" s="186"/>
      <c r="G3" s="184"/>
      <c r="H3" s="72" t="s">
        <v>78</v>
      </c>
      <c r="I3" s="184"/>
      <c r="J3" s="187"/>
      <c r="K3" s="187">
        <v>1000</v>
      </c>
      <c r="L3" s="72" t="s">
        <v>269</v>
      </c>
      <c r="M3" s="185">
        <f>(365*200)/1000</f>
        <v>73</v>
      </c>
      <c r="N3" s="200"/>
      <c r="O3" s="201"/>
      <c r="P3" s="184"/>
      <c r="Q3" s="184"/>
      <c r="R3" s="184"/>
      <c r="S3" s="184"/>
      <c r="T3" s="184"/>
      <c r="U3" s="184"/>
      <c r="V3" s="184"/>
      <c r="W3" s="202" t="s">
        <v>246</v>
      </c>
      <c r="X3" s="190" t="s">
        <v>59</v>
      </c>
      <c r="Y3" s="194"/>
      <c r="Z3" s="184"/>
      <c r="AA3" s="184"/>
      <c r="AB3" s="184"/>
      <c r="AC3" s="184"/>
      <c r="AD3" s="184"/>
      <c r="AE3" s="184"/>
    </row>
    <row r="4" spans="1:31" x14ac:dyDescent="0.2">
      <c r="A4" s="72" t="s">
        <v>45</v>
      </c>
      <c r="B4" s="184" t="s">
        <v>77</v>
      </c>
      <c r="C4" s="72" t="s">
        <v>57</v>
      </c>
      <c r="D4" s="72"/>
      <c r="E4" s="185" t="s">
        <v>222</v>
      </c>
      <c r="F4" s="186"/>
      <c r="H4" s="72" t="s">
        <v>79</v>
      </c>
      <c r="K4" s="187">
        <v>1000</v>
      </c>
      <c r="L4" s="72" t="s">
        <v>269</v>
      </c>
      <c r="M4" s="185">
        <f>(365*20)/1000</f>
        <v>7.3</v>
      </c>
      <c r="N4" s="200"/>
      <c r="O4" s="201"/>
      <c r="W4" s="202" t="s">
        <v>246</v>
      </c>
      <c r="X4" s="190" t="s">
        <v>59</v>
      </c>
      <c r="Y4" s="194"/>
    </row>
    <row r="5" spans="1:31" ht="12.6" customHeight="1" x14ac:dyDescent="0.25">
      <c r="A5" s="72" t="s">
        <v>45</v>
      </c>
      <c r="B5" s="184" t="s">
        <v>74</v>
      </c>
      <c r="C5" s="72" t="s">
        <v>57</v>
      </c>
      <c r="D5" s="72"/>
      <c r="E5" s="185" t="s">
        <v>222</v>
      </c>
      <c r="F5" s="186"/>
      <c r="H5" s="72" t="s">
        <v>75</v>
      </c>
      <c r="K5" s="187">
        <v>1000</v>
      </c>
      <c r="L5" s="72" t="s">
        <v>269</v>
      </c>
      <c r="M5" s="185">
        <f>(365*250)/1000</f>
        <v>91.25</v>
      </c>
      <c r="N5" s="200"/>
      <c r="O5" s="201"/>
      <c r="W5" s="202" t="s">
        <v>246</v>
      </c>
      <c r="X5" s="190" t="s">
        <v>59</v>
      </c>
      <c r="Y5" s="203" t="s">
        <v>53</v>
      </c>
      <c r="Z5" s="184" t="s">
        <v>76</v>
      </c>
    </row>
    <row r="6" spans="1:31" ht="25.5" x14ac:dyDescent="0.2">
      <c r="A6" s="72" t="s">
        <v>45</v>
      </c>
      <c r="B6" s="184" t="s">
        <v>74</v>
      </c>
      <c r="C6" s="234" t="s">
        <v>57</v>
      </c>
      <c r="D6" s="72"/>
      <c r="E6" s="185" t="s">
        <v>52</v>
      </c>
      <c r="F6" s="234"/>
      <c r="H6" s="235" t="s">
        <v>147</v>
      </c>
      <c r="K6" s="187">
        <v>1000</v>
      </c>
      <c r="L6" s="72" t="s">
        <v>269</v>
      </c>
      <c r="M6" s="208">
        <v>1.4</v>
      </c>
      <c r="O6" s="201">
        <v>3.0000000000000001E-3</v>
      </c>
      <c r="W6" s="207" t="s">
        <v>72</v>
      </c>
      <c r="X6" s="190"/>
      <c r="Y6" s="189"/>
      <c r="AA6" s="211"/>
      <c r="AB6" s="72"/>
    </row>
    <row r="7" spans="1:31" x14ac:dyDescent="0.2">
      <c r="A7" s="72" t="s">
        <v>45</v>
      </c>
      <c r="B7" s="184" t="s">
        <v>56</v>
      </c>
      <c r="C7" s="72" t="s">
        <v>57</v>
      </c>
      <c r="D7" s="72"/>
      <c r="E7" s="185" t="s">
        <v>222</v>
      </c>
      <c r="F7" s="186"/>
      <c r="H7" s="72" t="s">
        <v>58</v>
      </c>
      <c r="K7" s="187">
        <v>1000</v>
      </c>
      <c r="L7" s="72" t="s">
        <v>269</v>
      </c>
      <c r="M7" s="185">
        <f>(365*180)/1000</f>
        <v>65.7</v>
      </c>
      <c r="N7" s="188"/>
      <c r="O7" s="123"/>
      <c r="W7" s="189" t="s">
        <v>248</v>
      </c>
      <c r="X7" s="190" t="s">
        <v>59</v>
      </c>
      <c r="Y7" s="191" t="s">
        <v>60</v>
      </c>
      <c r="Z7" s="184" t="s">
        <v>257</v>
      </c>
    </row>
    <row r="8" spans="1:31" x14ac:dyDescent="0.2">
      <c r="A8" s="72" t="s">
        <v>45</v>
      </c>
      <c r="B8" s="184" t="s">
        <v>56</v>
      </c>
      <c r="C8" s="72" t="s">
        <v>57</v>
      </c>
      <c r="D8" s="72"/>
      <c r="E8" s="185" t="s">
        <v>222</v>
      </c>
      <c r="F8" s="186"/>
      <c r="H8" s="72" t="s">
        <v>58</v>
      </c>
      <c r="J8" s="187" t="s">
        <v>61</v>
      </c>
      <c r="K8" s="187">
        <v>1000</v>
      </c>
      <c r="L8" s="72" t="s">
        <v>269</v>
      </c>
      <c r="M8" s="185"/>
      <c r="N8" s="192"/>
      <c r="O8" s="123"/>
      <c r="W8" s="191"/>
      <c r="X8" s="193"/>
      <c r="Y8" s="194"/>
    </row>
    <row r="9" spans="1:31" ht="14.45" customHeight="1" x14ac:dyDescent="0.2">
      <c r="A9" s="72" t="s">
        <v>45</v>
      </c>
      <c r="B9" s="184" t="s">
        <v>129</v>
      </c>
      <c r="C9" s="215" t="s">
        <v>57</v>
      </c>
      <c r="D9" s="72"/>
      <c r="E9" s="185" t="s">
        <v>198</v>
      </c>
      <c r="F9" s="72"/>
      <c r="H9" s="72" t="s">
        <v>114</v>
      </c>
      <c r="I9" s="72"/>
      <c r="K9" s="187">
        <v>1000</v>
      </c>
      <c r="L9" s="72" t="s">
        <v>269</v>
      </c>
      <c r="M9" s="216">
        <f>(600/1000)*365</f>
        <v>219</v>
      </c>
      <c r="O9" s="201">
        <v>0.4</v>
      </c>
      <c r="W9" s="207" t="s">
        <v>53</v>
      </c>
      <c r="X9" s="190" t="s">
        <v>115</v>
      </c>
      <c r="Y9" s="207" t="s">
        <v>116</v>
      </c>
      <c r="Z9" s="184" t="s">
        <v>117</v>
      </c>
    </row>
    <row r="10" spans="1:31" x14ac:dyDescent="0.2">
      <c r="A10" s="72" t="s">
        <v>45</v>
      </c>
      <c r="B10" s="184" t="s">
        <v>129</v>
      </c>
      <c r="C10" s="215" t="s">
        <v>57</v>
      </c>
      <c r="D10" s="72" t="s">
        <v>284</v>
      </c>
      <c r="E10" s="185" t="s">
        <v>198</v>
      </c>
      <c r="F10" s="72"/>
      <c r="H10" s="72" t="s">
        <v>130</v>
      </c>
      <c r="I10" s="72"/>
      <c r="K10" s="187">
        <v>1000</v>
      </c>
      <c r="L10" s="72" t="s">
        <v>269</v>
      </c>
      <c r="M10" s="216"/>
      <c r="O10" s="201"/>
      <c r="W10" s="207"/>
      <c r="X10" s="190"/>
      <c r="Y10" s="189"/>
    </row>
    <row r="11" spans="1:31" x14ac:dyDescent="0.2">
      <c r="A11" s="72" t="s">
        <v>45</v>
      </c>
      <c r="B11" s="184" t="s">
        <v>129</v>
      </c>
      <c r="C11" s="234" t="s">
        <v>57</v>
      </c>
      <c r="D11" s="72"/>
      <c r="E11" s="185" t="s">
        <v>52</v>
      </c>
      <c r="F11" s="234"/>
      <c r="H11" s="72" t="s">
        <v>136</v>
      </c>
      <c r="K11" s="187">
        <v>1000</v>
      </c>
      <c r="L11" s="72" t="s">
        <v>269</v>
      </c>
      <c r="M11" s="185">
        <v>374</v>
      </c>
      <c r="O11" s="201">
        <v>0.9</v>
      </c>
      <c r="W11" s="207" t="s">
        <v>72</v>
      </c>
      <c r="X11" s="190" t="s">
        <v>137</v>
      </c>
      <c r="Y11" s="189" t="s">
        <v>138</v>
      </c>
      <c r="AA11" s="211"/>
      <c r="AB11" s="72"/>
    </row>
    <row r="12" spans="1:31" ht="14.45" customHeight="1" x14ac:dyDescent="0.2">
      <c r="A12" s="72" t="s">
        <v>45</v>
      </c>
      <c r="B12" s="184" t="s">
        <v>129</v>
      </c>
      <c r="C12" s="234" t="s">
        <v>57</v>
      </c>
      <c r="D12" s="72"/>
      <c r="E12" s="185" t="s">
        <v>52</v>
      </c>
      <c r="F12" s="234"/>
      <c r="H12" s="72" t="s">
        <v>136</v>
      </c>
      <c r="J12" s="187" t="s">
        <v>139</v>
      </c>
      <c r="K12" s="187">
        <v>1000</v>
      </c>
      <c r="L12" s="72" t="s">
        <v>269</v>
      </c>
      <c r="M12" s="185"/>
      <c r="O12" s="201"/>
      <c r="W12" s="207"/>
      <c r="X12" s="190"/>
      <c r="Y12" s="189"/>
      <c r="AA12" s="211"/>
      <c r="AB12" s="72"/>
    </row>
    <row r="13" spans="1:31" x14ac:dyDescent="0.2">
      <c r="A13" s="72" t="s">
        <v>45</v>
      </c>
      <c r="B13" s="184" t="s">
        <v>129</v>
      </c>
      <c r="C13" s="234" t="s">
        <v>57</v>
      </c>
      <c r="D13" s="72"/>
      <c r="E13" s="185" t="s">
        <v>52</v>
      </c>
      <c r="F13" s="234"/>
      <c r="H13" s="72" t="s">
        <v>136</v>
      </c>
      <c r="J13" s="187" t="s">
        <v>140</v>
      </c>
      <c r="K13" s="187">
        <v>1000</v>
      </c>
      <c r="L13" s="72" t="s">
        <v>269</v>
      </c>
      <c r="M13" s="185"/>
      <c r="O13" s="201"/>
      <c r="W13" s="207"/>
      <c r="X13" s="190"/>
      <c r="Y13" s="189"/>
      <c r="AA13" s="211"/>
      <c r="AB13" s="72"/>
    </row>
    <row r="14" spans="1:31" x14ac:dyDescent="0.2">
      <c r="A14" s="72" t="s">
        <v>45</v>
      </c>
      <c r="B14" s="184" t="s">
        <v>129</v>
      </c>
      <c r="C14" s="234" t="s">
        <v>57</v>
      </c>
      <c r="D14" s="72"/>
      <c r="E14" s="185" t="s">
        <v>52</v>
      </c>
      <c r="F14" s="234"/>
      <c r="H14" s="72" t="s">
        <v>136</v>
      </c>
      <c r="J14" s="187" t="s">
        <v>141</v>
      </c>
      <c r="K14" s="187">
        <v>1000</v>
      </c>
      <c r="L14" s="72" t="s">
        <v>269</v>
      </c>
      <c r="M14" s="185"/>
      <c r="O14" s="201"/>
      <c r="W14" s="207"/>
      <c r="X14" s="190"/>
      <c r="Y14" s="189"/>
      <c r="AA14" s="211"/>
      <c r="AB14" s="72"/>
    </row>
    <row r="15" spans="1:31" ht="12.95" customHeight="1" x14ac:dyDescent="0.2">
      <c r="A15" s="72" t="s">
        <v>45</v>
      </c>
      <c r="B15" s="184" t="s">
        <v>129</v>
      </c>
      <c r="C15" s="234" t="s">
        <v>57</v>
      </c>
      <c r="D15" s="72"/>
      <c r="E15" s="185" t="s">
        <v>52</v>
      </c>
      <c r="F15" s="234"/>
      <c r="H15" s="204" t="s">
        <v>145</v>
      </c>
      <c r="K15" s="187">
        <v>1000</v>
      </c>
      <c r="L15" s="72" t="s">
        <v>269</v>
      </c>
      <c r="M15" s="208">
        <v>30</v>
      </c>
      <c r="O15" s="201">
        <v>7.1999999999999995E-2</v>
      </c>
      <c r="W15" s="207" t="s">
        <v>72</v>
      </c>
      <c r="X15" s="190" t="s">
        <v>146</v>
      </c>
      <c r="Y15" s="189"/>
      <c r="AA15" s="211"/>
      <c r="AB15" s="72"/>
    </row>
    <row r="16" spans="1:31" ht="12.6" customHeight="1" x14ac:dyDescent="0.25">
      <c r="A16" s="68" t="s">
        <v>45</v>
      </c>
      <c r="B16" s="68" t="s">
        <v>129</v>
      </c>
      <c r="C16" s="69" t="s">
        <v>57</v>
      </c>
      <c r="D16" s="68"/>
      <c r="E16" s="69" t="s">
        <v>149</v>
      </c>
      <c r="F16" s="69" t="s">
        <v>163</v>
      </c>
      <c r="G16" s="68"/>
      <c r="H16" s="69" t="s">
        <v>160</v>
      </c>
      <c r="I16" s="68"/>
      <c r="J16" s="68"/>
      <c r="K16" s="187">
        <v>1000</v>
      </c>
      <c r="L16" s="72" t="s">
        <v>269</v>
      </c>
      <c r="M16" s="78">
        <f>(72*12)/(1.102*1000)</f>
        <v>0.78402903811252267</v>
      </c>
      <c r="N16" s="59"/>
      <c r="O16" s="63" t="s">
        <v>158</v>
      </c>
      <c r="P16" s="68"/>
      <c r="Q16" s="68"/>
      <c r="R16" s="68"/>
      <c r="S16" s="68"/>
      <c r="T16" s="68"/>
      <c r="U16" s="68"/>
      <c r="V16" s="68"/>
      <c r="W16" s="77" t="s">
        <v>161</v>
      </c>
      <c r="X16" s="68" t="s">
        <v>162</v>
      </c>
      <c r="Y16" s="68"/>
      <c r="Z16" s="68"/>
      <c r="AA16" s="68"/>
      <c r="AB16" s="68"/>
      <c r="AC16" s="68"/>
      <c r="AD16" s="68"/>
      <c r="AE16" s="68"/>
    </row>
    <row r="17" spans="1:31" ht="12.6" customHeight="1" x14ac:dyDescent="0.25">
      <c r="A17" s="246" t="s">
        <v>45</v>
      </c>
      <c r="B17" s="247"/>
      <c r="C17" s="246" t="s">
        <v>57</v>
      </c>
      <c r="D17" s="242"/>
      <c r="E17" s="246" t="s">
        <v>222</v>
      </c>
      <c r="F17" s="246" t="s">
        <v>244</v>
      </c>
      <c r="G17" s="248"/>
      <c r="H17" s="248"/>
      <c r="I17" s="248"/>
      <c r="J17" s="249"/>
      <c r="K17" s="187">
        <v>1000</v>
      </c>
      <c r="L17" s="72" t="s">
        <v>269</v>
      </c>
      <c r="M17" s="250">
        <f>65</f>
        <v>65</v>
      </c>
      <c r="N17" s="251"/>
      <c r="O17" s="248"/>
      <c r="P17" s="248"/>
      <c r="Q17" s="248"/>
      <c r="R17" s="248"/>
      <c r="S17" s="248"/>
      <c r="T17" s="248"/>
      <c r="U17" s="248"/>
      <c r="V17" s="248"/>
      <c r="W17" s="252" t="s">
        <v>50</v>
      </c>
      <c r="X17" s="252"/>
      <c r="Y17" s="251"/>
      <c r="Z17" s="248"/>
      <c r="AA17" s="248"/>
      <c r="AB17" s="248"/>
      <c r="AC17" s="248"/>
      <c r="AD17" s="242"/>
      <c r="AE17" s="242"/>
    </row>
    <row r="18" spans="1:31" ht="14.45" customHeight="1" x14ac:dyDescent="0.2">
      <c r="A18" s="72" t="s">
        <v>45</v>
      </c>
      <c r="C18" s="72" t="s">
        <v>57</v>
      </c>
      <c r="D18" s="72"/>
      <c r="E18" s="185" t="s">
        <v>222</v>
      </c>
      <c r="F18" s="186"/>
      <c r="H18" s="72" t="s">
        <v>62</v>
      </c>
      <c r="K18" s="187">
        <v>1000</v>
      </c>
      <c r="L18" s="72" t="s">
        <v>269</v>
      </c>
      <c r="M18" s="185">
        <f>(100*365)/1000</f>
        <v>36.5</v>
      </c>
      <c r="N18" s="192"/>
      <c r="O18" s="123"/>
      <c r="Q18" s="195"/>
      <c r="W18" s="196" t="s">
        <v>63</v>
      </c>
      <c r="X18" s="190" t="s">
        <v>64</v>
      </c>
      <c r="Y18" s="194"/>
    </row>
    <row r="19" spans="1:31" ht="14.45" customHeight="1" x14ac:dyDescent="0.2">
      <c r="A19" s="72" t="s">
        <v>45</v>
      </c>
      <c r="C19" s="72" t="s">
        <v>57</v>
      </c>
      <c r="D19" s="72"/>
      <c r="E19" s="185" t="s">
        <v>222</v>
      </c>
      <c r="F19" s="186"/>
      <c r="H19" s="72" t="s">
        <v>62</v>
      </c>
      <c r="J19" s="187" t="s">
        <v>65</v>
      </c>
      <c r="K19" s="187">
        <v>1000</v>
      </c>
      <c r="L19" s="72" t="s">
        <v>269</v>
      </c>
      <c r="M19" s="185"/>
      <c r="N19" s="192"/>
      <c r="O19" s="123"/>
      <c r="W19" s="196"/>
      <c r="X19" s="190"/>
      <c r="Y19" s="194"/>
    </row>
    <row r="20" spans="1:31" x14ac:dyDescent="0.2">
      <c r="A20" s="72" t="s">
        <v>45</v>
      </c>
      <c r="C20" s="72" t="s">
        <v>57</v>
      </c>
      <c r="D20" s="72"/>
      <c r="E20" s="185" t="s">
        <v>222</v>
      </c>
      <c r="F20" s="186"/>
      <c r="H20" s="72" t="s">
        <v>66</v>
      </c>
      <c r="K20" s="187">
        <v>1000</v>
      </c>
      <c r="L20" s="72" t="s">
        <v>269</v>
      </c>
      <c r="M20" s="185">
        <f>105</f>
        <v>105</v>
      </c>
      <c r="N20" s="192"/>
      <c r="O20" s="123"/>
      <c r="W20" s="196" t="s">
        <v>67</v>
      </c>
      <c r="X20" s="193"/>
    </row>
    <row r="21" spans="1:31" ht="12.6" customHeight="1" x14ac:dyDescent="0.25">
      <c r="A21" s="72" t="s">
        <v>45</v>
      </c>
      <c r="C21" s="72" t="s">
        <v>57</v>
      </c>
      <c r="D21" s="72"/>
      <c r="E21" s="185" t="s">
        <v>222</v>
      </c>
      <c r="F21" s="186"/>
      <c r="H21" s="72" t="s">
        <v>68</v>
      </c>
      <c r="K21" s="187">
        <v>1000</v>
      </c>
      <c r="L21" s="72" t="s">
        <v>269</v>
      </c>
      <c r="M21" s="185">
        <v>36</v>
      </c>
      <c r="N21" s="188"/>
      <c r="O21" s="123"/>
      <c r="W21" s="198" t="s">
        <v>69</v>
      </c>
      <c r="X21" s="193"/>
      <c r="Y21" s="194"/>
    </row>
    <row r="22" spans="1:31" x14ac:dyDescent="0.2">
      <c r="A22" s="72" t="s">
        <v>45</v>
      </c>
      <c r="C22" s="72" t="s">
        <v>57</v>
      </c>
      <c r="D22" s="72"/>
      <c r="E22" s="185" t="s">
        <v>222</v>
      </c>
      <c r="F22" s="186"/>
      <c r="H22" s="72" t="s">
        <v>68</v>
      </c>
      <c r="J22" s="199" t="s">
        <v>70</v>
      </c>
      <c r="K22" s="187">
        <v>1000</v>
      </c>
      <c r="L22" s="72" t="s">
        <v>269</v>
      </c>
      <c r="M22" s="185"/>
      <c r="N22" s="200"/>
      <c r="O22" s="124"/>
      <c r="W22" s="196"/>
      <c r="X22" s="193"/>
      <c r="Y22" s="194"/>
    </row>
    <row r="23" spans="1:31" s="262" customFormat="1" ht="14.45" customHeight="1" x14ac:dyDescent="0.2">
      <c r="A23" s="72" t="s">
        <v>45</v>
      </c>
      <c r="B23" s="184"/>
      <c r="C23" s="72" t="s">
        <v>57</v>
      </c>
      <c r="D23" s="72"/>
      <c r="E23" s="185" t="s">
        <v>222</v>
      </c>
      <c r="F23" s="186"/>
      <c r="G23" s="184"/>
      <c r="H23" s="72" t="s">
        <v>71</v>
      </c>
      <c r="I23" s="184"/>
      <c r="J23" s="187"/>
      <c r="K23" s="187">
        <v>1000</v>
      </c>
      <c r="L23" s="72" t="s">
        <v>269</v>
      </c>
      <c r="M23" s="185">
        <f>(365*500)/1000</f>
        <v>182.5</v>
      </c>
      <c r="N23" s="200"/>
      <c r="O23" s="245">
        <v>0.45</v>
      </c>
      <c r="P23" s="184"/>
      <c r="Q23" s="184"/>
      <c r="R23" s="184"/>
      <c r="S23" s="184"/>
      <c r="T23" s="184"/>
      <c r="U23" s="184"/>
      <c r="V23" s="184"/>
      <c r="W23" s="196" t="s">
        <v>72</v>
      </c>
      <c r="X23" s="193" t="s">
        <v>73</v>
      </c>
      <c r="Y23" s="194"/>
      <c r="Z23" s="184"/>
      <c r="AA23" s="184"/>
      <c r="AB23" s="184"/>
      <c r="AC23" s="184"/>
      <c r="AD23" s="184"/>
      <c r="AE23" s="184"/>
    </row>
    <row r="24" spans="1:31" ht="12.6" customHeight="1" x14ac:dyDescent="0.2">
      <c r="A24" s="72" t="s">
        <v>45</v>
      </c>
      <c r="C24" s="72" t="s">
        <v>57</v>
      </c>
      <c r="D24" s="72"/>
      <c r="E24" s="185" t="s">
        <v>222</v>
      </c>
      <c r="F24" s="72" t="s">
        <v>80</v>
      </c>
      <c r="K24" s="187">
        <v>1000</v>
      </c>
      <c r="L24" s="72" t="s">
        <v>269</v>
      </c>
      <c r="M24" s="205">
        <f>7</f>
        <v>7</v>
      </c>
      <c r="N24" s="206"/>
      <c r="O24" s="201"/>
      <c r="W24" s="207" t="s">
        <v>81</v>
      </c>
      <c r="Y24" s="189"/>
    </row>
    <row r="25" spans="1:31" x14ac:dyDescent="0.2">
      <c r="A25" s="72" t="s">
        <v>45</v>
      </c>
      <c r="C25" s="72" t="s">
        <v>57</v>
      </c>
      <c r="D25" s="72"/>
      <c r="E25" s="185" t="s">
        <v>222</v>
      </c>
      <c r="F25" s="72" t="s">
        <v>82</v>
      </c>
      <c r="K25" s="187">
        <v>1000</v>
      </c>
      <c r="L25" s="72" t="s">
        <v>269</v>
      </c>
      <c r="M25" s="208">
        <f>3</f>
        <v>3</v>
      </c>
      <c r="N25" s="209"/>
      <c r="O25" s="201"/>
      <c r="W25" s="202" t="s">
        <v>81</v>
      </c>
      <c r="Y25" s="189"/>
    </row>
    <row r="26" spans="1:31" x14ac:dyDescent="0.2">
      <c r="A26" s="72" t="s">
        <v>45</v>
      </c>
      <c r="C26" s="72" t="s">
        <v>57</v>
      </c>
      <c r="D26" s="72"/>
      <c r="E26" s="185" t="s">
        <v>222</v>
      </c>
      <c r="F26" s="72" t="s">
        <v>83</v>
      </c>
      <c r="K26" s="187">
        <v>1000</v>
      </c>
      <c r="L26" s="72" t="s">
        <v>269</v>
      </c>
      <c r="M26" s="210">
        <f>0</f>
        <v>0</v>
      </c>
      <c r="N26" s="209"/>
      <c r="O26" s="201"/>
      <c r="W26" s="202" t="s">
        <v>50</v>
      </c>
      <c r="Y26" s="189"/>
    </row>
    <row r="27" spans="1:31" ht="12.6" customHeight="1" x14ac:dyDescent="0.25">
      <c r="A27" s="72" t="s">
        <v>45</v>
      </c>
      <c r="C27" s="72" t="s">
        <v>57</v>
      </c>
      <c r="D27" s="72"/>
      <c r="E27" s="185" t="s">
        <v>222</v>
      </c>
      <c r="F27" s="72" t="s">
        <v>84</v>
      </c>
      <c r="K27" s="187">
        <v>1000</v>
      </c>
      <c r="L27" s="72" t="s">
        <v>269</v>
      </c>
      <c r="M27" s="273">
        <f>17000/(1000*1.102)</f>
        <v>15.426497277676951</v>
      </c>
      <c r="N27" s="209"/>
      <c r="O27" s="201"/>
      <c r="W27" s="203" t="s">
        <v>250</v>
      </c>
      <c r="X27" s="184" t="s">
        <v>240</v>
      </c>
      <c r="Y27" s="189"/>
    </row>
    <row r="28" spans="1:31" ht="12.6" customHeight="1" x14ac:dyDescent="0.25">
      <c r="A28" s="72" t="s">
        <v>45</v>
      </c>
      <c r="C28" s="72" t="s">
        <v>57</v>
      </c>
      <c r="D28" s="72"/>
      <c r="E28" s="185" t="s">
        <v>222</v>
      </c>
      <c r="F28" s="72" t="s">
        <v>85</v>
      </c>
      <c r="K28" s="187">
        <v>1000</v>
      </c>
      <c r="L28" s="72" t="s">
        <v>269</v>
      </c>
      <c r="M28" s="185">
        <f>2</f>
        <v>2</v>
      </c>
      <c r="N28" s="209"/>
      <c r="O28" s="201"/>
      <c r="W28" s="203" t="s">
        <v>258</v>
      </c>
      <c r="X28" s="212"/>
      <c r="Y28" s="189" t="s">
        <v>87</v>
      </c>
    </row>
    <row r="29" spans="1:31" x14ac:dyDescent="0.2">
      <c r="A29" s="72" t="s">
        <v>45</v>
      </c>
      <c r="C29" s="72" t="s">
        <v>57</v>
      </c>
      <c r="D29" s="72"/>
      <c r="E29" s="185" t="s">
        <v>222</v>
      </c>
      <c r="F29" s="72" t="s">
        <v>88</v>
      </c>
      <c r="K29" s="187">
        <v>1000</v>
      </c>
      <c r="L29" s="72" t="s">
        <v>269</v>
      </c>
      <c r="M29" s="210">
        <f>0</f>
        <v>0</v>
      </c>
      <c r="N29" s="209"/>
      <c r="O29" s="201"/>
      <c r="W29" s="202" t="s">
        <v>50</v>
      </c>
      <c r="Y29" s="189"/>
    </row>
    <row r="30" spans="1:31" x14ac:dyDescent="0.2">
      <c r="A30" s="72" t="s">
        <v>45</v>
      </c>
      <c r="C30" s="72" t="s">
        <v>57</v>
      </c>
      <c r="D30" s="72"/>
      <c r="E30" s="185" t="s">
        <v>222</v>
      </c>
      <c r="F30" s="72" t="s">
        <v>89</v>
      </c>
      <c r="K30" s="187">
        <v>1000</v>
      </c>
      <c r="L30" s="72" t="s">
        <v>269</v>
      </c>
      <c r="M30" s="208">
        <f>41</f>
        <v>41</v>
      </c>
      <c r="N30" s="209"/>
      <c r="O30" s="201"/>
      <c r="W30" s="73" t="s">
        <v>81</v>
      </c>
      <c r="Y30" s="213" t="s">
        <v>90</v>
      </c>
      <c r="Z30" s="214" t="s">
        <v>91</v>
      </c>
    </row>
    <row r="31" spans="1:31" x14ac:dyDescent="0.2">
      <c r="A31" s="72" t="s">
        <v>45</v>
      </c>
      <c r="C31" s="72" t="s">
        <v>57</v>
      </c>
      <c r="D31" s="72"/>
      <c r="E31" s="185" t="s">
        <v>222</v>
      </c>
      <c r="F31" s="72" t="s">
        <v>92</v>
      </c>
      <c r="K31" s="187">
        <v>1000</v>
      </c>
      <c r="L31" s="72" t="s">
        <v>269</v>
      </c>
      <c r="M31" s="208">
        <f>15</f>
        <v>15</v>
      </c>
      <c r="N31" s="209"/>
      <c r="O31" s="201"/>
      <c r="W31" s="202" t="s">
        <v>81</v>
      </c>
      <c r="Y31" s="189"/>
    </row>
    <row r="32" spans="1:31" ht="12.6" customHeight="1" x14ac:dyDescent="0.25">
      <c r="A32" s="261" t="s">
        <v>45</v>
      </c>
      <c r="B32" s="262"/>
      <c r="C32" s="263" t="s">
        <v>57</v>
      </c>
      <c r="D32" s="261"/>
      <c r="E32" s="310" t="s">
        <v>198</v>
      </c>
      <c r="F32" s="264"/>
      <c r="G32" s="262"/>
      <c r="H32" s="265"/>
      <c r="I32" s="262"/>
      <c r="J32" s="266"/>
      <c r="K32" s="187">
        <v>1000</v>
      </c>
      <c r="L32" s="72" t="s">
        <v>269</v>
      </c>
      <c r="M32" s="267">
        <f>235</f>
        <v>235</v>
      </c>
      <c r="N32" s="268"/>
      <c r="O32" s="269"/>
      <c r="P32" s="262"/>
      <c r="Q32" s="262"/>
      <c r="R32" s="262"/>
      <c r="S32" s="262"/>
      <c r="T32" s="262"/>
      <c r="U32" s="262"/>
      <c r="V32" s="262"/>
      <c r="W32" s="270" t="s">
        <v>247</v>
      </c>
      <c r="X32" s="271"/>
      <c r="Y32" s="272" t="s">
        <v>53</v>
      </c>
      <c r="Z32" s="262" t="s">
        <v>117</v>
      </c>
      <c r="AA32" s="262"/>
      <c r="AB32" s="262"/>
      <c r="AC32" s="262"/>
      <c r="AD32" s="262"/>
      <c r="AE32" s="262"/>
    </row>
    <row r="33" spans="1:25" x14ac:dyDescent="0.2">
      <c r="A33" s="72" t="s">
        <v>45</v>
      </c>
      <c r="C33" s="215" t="s">
        <v>57</v>
      </c>
      <c r="D33" s="72"/>
      <c r="E33" s="185" t="s">
        <v>198</v>
      </c>
      <c r="F33" s="72"/>
      <c r="H33" s="72" t="s">
        <v>93</v>
      </c>
      <c r="I33" s="72"/>
      <c r="K33" s="187">
        <v>1000</v>
      </c>
      <c r="L33" s="72" t="s">
        <v>269</v>
      </c>
      <c r="M33" s="70">
        <f>(120/1000 )*365</f>
        <v>43.8</v>
      </c>
      <c r="O33" s="201">
        <v>0.1</v>
      </c>
      <c r="W33" s="202" t="s">
        <v>246</v>
      </c>
      <c r="X33" s="190" t="s">
        <v>95</v>
      </c>
      <c r="Y33" s="207" t="s">
        <v>94</v>
      </c>
    </row>
    <row r="34" spans="1:25" x14ac:dyDescent="0.2">
      <c r="A34" s="72" t="s">
        <v>45</v>
      </c>
      <c r="C34" s="215" t="s">
        <v>57</v>
      </c>
      <c r="D34" s="72"/>
      <c r="E34" s="185" t="s">
        <v>198</v>
      </c>
      <c r="F34" s="72"/>
      <c r="H34" s="72" t="s">
        <v>93</v>
      </c>
      <c r="I34" s="72"/>
      <c r="J34" s="187" t="s">
        <v>96</v>
      </c>
      <c r="K34" s="187">
        <v>1000</v>
      </c>
      <c r="L34" s="72" t="s">
        <v>269</v>
      </c>
      <c r="M34" s="185"/>
      <c r="O34" s="201"/>
      <c r="W34" s="207"/>
      <c r="X34" s="190"/>
      <c r="Y34" s="189"/>
    </row>
    <row r="35" spans="1:25" x14ac:dyDescent="0.2">
      <c r="A35" s="72" t="s">
        <v>45</v>
      </c>
      <c r="C35" s="215" t="s">
        <v>57</v>
      </c>
      <c r="D35" s="72"/>
      <c r="E35" s="185" t="s">
        <v>198</v>
      </c>
      <c r="F35" s="72"/>
      <c r="H35" s="72" t="s">
        <v>93</v>
      </c>
      <c r="I35" s="72"/>
      <c r="J35" s="187" t="s">
        <v>97</v>
      </c>
      <c r="K35" s="187">
        <v>1000</v>
      </c>
      <c r="L35" s="72" t="s">
        <v>269</v>
      </c>
      <c r="M35" s="185"/>
      <c r="O35" s="201"/>
      <c r="W35" s="207"/>
      <c r="X35" s="190"/>
      <c r="Y35" s="189"/>
    </row>
    <row r="36" spans="1:25" x14ac:dyDescent="0.2">
      <c r="A36" s="72" t="s">
        <v>45</v>
      </c>
      <c r="C36" s="215" t="s">
        <v>57</v>
      </c>
      <c r="D36" s="72"/>
      <c r="E36" s="185" t="s">
        <v>198</v>
      </c>
      <c r="F36" s="72"/>
      <c r="H36" s="72" t="s">
        <v>93</v>
      </c>
      <c r="I36" s="72"/>
      <c r="J36" s="187" t="s">
        <v>98</v>
      </c>
      <c r="K36" s="187">
        <v>1000</v>
      </c>
      <c r="L36" s="72" t="s">
        <v>269</v>
      </c>
      <c r="M36" s="185"/>
      <c r="O36" s="201"/>
      <c r="W36" s="207"/>
      <c r="X36" s="190"/>
      <c r="Y36" s="189"/>
    </row>
    <row r="37" spans="1:25" x14ac:dyDescent="0.2">
      <c r="A37" s="72" t="s">
        <v>45</v>
      </c>
      <c r="C37" s="215" t="s">
        <v>57</v>
      </c>
      <c r="D37" s="72"/>
      <c r="E37" s="185" t="s">
        <v>198</v>
      </c>
      <c r="F37" s="72"/>
      <c r="H37" s="72" t="s">
        <v>93</v>
      </c>
      <c r="I37" s="72"/>
      <c r="J37" s="197" t="s">
        <v>99</v>
      </c>
      <c r="K37" s="187">
        <v>1000</v>
      </c>
      <c r="L37" s="72" t="s">
        <v>269</v>
      </c>
      <c r="M37" s="185"/>
      <c r="O37" s="201"/>
      <c r="W37" s="207"/>
      <c r="X37" s="190"/>
      <c r="Y37" s="189"/>
    </row>
    <row r="38" spans="1:25" x14ac:dyDescent="0.2">
      <c r="A38" s="72" t="s">
        <v>45</v>
      </c>
      <c r="C38" s="215" t="s">
        <v>57</v>
      </c>
      <c r="D38" s="72"/>
      <c r="E38" s="185" t="s">
        <v>198</v>
      </c>
      <c r="F38" s="72"/>
      <c r="H38" s="72" t="s">
        <v>100</v>
      </c>
      <c r="I38" s="72"/>
      <c r="K38" s="187">
        <v>1000</v>
      </c>
      <c r="L38" s="72" t="s">
        <v>269</v>
      </c>
      <c r="M38" s="216">
        <f>(365*120)/1000</f>
        <v>43.8</v>
      </c>
      <c r="O38" s="201"/>
      <c r="W38" s="207" t="s">
        <v>101</v>
      </c>
      <c r="X38" s="190" t="s">
        <v>102</v>
      </c>
      <c r="Y38" s="189"/>
    </row>
    <row r="39" spans="1:25" x14ac:dyDescent="0.2">
      <c r="A39" s="72" t="s">
        <v>45</v>
      </c>
      <c r="C39" s="215" t="s">
        <v>57</v>
      </c>
      <c r="D39" s="72"/>
      <c r="E39" s="185" t="s">
        <v>198</v>
      </c>
      <c r="F39" s="72"/>
      <c r="H39" s="72" t="s">
        <v>103</v>
      </c>
      <c r="I39" s="72"/>
      <c r="K39" s="187">
        <v>1000</v>
      </c>
      <c r="L39" s="72" t="s">
        <v>269</v>
      </c>
      <c r="M39" s="216">
        <f>(365*50)/1000</f>
        <v>18.25</v>
      </c>
      <c r="O39" s="201"/>
      <c r="W39" s="207" t="s">
        <v>101</v>
      </c>
      <c r="X39" s="190" t="s">
        <v>102</v>
      </c>
      <c r="Y39" s="189"/>
    </row>
    <row r="40" spans="1:25" x14ac:dyDescent="0.2">
      <c r="A40" s="72" t="s">
        <v>45</v>
      </c>
      <c r="C40" s="215" t="s">
        <v>57</v>
      </c>
      <c r="D40" s="72"/>
      <c r="E40" s="185" t="s">
        <v>198</v>
      </c>
      <c r="F40" s="72"/>
      <c r="H40" s="72" t="s">
        <v>104</v>
      </c>
      <c r="I40" s="72"/>
      <c r="K40" s="187">
        <v>1000</v>
      </c>
      <c r="L40" s="72" t="s">
        <v>269</v>
      </c>
      <c r="M40" s="216">
        <f>(365*60)/1000</f>
        <v>21.9</v>
      </c>
      <c r="O40" s="201"/>
      <c r="W40" s="207" t="s">
        <v>105</v>
      </c>
      <c r="X40" s="190" t="s">
        <v>102</v>
      </c>
      <c r="Y40" s="189"/>
    </row>
    <row r="41" spans="1:25" x14ac:dyDescent="0.2">
      <c r="A41" s="72" t="s">
        <v>45</v>
      </c>
      <c r="C41" s="215" t="s">
        <v>57</v>
      </c>
      <c r="D41" s="72"/>
      <c r="E41" s="185" t="s">
        <v>198</v>
      </c>
      <c r="F41" s="72"/>
      <c r="H41" s="72" t="s">
        <v>106</v>
      </c>
      <c r="I41" s="72"/>
      <c r="K41" s="187">
        <v>1000</v>
      </c>
      <c r="L41" s="72" t="s">
        <v>269</v>
      </c>
      <c r="M41" s="216">
        <f>(365*150)/1000</f>
        <v>54.75</v>
      </c>
      <c r="O41" s="201">
        <v>0.1</v>
      </c>
      <c r="W41" s="202" t="s">
        <v>246</v>
      </c>
      <c r="X41" s="190" t="s">
        <v>108</v>
      </c>
      <c r="Y41" s="207" t="s">
        <v>107</v>
      </c>
    </row>
    <row r="42" spans="1:25" x14ac:dyDescent="0.2">
      <c r="A42" s="72" t="s">
        <v>45</v>
      </c>
      <c r="C42" s="215" t="s">
        <v>57</v>
      </c>
      <c r="D42" s="72"/>
      <c r="E42" s="185" t="s">
        <v>198</v>
      </c>
      <c r="F42" s="72"/>
      <c r="H42" s="72" t="s">
        <v>106</v>
      </c>
      <c r="I42" s="72"/>
      <c r="J42" s="187" t="s">
        <v>109</v>
      </c>
      <c r="K42" s="187">
        <v>1000</v>
      </c>
      <c r="L42" s="72" t="s">
        <v>269</v>
      </c>
      <c r="M42" s="216"/>
      <c r="O42" s="201"/>
      <c r="W42" s="207"/>
      <c r="X42" s="190"/>
      <c r="Y42" s="189"/>
    </row>
    <row r="43" spans="1:25" x14ac:dyDescent="0.2">
      <c r="A43" s="72" t="s">
        <v>45</v>
      </c>
      <c r="C43" s="215" t="s">
        <v>57</v>
      </c>
      <c r="D43" s="72"/>
      <c r="E43" s="185" t="s">
        <v>198</v>
      </c>
      <c r="F43" s="72"/>
      <c r="H43" s="72" t="s">
        <v>106</v>
      </c>
      <c r="I43" s="72"/>
      <c r="J43" s="187" t="s">
        <v>110</v>
      </c>
      <c r="K43" s="187">
        <v>1000</v>
      </c>
      <c r="L43" s="72" t="s">
        <v>269</v>
      </c>
      <c r="M43" s="216"/>
      <c r="O43" s="201"/>
      <c r="W43" s="207"/>
      <c r="X43" s="190"/>
      <c r="Y43" s="189"/>
    </row>
    <row r="44" spans="1:25" x14ac:dyDescent="0.2">
      <c r="A44" s="72" t="s">
        <v>45</v>
      </c>
      <c r="C44" s="215" t="s">
        <v>57</v>
      </c>
      <c r="D44" s="72"/>
      <c r="E44" s="185" t="s">
        <v>198</v>
      </c>
      <c r="F44" s="72"/>
      <c r="H44" s="72" t="s">
        <v>106</v>
      </c>
      <c r="I44" s="72"/>
      <c r="J44" s="187" t="s">
        <v>111</v>
      </c>
      <c r="K44" s="187">
        <v>1000</v>
      </c>
      <c r="L44" s="72" t="s">
        <v>269</v>
      </c>
      <c r="M44" s="216"/>
      <c r="O44" s="201"/>
      <c r="W44" s="207"/>
      <c r="X44" s="190"/>
      <c r="Y44" s="189"/>
    </row>
    <row r="45" spans="1:25" x14ac:dyDescent="0.2">
      <c r="A45" s="72" t="s">
        <v>45</v>
      </c>
      <c r="C45" s="215" t="s">
        <v>57</v>
      </c>
      <c r="D45" s="72"/>
      <c r="E45" s="185" t="s">
        <v>198</v>
      </c>
      <c r="F45" s="72"/>
      <c r="H45" s="72" t="s">
        <v>106</v>
      </c>
      <c r="I45" s="72"/>
      <c r="J45" s="187" t="s">
        <v>112</v>
      </c>
      <c r="K45" s="187">
        <v>1000</v>
      </c>
      <c r="L45" s="72" t="s">
        <v>269</v>
      </c>
      <c r="M45" s="216"/>
      <c r="O45" s="201"/>
      <c r="W45" s="207"/>
      <c r="X45" s="190"/>
      <c r="Y45" s="189"/>
    </row>
    <row r="46" spans="1:25" x14ac:dyDescent="0.2">
      <c r="A46" s="72" t="s">
        <v>45</v>
      </c>
      <c r="C46" s="215" t="s">
        <v>57</v>
      </c>
      <c r="D46" s="72"/>
      <c r="E46" s="185" t="s">
        <v>198</v>
      </c>
      <c r="F46" s="72"/>
      <c r="H46" s="72" t="s">
        <v>106</v>
      </c>
      <c r="I46" s="72"/>
      <c r="J46" s="187" t="s">
        <v>113</v>
      </c>
      <c r="K46" s="187">
        <v>1000</v>
      </c>
      <c r="L46" s="72" t="s">
        <v>269</v>
      </c>
      <c r="M46" s="216"/>
      <c r="O46" s="201"/>
      <c r="W46" s="207"/>
      <c r="X46" s="190"/>
      <c r="Y46" s="189"/>
    </row>
    <row r="47" spans="1:25" x14ac:dyDescent="0.2">
      <c r="A47" s="72" t="s">
        <v>45</v>
      </c>
      <c r="C47" s="215" t="s">
        <v>57</v>
      </c>
      <c r="D47" s="72"/>
      <c r="E47" s="185" t="s">
        <v>198</v>
      </c>
      <c r="F47" s="72"/>
      <c r="H47" s="72" t="s">
        <v>114</v>
      </c>
      <c r="I47" s="72"/>
      <c r="J47" s="187" t="s">
        <v>118</v>
      </c>
      <c r="K47" s="187">
        <v>1000</v>
      </c>
      <c r="L47" s="72" t="s">
        <v>269</v>
      </c>
      <c r="M47" s="216"/>
      <c r="O47" s="201"/>
      <c r="W47" s="207"/>
      <c r="X47" s="217"/>
      <c r="Y47" s="213"/>
    </row>
    <row r="48" spans="1:25" x14ac:dyDescent="0.2">
      <c r="A48" s="72" t="s">
        <v>45</v>
      </c>
      <c r="C48" s="215" t="s">
        <v>57</v>
      </c>
      <c r="D48" s="72"/>
      <c r="E48" s="185" t="s">
        <v>198</v>
      </c>
      <c r="F48" s="72"/>
      <c r="H48" s="72" t="s">
        <v>114</v>
      </c>
      <c r="I48" s="72"/>
      <c r="J48" s="187" t="s">
        <v>119</v>
      </c>
      <c r="K48" s="187">
        <v>1000</v>
      </c>
      <c r="L48" s="72" t="s">
        <v>269</v>
      </c>
      <c r="M48" s="216"/>
      <c r="O48" s="201"/>
      <c r="W48" s="207"/>
      <c r="X48" s="217"/>
      <c r="Y48" s="213"/>
    </row>
    <row r="49" spans="1:31" x14ac:dyDescent="0.2">
      <c r="A49" s="72" t="s">
        <v>45</v>
      </c>
      <c r="C49" s="215" t="s">
        <v>57</v>
      </c>
      <c r="D49" s="72"/>
      <c r="E49" s="185" t="s">
        <v>198</v>
      </c>
      <c r="F49" s="72"/>
      <c r="H49" s="72" t="s">
        <v>114</v>
      </c>
      <c r="I49" s="72"/>
      <c r="J49" s="187" t="s">
        <v>120</v>
      </c>
      <c r="K49" s="187">
        <v>1000</v>
      </c>
      <c r="L49" s="72" t="s">
        <v>269</v>
      </c>
      <c r="M49" s="216"/>
      <c r="O49" s="201"/>
      <c r="W49" s="207"/>
      <c r="X49" s="217"/>
      <c r="Y49" s="213"/>
    </row>
    <row r="50" spans="1:31" s="223" customFormat="1" ht="14.45" customHeight="1" x14ac:dyDescent="0.2">
      <c r="A50" s="72" t="s">
        <v>45</v>
      </c>
      <c r="B50" s="184"/>
      <c r="C50" s="215" t="s">
        <v>57</v>
      </c>
      <c r="D50" s="72"/>
      <c r="E50" s="185" t="s">
        <v>198</v>
      </c>
      <c r="F50" s="72"/>
      <c r="G50" s="184"/>
      <c r="H50" s="72" t="s">
        <v>114</v>
      </c>
      <c r="I50" s="72"/>
      <c r="J50" s="187" t="s">
        <v>121</v>
      </c>
      <c r="K50" s="187">
        <v>1000</v>
      </c>
      <c r="L50" s="72" t="s">
        <v>269</v>
      </c>
      <c r="M50" s="216"/>
      <c r="N50" s="197"/>
      <c r="O50" s="201"/>
      <c r="P50" s="184"/>
      <c r="Q50" s="184"/>
      <c r="R50" s="184"/>
      <c r="S50" s="184"/>
      <c r="T50" s="184"/>
      <c r="U50" s="184"/>
      <c r="V50" s="184"/>
      <c r="W50" s="207"/>
      <c r="X50" s="217"/>
      <c r="Y50" s="213"/>
      <c r="Z50" s="184"/>
      <c r="AA50" s="184"/>
      <c r="AB50" s="184"/>
      <c r="AC50" s="184"/>
      <c r="AD50" s="184"/>
      <c r="AE50" s="184"/>
    </row>
    <row r="51" spans="1:31" ht="9.9499999999999993" customHeight="1" x14ac:dyDescent="0.2">
      <c r="A51" s="72" t="s">
        <v>45</v>
      </c>
      <c r="C51" s="215" t="s">
        <v>57</v>
      </c>
      <c r="D51" s="72"/>
      <c r="E51" s="185" t="s">
        <v>198</v>
      </c>
      <c r="F51" s="72"/>
      <c r="H51" s="72" t="s">
        <v>114</v>
      </c>
      <c r="I51" s="72"/>
      <c r="J51" s="187" t="s">
        <v>122</v>
      </c>
      <c r="K51" s="187">
        <v>1000</v>
      </c>
      <c r="L51" s="72" t="s">
        <v>269</v>
      </c>
      <c r="M51" s="216"/>
      <c r="O51" s="201"/>
      <c r="W51" s="207"/>
      <c r="X51" s="217"/>
      <c r="Y51" s="213"/>
    </row>
    <row r="52" spans="1:31" x14ac:dyDescent="0.2">
      <c r="A52" s="72" t="s">
        <v>45</v>
      </c>
      <c r="C52" s="215" t="s">
        <v>57</v>
      </c>
      <c r="D52" s="72"/>
      <c r="E52" s="185" t="s">
        <v>198</v>
      </c>
      <c r="F52" s="72"/>
      <c r="H52" s="72" t="s">
        <v>123</v>
      </c>
      <c r="I52" s="72"/>
      <c r="K52" s="187">
        <v>1000</v>
      </c>
      <c r="L52" s="72" t="s">
        <v>269</v>
      </c>
      <c r="M52" s="216"/>
      <c r="O52" s="201"/>
      <c r="W52" s="207"/>
      <c r="X52" s="190"/>
      <c r="Y52" s="189"/>
    </row>
    <row r="53" spans="1:31" x14ac:dyDescent="0.2">
      <c r="A53" s="72" t="s">
        <v>45</v>
      </c>
      <c r="C53" s="215" t="s">
        <v>57</v>
      </c>
      <c r="D53" s="72"/>
      <c r="E53" s="185" t="s">
        <v>198</v>
      </c>
      <c r="F53" s="72"/>
      <c r="H53" s="72" t="s">
        <v>124</v>
      </c>
      <c r="I53" s="72"/>
      <c r="K53" s="187">
        <v>1000</v>
      </c>
      <c r="L53" s="72" t="s">
        <v>269</v>
      </c>
      <c r="M53" s="216">
        <f>365*0.072</f>
        <v>26.279999999999998</v>
      </c>
      <c r="O53" s="201">
        <v>0.05</v>
      </c>
      <c r="W53" s="202" t="s">
        <v>246</v>
      </c>
      <c r="X53" s="190" t="s">
        <v>125</v>
      </c>
      <c r="Y53" s="213" t="s">
        <v>126</v>
      </c>
    </row>
    <row r="54" spans="1:31" x14ac:dyDescent="0.2">
      <c r="A54" s="72" t="s">
        <v>45</v>
      </c>
      <c r="C54" s="215" t="s">
        <v>57</v>
      </c>
      <c r="D54" s="72"/>
      <c r="E54" s="185" t="s">
        <v>198</v>
      </c>
      <c r="F54" s="72"/>
      <c r="H54" s="72" t="s">
        <v>127</v>
      </c>
      <c r="I54" s="72"/>
      <c r="K54" s="187">
        <v>1000</v>
      </c>
      <c r="L54" s="72" t="s">
        <v>269</v>
      </c>
      <c r="M54" s="216"/>
      <c r="O54" s="201"/>
      <c r="W54" s="202"/>
      <c r="X54" s="190"/>
      <c r="Y54" s="189"/>
    </row>
    <row r="55" spans="1:31" x14ac:dyDescent="0.2">
      <c r="A55" s="72" t="s">
        <v>45</v>
      </c>
      <c r="C55" s="215" t="s">
        <v>57</v>
      </c>
      <c r="D55" s="72"/>
      <c r="E55" s="185" t="s">
        <v>198</v>
      </c>
      <c r="F55" s="72"/>
      <c r="H55" s="72" t="s">
        <v>128</v>
      </c>
      <c r="I55" s="72"/>
      <c r="K55" s="187">
        <v>1000</v>
      </c>
      <c r="L55" s="72" t="s">
        <v>269</v>
      </c>
      <c r="M55" s="216"/>
      <c r="O55" s="201"/>
      <c r="W55" s="207"/>
      <c r="X55" s="190"/>
      <c r="Y55" s="189"/>
    </row>
    <row r="56" spans="1:31" x14ac:dyDescent="0.2">
      <c r="A56" s="72" t="s">
        <v>45</v>
      </c>
      <c r="C56" s="215" t="s">
        <v>57</v>
      </c>
      <c r="E56" s="185" t="s">
        <v>198</v>
      </c>
      <c r="F56" s="186"/>
      <c r="H56" s="72" t="s">
        <v>132</v>
      </c>
      <c r="I56" s="72"/>
      <c r="K56" s="187">
        <v>1000</v>
      </c>
      <c r="L56" s="72" t="s">
        <v>269</v>
      </c>
      <c r="M56" s="185">
        <f>(365*120*2)/1000</f>
        <v>87.6</v>
      </c>
      <c r="O56" s="201"/>
      <c r="W56" s="207" t="s">
        <v>133</v>
      </c>
      <c r="X56" s="190" t="s">
        <v>134</v>
      </c>
    </row>
    <row r="57" spans="1:31" ht="24.95" customHeight="1" x14ac:dyDescent="0.25">
      <c r="A57" s="218" t="s">
        <v>45</v>
      </c>
      <c r="B57" s="219"/>
      <c r="C57" s="220" t="s">
        <v>57</v>
      </c>
      <c r="D57" s="218"/>
      <c r="E57" s="221" t="s">
        <v>52</v>
      </c>
      <c r="F57" s="222"/>
      <c r="G57" s="223"/>
      <c r="H57" s="224"/>
      <c r="I57" s="223"/>
      <c r="J57" s="225"/>
      <c r="K57" s="187">
        <v>1000</v>
      </c>
      <c r="L57" s="72" t="s">
        <v>269</v>
      </c>
      <c r="M57" s="227">
        <v>450</v>
      </c>
      <c r="N57" s="228"/>
      <c r="O57" s="229"/>
      <c r="P57" s="223"/>
      <c r="Q57" s="223"/>
      <c r="R57" s="223"/>
      <c r="S57" s="223"/>
      <c r="T57" s="223"/>
      <c r="U57" s="223"/>
      <c r="V57" s="223"/>
      <c r="W57" s="230" t="s">
        <v>235</v>
      </c>
      <c r="X57" s="231"/>
      <c r="Y57" s="232"/>
      <c r="Z57" s="223"/>
      <c r="AA57" s="233"/>
      <c r="AB57" s="226"/>
      <c r="AC57" s="223"/>
      <c r="AD57" s="223"/>
      <c r="AE57" s="223"/>
    </row>
    <row r="58" spans="1:31" s="211" customFormat="1" ht="14.45" customHeight="1" x14ac:dyDescent="0.2">
      <c r="A58" s="72" t="s">
        <v>45</v>
      </c>
      <c r="B58" s="184"/>
      <c r="C58" s="234" t="s">
        <v>57</v>
      </c>
      <c r="D58" s="72"/>
      <c r="E58" s="185" t="s">
        <v>52</v>
      </c>
      <c r="F58" s="234"/>
      <c r="G58" s="184"/>
      <c r="H58" s="204" t="s">
        <v>142</v>
      </c>
      <c r="I58" s="184"/>
      <c r="J58" s="187"/>
      <c r="K58" s="187">
        <v>1000</v>
      </c>
      <c r="L58" s="72" t="s">
        <v>269</v>
      </c>
      <c r="M58" s="208">
        <f>(40000/1000*1.102)</f>
        <v>44.080000000000005</v>
      </c>
      <c r="N58" s="197"/>
      <c r="O58" s="201"/>
      <c r="P58" s="184"/>
      <c r="Q58" s="184"/>
      <c r="R58" s="184"/>
      <c r="S58" s="184"/>
      <c r="T58" s="184"/>
      <c r="U58" s="184"/>
      <c r="V58" s="184"/>
      <c r="W58" s="211" t="s">
        <v>143</v>
      </c>
      <c r="X58" s="190" t="s">
        <v>144</v>
      </c>
      <c r="Y58" s="189" t="s">
        <v>138</v>
      </c>
      <c r="Z58" s="184"/>
      <c r="AB58" s="72"/>
      <c r="AC58" s="184"/>
      <c r="AD58" s="184"/>
      <c r="AE58" s="184"/>
    </row>
    <row r="59" spans="1:31" s="253" customFormat="1" ht="15" x14ac:dyDescent="0.25">
      <c r="A59" s="72" t="s">
        <v>45</v>
      </c>
      <c r="B59" s="211"/>
      <c r="C59" s="234" t="s">
        <v>57</v>
      </c>
      <c r="D59" s="72"/>
      <c r="E59" s="185" t="s">
        <v>52</v>
      </c>
      <c r="F59" s="236" t="s">
        <v>148</v>
      </c>
      <c r="G59" s="211"/>
      <c r="H59" s="72"/>
      <c r="I59" s="211"/>
      <c r="J59" s="199"/>
      <c r="K59" s="187">
        <v>1000</v>
      </c>
      <c r="L59" s="72" t="s">
        <v>269</v>
      </c>
      <c r="M59" s="237">
        <f>190/1.102</f>
        <v>172.41379310344826</v>
      </c>
      <c r="N59" s="189"/>
      <c r="O59" s="238"/>
      <c r="P59" s="211"/>
      <c r="Q59" s="211"/>
      <c r="R59" s="211"/>
      <c r="S59" s="211"/>
      <c r="T59" s="211"/>
      <c r="U59" s="211"/>
      <c r="V59" s="211"/>
      <c r="W59" s="328" t="s">
        <v>266</v>
      </c>
      <c r="X59" s="211"/>
      <c r="Y59" s="189"/>
      <c r="Z59" s="211"/>
      <c r="AA59" s="211" t="s">
        <v>135</v>
      </c>
      <c r="AB59" s="72" t="s">
        <v>51</v>
      </c>
      <c r="AC59" s="211"/>
      <c r="AD59" s="211"/>
      <c r="AE59" s="211"/>
    </row>
    <row r="60" spans="1:31" ht="12.6" customHeight="1" x14ac:dyDescent="0.25">
      <c r="A60" s="239" t="s">
        <v>45</v>
      </c>
      <c r="B60" s="253"/>
      <c r="C60" s="254" t="s">
        <v>57</v>
      </c>
      <c r="D60" s="253"/>
      <c r="E60" s="239" t="s">
        <v>149</v>
      </c>
      <c r="F60" s="241"/>
      <c r="G60" s="253"/>
      <c r="H60" s="239"/>
      <c r="I60" s="253"/>
      <c r="J60" s="255"/>
      <c r="K60" s="187">
        <v>1000</v>
      </c>
      <c r="L60" s="72" t="s">
        <v>269</v>
      </c>
      <c r="M60" s="240">
        <v>2706</v>
      </c>
      <c r="N60" s="256"/>
      <c r="O60" s="257"/>
      <c r="P60" s="253"/>
      <c r="Q60" s="253"/>
      <c r="R60" s="253"/>
      <c r="S60" s="253"/>
      <c r="T60" s="253"/>
      <c r="U60" s="253"/>
      <c r="V60" s="253"/>
      <c r="W60" s="280" t="s">
        <v>255</v>
      </c>
      <c r="X60" s="243"/>
      <c r="Y60" s="258"/>
      <c r="Z60" s="253"/>
      <c r="AA60" s="253"/>
      <c r="AB60" s="253"/>
      <c r="AC60" s="253"/>
      <c r="AD60" s="253"/>
      <c r="AE60" s="253"/>
    </row>
    <row r="61" spans="1:31" s="59" customFormat="1" x14ac:dyDescent="0.2">
      <c r="A61" s="72" t="s">
        <v>45</v>
      </c>
      <c r="B61" s="184"/>
      <c r="C61" s="215" t="s">
        <v>57</v>
      </c>
      <c r="D61" s="184"/>
      <c r="E61" s="69" t="s">
        <v>149</v>
      </c>
      <c r="F61" s="69" t="s">
        <v>149</v>
      </c>
      <c r="G61" s="184"/>
      <c r="H61" s="72" t="s">
        <v>132</v>
      </c>
      <c r="I61" s="72"/>
      <c r="J61" s="187"/>
      <c r="K61" s="187">
        <v>1000</v>
      </c>
      <c r="L61" s="72" t="s">
        <v>269</v>
      </c>
      <c r="M61" s="185">
        <f>(365*120*2)/1000</f>
        <v>87.6</v>
      </c>
      <c r="N61" s="197"/>
      <c r="O61" s="201"/>
      <c r="P61" s="184"/>
      <c r="Q61" s="184"/>
      <c r="R61" s="184"/>
      <c r="S61" s="184"/>
      <c r="T61" s="184"/>
      <c r="U61" s="184"/>
      <c r="V61" s="184"/>
      <c r="W61" s="207" t="s">
        <v>133</v>
      </c>
      <c r="X61" s="190" t="s">
        <v>134</v>
      </c>
      <c r="Y61" s="197"/>
      <c r="Z61" s="184"/>
      <c r="AA61" s="184"/>
      <c r="AB61" s="184"/>
      <c r="AC61" s="184"/>
      <c r="AD61" s="184"/>
      <c r="AE61" s="184"/>
    </row>
    <row r="62" spans="1:31" s="59" customFormat="1" ht="12.75" customHeight="1" x14ac:dyDescent="0.2">
      <c r="A62" s="68" t="s">
        <v>45</v>
      </c>
      <c r="B62" s="68"/>
      <c r="C62" s="69" t="s">
        <v>57</v>
      </c>
      <c r="D62" s="68"/>
      <c r="E62" s="69" t="s">
        <v>149</v>
      </c>
      <c r="F62" s="69" t="s">
        <v>163</v>
      </c>
      <c r="G62" s="68"/>
      <c r="H62" s="69" t="s">
        <v>93</v>
      </c>
      <c r="I62" s="68"/>
      <c r="J62" s="68"/>
      <c r="K62" s="187">
        <v>1000</v>
      </c>
      <c r="L62" s="72" t="s">
        <v>269</v>
      </c>
      <c r="M62" s="69">
        <f>111690/1000</f>
        <v>111.69</v>
      </c>
      <c r="O62" s="63">
        <v>0.04</v>
      </c>
      <c r="P62" s="68"/>
      <c r="Q62" s="68"/>
      <c r="R62" s="68"/>
      <c r="S62" s="68"/>
      <c r="T62" s="68"/>
      <c r="U62" s="68"/>
      <c r="V62" s="68"/>
      <c r="W62" s="68" t="s">
        <v>150</v>
      </c>
      <c r="X62" s="68" t="s">
        <v>151</v>
      </c>
      <c r="Y62" s="74" t="s">
        <v>94</v>
      </c>
      <c r="Z62" s="75"/>
      <c r="AA62" s="75"/>
      <c r="AB62" s="75"/>
      <c r="AC62" s="75"/>
      <c r="AD62" s="68"/>
      <c r="AE62" s="68"/>
    </row>
    <row r="63" spans="1:31" s="59" customFormat="1" ht="12.75" customHeight="1" x14ac:dyDescent="0.2">
      <c r="A63" s="68" t="s">
        <v>45</v>
      </c>
      <c r="B63" s="68"/>
      <c r="C63" s="69" t="s">
        <v>57</v>
      </c>
      <c r="D63" s="68"/>
      <c r="E63" s="69" t="s">
        <v>149</v>
      </c>
      <c r="F63" s="69" t="s">
        <v>163</v>
      </c>
      <c r="G63" s="68"/>
      <c r="H63" s="69" t="s">
        <v>152</v>
      </c>
      <c r="I63" s="68"/>
      <c r="J63" s="68"/>
      <c r="K63" s="187">
        <v>1000</v>
      </c>
      <c r="L63" s="72" t="s">
        <v>269</v>
      </c>
      <c r="M63" s="76">
        <f>78840/1000</f>
        <v>78.84</v>
      </c>
      <c r="O63" s="63">
        <v>0.03</v>
      </c>
      <c r="P63" s="68"/>
      <c r="Q63" s="68"/>
      <c r="R63" s="68"/>
      <c r="S63" s="68"/>
      <c r="T63" s="68"/>
      <c r="U63" s="68"/>
      <c r="V63" s="68"/>
      <c r="W63" s="68" t="s">
        <v>150</v>
      </c>
      <c r="X63" s="68" t="s">
        <v>151</v>
      </c>
      <c r="Y63" s="68"/>
      <c r="Z63" s="68"/>
      <c r="AA63" s="68"/>
      <c r="AB63" s="68"/>
      <c r="AC63" s="68"/>
      <c r="AD63" s="68"/>
      <c r="AE63" s="68"/>
    </row>
    <row r="64" spans="1:31" s="59" customFormat="1" ht="12.75" customHeight="1" x14ac:dyDescent="0.2">
      <c r="A64" s="68" t="s">
        <v>45</v>
      </c>
      <c r="B64" s="68"/>
      <c r="C64" s="69" t="s">
        <v>57</v>
      </c>
      <c r="D64" s="68"/>
      <c r="E64" s="69" t="s">
        <v>149</v>
      </c>
      <c r="F64" s="69" t="s">
        <v>163</v>
      </c>
      <c r="G64" s="68"/>
      <c r="H64" s="69" t="s">
        <v>153</v>
      </c>
      <c r="I64" s="68"/>
      <c r="J64" s="68"/>
      <c r="K64" s="187">
        <v>1000</v>
      </c>
      <c r="L64" s="72" t="s">
        <v>269</v>
      </c>
      <c r="M64" s="76">
        <f>96360/1000</f>
        <v>96.36</v>
      </c>
      <c r="O64" s="63">
        <v>0.04</v>
      </c>
      <c r="P64" s="68"/>
      <c r="Q64" s="68"/>
      <c r="R64" s="68"/>
      <c r="S64" s="68"/>
      <c r="T64" s="68"/>
      <c r="U64" s="68"/>
      <c r="V64" s="68"/>
      <c r="W64" s="68" t="s">
        <v>150</v>
      </c>
      <c r="X64" s="68" t="s">
        <v>151</v>
      </c>
      <c r="Y64" s="68"/>
      <c r="Z64" s="68"/>
      <c r="AA64" s="68"/>
      <c r="AB64" s="68"/>
      <c r="AC64" s="68"/>
      <c r="AD64" s="68"/>
      <c r="AE64" s="68"/>
    </row>
    <row r="65" spans="1:31" s="59" customFormat="1" ht="12.75" customHeight="1" x14ac:dyDescent="0.2">
      <c r="A65" s="68" t="s">
        <v>45</v>
      </c>
      <c r="B65" s="68"/>
      <c r="C65" s="69" t="s">
        <v>57</v>
      </c>
      <c r="D65" s="68"/>
      <c r="E65" s="69" t="s">
        <v>149</v>
      </c>
      <c r="F65" s="69" t="s">
        <v>163</v>
      </c>
      <c r="G65" s="68"/>
      <c r="H65" s="69" t="s">
        <v>154</v>
      </c>
      <c r="I65" s="68"/>
      <c r="J65" s="68"/>
      <c r="K65" s="187">
        <v>1000</v>
      </c>
      <c r="L65" s="72" t="s">
        <v>269</v>
      </c>
      <c r="M65" s="76">
        <f>39420/1000</f>
        <v>39.42</v>
      </c>
      <c r="O65" s="63">
        <v>0.02</v>
      </c>
      <c r="P65" s="68"/>
      <c r="Q65" s="68"/>
      <c r="R65" s="68"/>
      <c r="S65" s="68"/>
      <c r="T65" s="68"/>
      <c r="U65" s="68"/>
      <c r="V65" s="68"/>
      <c r="W65" s="68" t="s">
        <v>150</v>
      </c>
      <c r="X65" s="68" t="s">
        <v>151</v>
      </c>
      <c r="Y65" s="68"/>
      <c r="Z65" s="68"/>
      <c r="AA65" s="68"/>
      <c r="AB65" s="68"/>
      <c r="AC65" s="68"/>
      <c r="AD65" s="68"/>
      <c r="AE65" s="68"/>
    </row>
    <row r="66" spans="1:31" s="59" customFormat="1" ht="12.75" customHeight="1" x14ac:dyDescent="0.2">
      <c r="A66" s="68" t="s">
        <v>45</v>
      </c>
      <c r="B66" s="68"/>
      <c r="C66" s="69" t="s">
        <v>57</v>
      </c>
      <c r="D66" s="68"/>
      <c r="E66" s="69" t="s">
        <v>149</v>
      </c>
      <c r="F66" s="69" t="s">
        <v>163</v>
      </c>
      <c r="G66" s="68"/>
      <c r="H66" s="69" t="s">
        <v>155</v>
      </c>
      <c r="I66" s="68"/>
      <c r="J66" s="68"/>
      <c r="K66" s="187">
        <v>1000</v>
      </c>
      <c r="L66" s="72" t="s">
        <v>269</v>
      </c>
      <c r="M66" s="76">
        <f>74460/1000</f>
        <v>74.459999999999994</v>
      </c>
      <c r="O66" s="63">
        <v>0.03</v>
      </c>
      <c r="P66" s="68"/>
      <c r="Q66" s="68"/>
      <c r="R66" s="68"/>
      <c r="S66" s="68"/>
      <c r="T66" s="68"/>
      <c r="U66" s="68"/>
      <c r="V66" s="68"/>
      <c r="W66" s="68" t="s">
        <v>150</v>
      </c>
      <c r="X66" s="68" t="s">
        <v>151</v>
      </c>
      <c r="Y66" s="68"/>
      <c r="Z66" s="68"/>
      <c r="AA66" s="68"/>
      <c r="AB66" s="68"/>
      <c r="AC66" s="68"/>
      <c r="AD66" s="68"/>
      <c r="AE66" s="68"/>
    </row>
    <row r="67" spans="1:31" s="59" customFormat="1" ht="12.75" customHeight="1" x14ac:dyDescent="0.2">
      <c r="A67" s="68" t="s">
        <v>45</v>
      </c>
      <c r="B67" s="68"/>
      <c r="C67" s="69" t="s">
        <v>57</v>
      </c>
      <c r="D67" s="68"/>
      <c r="E67" s="69" t="s">
        <v>149</v>
      </c>
      <c r="F67" s="69" t="s">
        <v>163</v>
      </c>
      <c r="G67" s="68"/>
      <c r="H67" s="69" t="s">
        <v>156</v>
      </c>
      <c r="I67" s="68"/>
      <c r="J67" s="68"/>
      <c r="K67" s="187">
        <v>1000</v>
      </c>
      <c r="L67" s="72" t="s">
        <v>269</v>
      </c>
      <c r="M67" s="69">
        <f>105120/1000</f>
        <v>105.12</v>
      </c>
      <c r="O67" s="63">
        <v>0.04</v>
      </c>
      <c r="P67" s="68"/>
      <c r="Q67" s="68"/>
      <c r="R67" s="68"/>
      <c r="S67" s="68"/>
      <c r="T67" s="68"/>
      <c r="U67" s="68"/>
      <c r="V67" s="68"/>
      <c r="W67" s="68" t="s">
        <v>150</v>
      </c>
      <c r="X67" s="68" t="s">
        <v>151</v>
      </c>
      <c r="Y67" s="68"/>
      <c r="Z67" s="68"/>
      <c r="AA67" s="68"/>
      <c r="AB67" s="68"/>
      <c r="AC67" s="68"/>
      <c r="AD67" s="68"/>
      <c r="AE67" s="68"/>
    </row>
    <row r="68" spans="1:31" s="59" customFormat="1" ht="12.75" customHeight="1" x14ac:dyDescent="0.2">
      <c r="A68" s="68" t="s">
        <v>45</v>
      </c>
      <c r="B68" s="68"/>
      <c r="C68" s="69" t="s">
        <v>57</v>
      </c>
      <c r="D68" s="68"/>
      <c r="E68" s="69" t="s">
        <v>149</v>
      </c>
      <c r="F68" s="69" t="s">
        <v>163</v>
      </c>
      <c r="G68" s="68"/>
      <c r="H68" s="69" t="s">
        <v>157</v>
      </c>
      <c r="I68" s="68"/>
      <c r="J68" s="68"/>
      <c r="K68" s="187">
        <v>1000</v>
      </c>
      <c r="L68" s="72" t="s">
        <v>269</v>
      </c>
      <c r="M68" s="76">
        <f>52560/1000</f>
        <v>52.56</v>
      </c>
      <c r="O68" s="63">
        <v>0.02</v>
      </c>
      <c r="P68" s="68"/>
      <c r="Q68" s="68"/>
      <c r="R68" s="68"/>
      <c r="S68" s="68"/>
      <c r="T68" s="68"/>
      <c r="U68" s="68"/>
      <c r="V68" s="68"/>
      <c r="W68" s="68" t="s">
        <v>150</v>
      </c>
      <c r="X68" s="68" t="s">
        <v>151</v>
      </c>
      <c r="Y68" s="68"/>
      <c r="Z68" s="68"/>
      <c r="AA68" s="68"/>
      <c r="AB68" s="68"/>
      <c r="AC68" s="68"/>
      <c r="AD68" s="68"/>
      <c r="AE68" s="68"/>
    </row>
    <row r="69" spans="1:31" s="59" customFormat="1" ht="12.75" customHeight="1" x14ac:dyDescent="0.2">
      <c r="A69" s="68" t="s">
        <v>45</v>
      </c>
      <c r="B69" s="68"/>
      <c r="C69" s="69" t="s">
        <v>57</v>
      </c>
      <c r="D69" s="68"/>
      <c r="E69" s="69" t="s">
        <v>149</v>
      </c>
      <c r="F69" s="70" t="s">
        <v>149</v>
      </c>
      <c r="G69" s="68"/>
      <c r="H69" s="69" t="s">
        <v>128</v>
      </c>
      <c r="I69" s="68"/>
      <c r="J69" s="68"/>
      <c r="K69" s="187">
        <v>1000</v>
      </c>
      <c r="L69" s="72" t="s">
        <v>269</v>
      </c>
      <c r="M69" s="69"/>
      <c r="O69" s="63" t="s">
        <v>158</v>
      </c>
      <c r="P69" s="68"/>
      <c r="Q69" s="68"/>
      <c r="R69" s="68"/>
      <c r="S69" s="68"/>
      <c r="T69" s="68"/>
      <c r="U69" s="68"/>
      <c r="V69" s="68"/>
      <c r="W69" s="68"/>
      <c r="X69" s="68"/>
      <c r="Y69" s="68"/>
      <c r="Z69" s="68"/>
      <c r="AA69" s="68"/>
      <c r="AB69" s="68"/>
      <c r="AC69" s="68"/>
      <c r="AD69" s="68"/>
      <c r="AE69" s="68"/>
    </row>
    <row r="70" spans="1:31" s="59" customFormat="1" ht="12.75" customHeight="1" x14ac:dyDescent="0.2">
      <c r="A70" s="68" t="s">
        <v>45</v>
      </c>
      <c r="B70" s="68"/>
      <c r="C70" s="69" t="s">
        <v>57</v>
      </c>
      <c r="D70" s="68"/>
      <c r="E70" s="69" t="s">
        <v>149</v>
      </c>
      <c r="F70" s="70" t="s">
        <v>149</v>
      </c>
      <c r="G70" s="68"/>
      <c r="H70" s="69" t="s">
        <v>131</v>
      </c>
      <c r="I70" s="68"/>
      <c r="J70" s="68"/>
      <c r="K70" s="187">
        <v>1000</v>
      </c>
      <c r="L70" s="72" t="s">
        <v>269</v>
      </c>
      <c r="M70" s="69"/>
      <c r="O70" s="63" t="s">
        <v>158</v>
      </c>
      <c r="P70" s="68"/>
      <c r="Q70" s="68"/>
      <c r="R70" s="68"/>
      <c r="S70" s="68"/>
      <c r="T70" s="68"/>
      <c r="U70" s="68"/>
      <c r="V70" s="68"/>
      <c r="W70" s="68"/>
      <c r="X70" s="68"/>
      <c r="Y70" s="68"/>
      <c r="Z70" s="68"/>
      <c r="AA70" s="68"/>
      <c r="AB70" s="68"/>
      <c r="AC70" s="68"/>
      <c r="AD70" s="68"/>
      <c r="AE70" s="68"/>
    </row>
    <row r="71" spans="1:31" s="59" customFormat="1" ht="12.75" customHeight="1" x14ac:dyDescent="0.2">
      <c r="A71" s="68" t="s">
        <v>45</v>
      </c>
      <c r="B71" s="68"/>
      <c r="C71" s="69" t="s">
        <v>57</v>
      </c>
      <c r="D71" s="68"/>
      <c r="E71" s="69" t="s">
        <v>149</v>
      </c>
      <c r="F71" s="70" t="s">
        <v>149</v>
      </c>
      <c r="G71" s="68"/>
      <c r="H71" s="69" t="s">
        <v>100</v>
      </c>
      <c r="I71" s="68"/>
      <c r="J71" s="68"/>
      <c r="K71" s="187">
        <v>1000</v>
      </c>
      <c r="L71" s="72" t="s">
        <v>269</v>
      </c>
      <c r="M71" s="76">
        <f>32850/1000</f>
        <v>32.85</v>
      </c>
      <c r="O71" s="63">
        <v>0.01</v>
      </c>
      <c r="P71" s="68"/>
      <c r="Q71" s="68"/>
      <c r="R71" s="68"/>
      <c r="S71" s="68"/>
      <c r="T71" s="68"/>
      <c r="U71" s="68"/>
      <c r="V71" s="68"/>
      <c r="W71" s="68" t="s">
        <v>150</v>
      </c>
      <c r="X71" s="68" t="s">
        <v>151</v>
      </c>
      <c r="Y71" s="68" t="s">
        <v>159</v>
      </c>
      <c r="Z71" s="68"/>
      <c r="AA71" s="68"/>
      <c r="AB71" s="68"/>
      <c r="AC71" s="68"/>
      <c r="AD71" s="68"/>
      <c r="AE71" s="68"/>
    </row>
    <row r="72" spans="1:31" s="59" customFormat="1" ht="12.75" customHeight="1" x14ac:dyDescent="0.2">
      <c r="A72" s="68" t="s">
        <v>45</v>
      </c>
      <c r="B72" s="68"/>
      <c r="C72" s="69" t="s">
        <v>57</v>
      </c>
      <c r="D72" s="68"/>
      <c r="E72" s="69" t="s">
        <v>149</v>
      </c>
      <c r="F72" s="69" t="s">
        <v>163</v>
      </c>
      <c r="G72" s="68"/>
      <c r="H72" s="69" t="s">
        <v>164</v>
      </c>
      <c r="I72" s="68"/>
      <c r="J72" s="68"/>
      <c r="K72" s="187">
        <v>1000</v>
      </c>
      <c r="L72" s="72" t="s">
        <v>269</v>
      </c>
      <c r="M72" s="79">
        <f>60000/(1000*1.102)</f>
        <v>54.446460980036299</v>
      </c>
      <c r="O72" s="63" t="s">
        <v>158</v>
      </c>
      <c r="P72" s="68"/>
      <c r="Q72" s="68"/>
      <c r="R72" s="68"/>
      <c r="S72" s="68"/>
      <c r="T72" s="68"/>
      <c r="U72" s="68"/>
      <c r="V72" s="68"/>
      <c r="W72" s="74" t="s">
        <v>165</v>
      </c>
      <c r="X72" s="68" t="s">
        <v>166</v>
      </c>
      <c r="Y72" s="68"/>
      <c r="Z72" s="68"/>
      <c r="AA72" s="68"/>
      <c r="AB72" s="68"/>
      <c r="AC72" s="68"/>
      <c r="AD72" s="68"/>
      <c r="AE72" s="68"/>
    </row>
    <row r="73" spans="1:31" s="59" customFormat="1" ht="12.75" customHeight="1" x14ac:dyDescent="0.2">
      <c r="A73" s="68" t="s">
        <v>45</v>
      </c>
      <c r="B73" s="68"/>
      <c r="C73" s="69" t="s">
        <v>57</v>
      </c>
      <c r="D73" s="68"/>
      <c r="E73" s="69" t="s">
        <v>149</v>
      </c>
      <c r="F73" s="69" t="s">
        <v>163</v>
      </c>
      <c r="G73" s="68"/>
      <c r="H73" s="69" t="s">
        <v>167</v>
      </c>
      <c r="I73" s="68"/>
      <c r="J73" s="68"/>
      <c r="K73" s="187">
        <v>1000</v>
      </c>
      <c r="L73" s="72" t="s">
        <v>269</v>
      </c>
      <c r="M73" s="76">
        <f>87600/1000</f>
        <v>87.6</v>
      </c>
      <c r="O73" s="63">
        <v>0.04</v>
      </c>
      <c r="P73" s="68"/>
      <c r="Q73" s="68"/>
      <c r="R73" s="68"/>
      <c r="S73" s="68"/>
      <c r="T73" s="68"/>
      <c r="U73" s="68"/>
      <c r="V73" s="68"/>
      <c r="W73" s="68" t="s">
        <v>150</v>
      </c>
      <c r="X73" s="68" t="s">
        <v>168</v>
      </c>
      <c r="Y73" s="74" t="s">
        <v>72</v>
      </c>
      <c r="Z73" s="75"/>
      <c r="AA73" s="75"/>
      <c r="AB73" s="75"/>
      <c r="AC73" s="75"/>
      <c r="AD73" s="75"/>
      <c r="AE73" s="68"/>
    </row>
    <row r="74" spans="1:31" s="59" customFormat="1" ht="12.75" customHeight="1" x14ac:dyDescent="0.2">
      <c r="A74" s="68" t="s">
        <v>45</v>
      </c>
      <c r="B74" s="68"/>
      <c r="C74" s="69" t="s">
        <v>57</v>
      </c>
      <c r="D74" s="68"/>
      <c r="E74" s="69" t="s">
        <v>149</v>
      </c>
      <c r="F74" s="69" t="s">
        <v>163</v>
      </c>
      <c r="G74" s="68"/>
      <c r="H74" s="69" t="s">
        <v>169</v>
      </c>
      <c r="I74" s="68"/>
      <c r="J74" s="68"/>
      <c r="K74" s="187">
        <v>1000</v>
      </c>
      <c r="L74" s="72" t="s">
        <v>269</v>
      </c>
      <c r="M74" s="76">
        <f>57086/1000</f>
        <v>57.085999999999999</v>
      </c>
      <c r="O74" s="63">
        <v>0.02</v>
      </c>
      <c r="P74" s="68"/>
      <c r="Q74" s="68"/>
      <c r="R74" s="68"/>
      <c r="S74" s="68"/>
      <c r="T74" s="68"/>
      <c r="U74" s="68"/>
      <c r="V74" s="68"/>
      <c r="W74" s="68" t="s">
        <v>150</v>
      </c>
      <c r="X74" s="68" t="s">
        <v>151</v>
      </c>
      <c r="Y74" s="68"/>
      <c r="Z74" s="68"/>
      <c r="AA74" s="68"/>
      <c r="AB74" s="68"/>
      <c r="AC74" s="68"/>
      <c r="AD74" s="68"/>
      <c r="AE74" s="68"/>
    </row>
    <row r="75" spans="1:31" s="59" customFormat="1" ht="12.75" customHeight="1" x14ac:dyDescent="0.2">
      <c r="A75" s="68" t="s">
        <v>45</v>
      </c>
      <c r="B75" s="68"/>
      <c r="C75" s="69" t="s">
        <v>57</v>
      </c>
      <c r="D75" s="68"/>
      <c r="E75" s="69" t="s">
        <v>149</v>
      </c>
      <c r="F75" s="69" t="s">
        <v>163</v>
      </c>
      <c r="G75" s="68"/>
      <c r="H75" s="69" t="s">
        <v>170</v>
      </c>
      <c r="I75" s="68"/>
      <c r="J75" s="68"/>
      <c r="K75" s="187">
        <v>1000</v>
      </c>
      <c r="L75" s="72" t="s">
        <v>269</v>
      </c>
      <c r="M75" s="69"/>
      <c r="O75" s="63">
        <v>0.04</v>
      </c>
      <c r="P75" s="68"/>
      <c r="Q75" s="68"/>
      <c r="R75" s="68"/>
      <c r="S75" s="68"/>
      <c r="T75" s="68"/>
      <c r="U75" s="68"/>
      <c r="V75" s="68"/>
      <c r="W75" s="68" t="s">
        <v>150</v>
      </c>
      <c r="X75" s="68"/>
      <c r="Y75" s="68"/>
      <c r="Z75" s="68"/>
      <c r="AA75" s="68"/>
      <c r="AB75" s="68"/>
      <c r="AC75" s="68"/>
      <c r="AD75" s="68"/>
      <c r="AE75" s="68"/>
    </row>
    <row r="76" spans="1:31" s="59" customFormat="1" ht="12.75" customHeight="1" x14ac:dyDescent="0.2">
      <c r="A76" s="68" t="s">
        <v>45</v>
      </c>
      <c r="B76" s="68"/>
      <c r="C76" s="69" t="s">
        <v>57</v>
      </c>
      <c r="D76" s="68"/>
      <c r="E76" s="69" t="s">
        <v>149</v>
      </c>
      <c r="F76" s="69" t="s">
        <v>163</v>
      </c>
      <c r="G76" s="68"/>
      <c r="H76" s="69" t="s">
        <v>171</v>
      </c>
      <c r="I76" s="68"/>
      <c r="J76" s="68"/>
      <c r="K76" s="187">
        <v>1000</v>
      </c>
      <c r="L76" s="72" t="s">
        <v>269</v>
      </c>
      <c r="M76" s="76">
        <f>54750/1000</f>
        <v>54.75</v>
      </c>
      <c r="O76" s="63">
        <v>0.02</v>
      </c>
      <c r="P76" s="68"/>
      <c r="Q76" s="68"/>
      <c r="R76" s="68"/>
      <c r="S76" s="68"/>
      <c r="T76" s="68"/>
      <c r="U76" s="68"/>
      <c r="V76" s="68"/>
      <c r="W76" s="68" t="s">
        <v>150</v>
      </c>
      <c r="X76" s="68" t="s">
        <v>151</v>
      </c>
      <c r="Y76" s="74" t="s">
        <v>172</v>
      </c>
      <c r="Z76" s="68" t="s">
        <v>173</v>
      </c>
      <c r="AA76" s="68"/>
      <c r="AB76" s="68"/>
      <c r="AC76" s="68"/>
      <c r="AD76" s="68"/>
      <c r="AE76" s="68"/>
    </row>
    <row r="77" spans="1:31" s="59" customFormat="1" ht="12.75" customHeight="1" x14ac:dyDescent="0.2">
      <c r="A77" s="68" t="s">
        <v>45</v>
      </c>
      <c r="B77" s="68"/>
      <c r="C77" s="69" t="s">
        <v>57</v>
      </c>
      <c r="D77" s="68"/>
      <c r="E77" s="69" t="s">
        <v>149</v>
      </c>
      <c r="F77" s="69" t="s">
        <v>163</v>
      </c>
      <c r="G77" s="68"/>
      <c r="H77" s="69" t="s">
        <v>174</v>
      </c>
      <c r="I77" s="68"/>
      <c r="J77" s="68"/>
      <c r="K77" s="187">
        <v>1000</v>
      </c>
      <c r="L77" s="72" t="s">
        <v>269</v>
      </c>
      <c r="M77" s="76">
        <f>73000/1000</f>
        <v>73</v>
      </c>
      <c r="O77" s="63">
        <v>0.03</v>
      </c>
      <c r="P77" s="68"/>
      <c r="Q77" s="68"/>
      <c r="R77" s="68"/>
      <c r="S77" s="68"/>
      <c r="T77" s="68"/>
      <c r="U77" s="68"/>
      <c r="V77" s="68"/>
      <c r="W77" s="68" t="s">
        <v>150</v>
      </c>
      <c r="X77" s="68" t="s">
        <v>151</v>
      </c>
      <c r="Y77" s="74" t="s">
        <v>172</v>
      </c>
      <c r="Z77" s="68" t="s">
        <v>175</v>
      </c>
      <c r="AA77" s="68"/>
      <c r="AB77" s="68"/>
      <c r="AC77" s="68"/>
      <c r="AD77" s="68"/>
      <c r="AE77" s="68"/>
    </row>
    <row r="78" spans="1:31" s="59" customFormat="1" ht="12.75" customHeight="1" x14ac:dyDescent="0.2">
      <c r="A78" s="68" t="s">
        <v>45</v>
      </c>
      <c r="B78" s="68"/>
      <c r="C78" s="69" t="s">
        <v>57</v>
      </c>
      <c r="D78" s="68"/>
      <c r="E78" s="69" t="s">
        <v>149</v>
      </c>
      <c r="F78" s="69" t="s">
        <v>163</v>
      </c>
      <c r="G78" s="68"/>
      <c r="H78" s="69" t="s">
        <v>103</v>
      </c>
      <c r="I78" s="68"/>
      <c r="J78" s="68"/>
      <c r="K78" s="187">
        <v>1000</v>
      </c>
      <c r="L78" s="72" t="s">
        <v>269</v>
      </c>
      <c r="M78" s="76">
        <f>99280/1000</f>
        <v>99.28</v>
      </c>
      <c r="O78" s="63">
        <v>0.04</v>
      </c>
      <c r="P78" s="68"/>
      <c r="Q78" s="68"/>
      <c r="R78" s="68"/>
      <c r="S78" s="68"/>
      <c r="T78" s="68"/>
      <c r="U78" s="68"/>
      <c r="V78" s="68"/>
      <c r="W78" s="68" t="s">
        <v>150</v>
      </c>
      <c r="X78" s="68" t="s">
        <v>151</v>
      </c>
      <c r="Y78" s="74" t="s">
        <v>176</v>
      </c>
      <c r="Z78" s="75"/>
      <c r="AA78" s="75"/>
      <c r="AB78" s="75"/>
      <c r="AC78" s="75"/>
      <c r="AD78" s="75"/>
      <c r="AE78" s="68"/>
    </row>
    <row r="79" spans="1:31" s="59" customFormat="1" ht="12.75" customHeight="1" x14ac:dyDescent="0.2">
      <c r="A79" s="68"/>
      <c r="B79" s="68"/>
      <c r="C79" s="69"/>
      <c r="D79" s="68"/>
      <c r="E79" s="70"/>
      <c r="F79" s="69"/>
      <c r="G79" s="68"/>
      <c r="H79" s="69"/>
      <c r="I79" s="68"/>
      <c r="J79" s="68"/>
      <c r="K79" s="68"/>
      <c r="L79" s="68"/>
      <c r="M79" s="69"/>
      <c r="N79" s="60"/>
      <c r="O79" s="70"/>
      <c r="P79" s="68"/>
      <c r="Q79" s="68"/>
      <c r="R79" s="68"/>
      <c r="S79" s="68"/>
      <c r="T79" s="68"/>
      <c r="U79" s="68"/>
      <c r="V79" s="68"/>
      <c r="W79" s="74"/>
      <c r="X79" s="68"/>
      <c r="Y79" s="68"/>
      <c r="Z79" s="68"/>
      <c r="AA79" s="68"/>
      <c r="AB79" s="68"/>
      <c r="AC79" s="68"/>
      <c r="AD79" s="68"/>
      <c r="AE79" s="68"/>
    </row>
    <row r="80" spans="1:31" ht="12.75" customHeight="1" x14ac:dyDescent="0.2">
      <c r="H80" s="72"/>
      <c r="I80" s="244"/>
      <c r="J80" s="211"/>
      <c r="K80" s="211"/>
      <c r="N80" s="184"/>
    </row>
    <row r="81" spans="8:14" ht="12.75" customHeight="1" x14ac:dyDescent="0.2">
      <c r="H81" s="72"/>
      <c r="I81" s="211"/>
      <c r="J81" s="211"/>
      <c r="K81" s="211"/>
      <c r="N81" s="184"/>
    </row>
    <row r="82" spans="8:14" ht="12.75" customHeight="1" x14ac:dyDescent="0.2">
      <c r="N82" s="184"/>
    </row>
    <row r="83" spans="8:14" ht="12.75" customHeight="1" x14ac:dyDescent="0.2">
      <c r="N83" s="184"/>
    </row>
  </sheetData>
  <autoFilter ref="A2:AE78" xr:uid="{0BB5D1DA-0B3E-4924-8393-39587901B4DD}">
    <sortState xmlns:xlrd2="http://schemas.microsoft.com/office/spreadsheetml/2017/richdata2" ref="A3:AE78">
      <sortCondition ref="B2"/>
    </sortState>
  </autoFilter>
  <phoneticPr fontId="1" type="noConversion"/>
  <hyperlinks>
    <hyperlink ref="W30" r:id="rId1" location="data/FBS" xr:uid="{6E6899F5-5C73-4524-9618-ACF50243C157}"/>
    <hyperlink ref="Z30" r:id="rId2" display="https://www.indexmundi.com/agriculture/?country=zm&amp;commodity=soybean-oilseed&amp;graph=exports" xr:uid="{7A4A46F9-8FBC-4C78-A143-CD309AA540DD}"/>
    <hyperlink ref="Y30" r:id="rId3" xr:uid="{6D18C82F-3096-4659-BDDD-76B465B61F4F}"/>
    <hyperlink ref="Y7" r:id="rId4" xr:uid="{19FDB32E-ED81-4542-886A-EB8046B1FBF2}"/>
    <hyperlink ref="W18" r:id="rId5" xr:uid="{33E05901-AF20-459B-A42B-78758538008F}"/>
    <hyperlink ref="W39" r:id="rId6" xr:uid="{8E5EC1B7-AAF9-4CCC-9172-2CAC51AF180E}"/>
    <hyperlink ref="W38" r:id="rId7" xr:uid="{28A31427-E542-426A-87AA-02F4E001EE1C}"/>
    <hyperlink ref="W40" r:id="rId8" xr:uid="{52EA7072-3580-4087-96CE-849A0EA5A8FB}"/>
    <hyperlink ref="Y33" r:id="rId9" xr:uid="{9AD26E13-2302-456E-A800-77FF35C90988}"/>
    <hyperlink ref="Y41" r:id="rId10" xr:uid="{4EB447CC-31C0-443C-B717-4253D24AE587}"/>
    <hyperlink ref="Y9" r:id="rId11" xr:uid="{DA2A8924-DC68-4162-99FC-F0212F5236EB}"/>
    <hyperlink ref="W11" r:id="rId12" xr:uid="{E774E7DE-979E-4556-84C5-DD9470821C11}"/>
    <hyperlink ref="W15" r:id="rId13" xr:uid="{E4F2069E-286C-495D-8FD2-AA9D801AC49F}"/>
    <hyperlink ref="W6" r:id="rId14" xr:uid="{144C0468-C952-4FEE-947F-68EAAC33D71D}"/>
    <hyperlink ref="W23" r:id="rId15" xr:uid="{9BFC14CC-9F65-4173-ADFD-C1602C8ED368}"/>
    <hyperlink ref="W20" r:id="rId16" xr:uid="{C37DB150-9B9A-4103-BEA6-3132572B46C7}"/>
    <hyperlink ref="W24" r:id="rId17" location="data/FBS" xr:uid="{8C8B6D00-4E4E-4234-826B-EE3956336883}"/>
    <hyperlink ref="Y32" r:id="rId18" xr:uid="{D65936E1-DAEC-4170-8147-056793C3DB11}"/>
    <hyperlink ref="W9" r:id="rId19" xr:uid="{A06C3F00-40E8-4BA2-8421-9292530E0EAB}"/>
    <hyperlink ref="W61" r:id="rId20" xr:uid="{A4B248E9-1A13-45F7-B2F5-2EB0F2623BAF}"/>
    <hyperlink ref="Y53" r:id="rId21" xr:uid="{FDFE5B5F-A0E3-4A8F-91DF-8514CCA86CCB}"/>
    <hyperlink ref="Y62" r:id="rId22" xr:uid="{83742A6A-5B86-4CAA-AF41-A49240C8CAF6}"/>
    <hyperlink ref="W72" r:id="rId23" xr:uid="{67DBCA26-F534-4F7F-A72F-5932EC0A3CFA}"/>
    <hyperlink ref="Y73" r:id="rId24" xr:uid="{97E139F3-9E9A-42CE-8552-04069894234B}"/>
    <hyperlink ref="Y76" r:id="rId25" xr:uid="{8139B4FD-A11D-4CA6-892D-1CDDCC6472F8}"/>
    <hyperlink ref="Y77" r:id="rId26" xr:uid="{3DCC0EC3-2A5B-40D8-BA91-B72FE1B3DD00}"/>
    <hyperlink ref="Y78" r:id="rId27" xr:uid="{5ED5F4E4-4BAF-4009-8E41-7345987EFF4B}"/>
    <hyperlink ref="Y5" r:id="rId28" xr:uid="{EAF54A90-B25A-4148-A5B7-9A2B7E5081EA}"/>
    <hyperlink ref="W16" r:id="rId29" xr:uid="{53F03936-2D9D-473E-9F37-C41C589A77B4}"/>
    <hyperlink ref="W56" r:id="rId30" xr:uid="{46E7BB0B-92EE-4EE4-8F71-2308ABF63243}"/>
    <hyperlink ref="W57" r:id="rId31" xr:uid="{5851FC3B-5834-450E-BACB-B00D011BFA12}"/>
    <hyperlink ref="W32" r:id="rId32" xr:uid="{300E125E-4D03-4B37-BAA2-5528EC12D970}"/>
    <hyperlink ref="W27" r:id="rId33" location=":~:text=LUSAKA%2C%20ZAMBIA%20%E2%80%93%20Zampalm%20in%20Mpika,on%20the%20market%20in%20Zambia" xr:uid="{BB961CF9-908B-4152-ADF1-231BE9251080}"/>
    <hyperlink ref="W60" r:id="rId34" xr:uid="{FABCD882-916B-4150-88CC-461B9EACBF08}"/>
    <hyperlink ref="W28" r:id="rId35" xr:uid="{B9AB9FFB-D5F8-4F51-BBF8-B7E95E13E772}"/>
    <hyperlink ref="W59" r:id="rId36" xr:uid="{8B02EF89-F75E-4019-9ADC-E4BD6B0D2C19}"/>
  </hyperlinks>
  <pageMargins left="0.7" right="0.7" top="0.75" bottom="0.75" header="0.3" footer="0.3"/>
  <pageSetup paperSize="9" orientation="portrait" r:id="rId37"/>
  <legacyDrawing r:id="rId3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24097-788A-4EA9-B308-602FF93A0FCD}">
  <sheetPr>
    <tabColor rgb="FFC6E0B4"/>
  </sheetPr>
  <dimension ref="A1:AC22"/>
  <sheetViews>
    <sheetView workbookViewId="0">
      <pane ySplit="2" topLeftCell="A3" activePane="bottomLeft" state="frozen"/>
      <selection pane="bottomLeft" activeCell="D13" sqref="D13:D14"/>
    </sheetView>
  </sheetViews>
  <sheetFormatPr baseColWidth="10" defaultColWidth="28.7109375" defaultRowHeight="12.75" x14ac:dyDescent="0.2"/>
  <cols>
    <col min="1" max="1" width="8.28515625" style="92" bestFit="1" customWidth="1"/>
    <col min="2" max="2" width="9.28515625" style="92" customWidth="1"/>
    <col min="3" max="3" width="24.85546875" style="92" customWidth="1"/>
    <col min="4" max="4" width="18" style="92" customWidth="1"/>
    <col min="5" max="5" width="15.85546875" style="92" customWidth="1"/>
    <col min="6" max="6" width="19.140625" style="120" customWidth="1"/>
    <col min="7" max="7" width="14.85546875" style="92" bestFit="1" customWidth="1"/>
    <col min="8" max="8" width="37" style="92" bestFit="1" customWidth="1"/>
    <col min="9" max="9" width="26.42578125" style="92" bestFit="1" customWidth="1"/>
    <col min="10" max="11" width="10.140625" style="92" customWidth="1"/>
    <col min="12" max="12" width="12.7109375" style="92" customWidth="1"/>
    <col min="13" max="13" width="8.42578125" style="101" customWidth="1"/>
    <col min="14" max="14" width="13.5703125" style="92" customWidth="1"/>
    <col min="15" max="15" width="10.28515625" style="92" bestFit="1" customWidth="1"/>
    <col min="16" max="16" width="13.5703125" style="92" customWidth="1"/>
    <col min="17" max="19" width="10.28515625" style="92" customWidth="1"/>
    <col min="20" max="20" width="8.7109375" style="92" customWidth="1"/>
    <col min="21" max="21" width="11" style="92" customWidth="1"/>
    <col min="22" max="22" width="8.140625" style="92" customWidth="1"/>
    <col min="23" max="23" width="25.5703125" style="92" customWidth="1"/>
    <col min="24" max="24" width="10.7109375" style="92" customWidth="1"/>
    <col min="25" max="25" width="10.7109375" style="92" bestFit="1" customWidth="1"/>
    <col min="26" max="26" width="10.7109375" style="92" customWidth="1"/>
    <col min="27" max="27" width="10.7109375" style="92" bestFit="1" customWidth="1"/>
    <col min="28" max="28" width="10.7109375" style="92" customWidth="1"/>
    <col min="29" max="29" width="14.85546875" style="92" customWidth="1"/>
    <col min="30" max="30" width="7.42578125" style="92" customWidth="1"/>
    <col min="31" max="16384" width="28.7109375" style="92"/>
  </cols>
  <sheetData>
    <row r="1" spans="1:29" s="86" customFormat="1" ht="83.25" customHeight="1" x14ac:dyDescent="0.25">
      <c r="A1" s="82" t="s">
        <v>0</v>
      </c>
      <c r="B1" s="82" t="s">
        <v>1</v>
      </c>
      <c r="C1" s="82" t="s">
        <v>2</v>
      </c>
      <c r="D1" s="83" t="s">
        <v>3</v>
      </c>
      <c r="E1" s="83"/>
      <c r="F1" s="84" t="s">
        <v>4</v>
      </c>
      <c r="G1" s="82" t="s">
        <v>5</v>
      </c>
      <c r="H1" s="83" t="s">
        <v>6</v>
      </c>
      <c r="I1" s="83" t="s">
        <v>7</v>
      </c>
      <c r="J1" s="83" t="s">
        <v>8</v>
      </c>
      <c r="K1" s="83"/>
      <c r="L1" s="83"/>
      <c r="M1" s="274" t="s">
        <v>9</v>
      </c>
      <c r="N1" s="83" t="s">
        <v>9</v>
      </c>
      <c r="O1" s="83" t="s">
        <v>9</v>
      </c>
      <c r="P1" s="83" t="s">
        <v>9</v>
      </c>
      <c r="Q1" s="83" t="s">
        <v>9</v>
      </c>
      <c r="R1" s="83" t="s">
        <v>9</v>
      </c>
      <c r="S1" s="83" t="s">
        <v>9</v>
      </c>
      <c r="T1" s="83" t="s">
        <v>9</v>
      </c>
      <c r="U1" s="83" t="s">
        <v>9</v>
      </c>
      <c r="V1" s="83" t="s">
        <v>9</v>
      </c>
      <c r="W1" s="85" t="s">
        <v>10</v>
      </c>
      <c r="X1" s="85" t="s">
        <v>11</v>
      </c>
      <c r="Y1" s="83" t="s">
        <v>10</v>
      </c>
      <c r="Z1" s="83" t="s">
        <v>12</v>
      </c>
      <c r="AA1" s="83" t="s">
        <v>10</v>
      </c>
      <c r="AB1" s="83" t="s">
        <v>13</v>
      </c>
      <c r="AC1" s="82" t="s">
        <v>14</v>
      </c>
    </row>
    <row r="2" spans="1:29" ht="51" x14ac:dyDescent="0.2">
      <c r="A2" s="87" t="s">
        <v>16</v>
      </c>
      <c r="B2" s="88" t="s">
        <v>17</v>
      </c>
      <c r="C2" s="87" t="s">
        <v>18</v>
      </c>
      <c r="D2" s="22" t="s">
        <v>55</v>
      </c>
      <c r="E2" s="89" t="s">
        <v>19</v>
      </c>
      <c r="F2" s="127" t="s">
        <v>20</v>
      </c>
      <c r="G2" s="88" t="s">
        <v>21</v>
      </c>
      <c r="H2" s="88" t="s">
        <v>22</v>
      </c>
      <c r="I2" s="88" t="s">
        <v>23</v>
      </c>
      <c r="J2" s="88" t="s">
        <v>24</v>
      </c>
      <c r="K2" s="135" t="s">
        <v>270</v>
      </c>
      <c r="L2" s="88" t="s">
        <v>25</v>
      </c>
      <c r="M2" s="133" t="s">
        <v>245</v>
      </c>
      <c r="N2" s="88" t="s">
        <v>26</v>
      </c>
      <c r="O2" s="88" t="s">
        <v>27</v>
      </c>
      <c r="P2" s="133" t="s">
        <v>28</v>
      </c>
      <c r="Q2" s="88" t="s">
        <v>29</v>
      </c>
      <c r="R2" s="88" t="s">
        <v>30</v>
      </c>
      <c r="S2" s="88" t="s">
        <v>31</v>
      </c>
      <c r="T2" s="90" t="s">
        <v>32</v>
      </c>
      <c r="U2" s="90" t="s">
        <v>33</v>
      </c>
      <c r="V2" s="88" t="s">
        <v>34</v>
      </c>
      <c r="W2" s="91" t="s">
        <v>35</v>
      </c>
      <c r="X2" s="91" t="s">
        <v>36</v>
      </c>
      <c r="Y2" s="88" t="s">
        <v>37</v>
      </c>
      <c r="Z2" s="88" t="s">
        <v>38</v>
      </c>
      <c r="AA2" s="88" t="s">
        <v>39</v>
      </c>
      <c r="AB2" s="88" t="s">
        <v>40</v>
      </c>
      <c r="AC2" s="87" t="s">
        <v>41</v>
      </c>
    </row>
    <row r="3" spans="1:29" s="94" customFormat="1" x14ac:dyDescent="0.2">
      <c r="A3" s="93" t="s">
        <v>45</v>
      </c>
      <c r="C3" s="95" t="s">
        <v>178</v>
      </c>
      <c r="D3" s="339" t="s">
        <v>283</v>
      </c>
      <c r="E3" s="95" t="s">
        <v>222</v>
      </c>
      <c r="F3" s="96" t="s">
        <v>244</v>
      </c>
      <c r="J3" s="97"/>
      <c r="K3" s="187">
        <v>1000</v>
      </c>
      <c r="L3" s="72" t="s">
        <v>269</v>
      </c>
      <c r="M3" s="311">
        <f>101</f>
        <v>101</v>
      </c>
      <c r="N3" s="98"/>
      <c r="W3" s="99" t="s">
        <v>50</v>
      </c>
      <c r="X3" s="100"/>
    </row>
    <row r="4" spans="1:29" x14ac:dyDescent="0.2">
      <c r="A4" s="101" t="s">
        <v>45</v>
      </c>
      <c r="C4" s="101" t="s">
        <v>178</v>
      </c>
      <c r="E4" s="101" t="s">
        <v>222</v>
      </c>
      <c r="F4" s="102" t="s">
        <v>180</v>
      </c>
      <c r="J4" s="103"/>
      <c r="K4" s="187">
        <v>1000</v>
      </c>
      <c r="L4" s="72" t="s">
        <v>269</v>
      </c>
      <c r="M4" s="312">
        <f>0</f>
        <v>0</v>
      </c>
      <c r="N4" s="104"/>
      <c r="W4" s="105" t="s">
        <v>81</v>
      </c>
      <c r="X4" s="106"/>
    </row>
    <row r="5" spans="1:29" x14ac:dyDescent="0.2">
      <c r="A5" s="101" t="s">
        <v>45</v>
      </c>
      <c r="C5" s="101" t="s">
        <v>178</v>
      </c>
      <c r="E5" s="101" t="s">
        <v>222</v>
      </c>
      <c r="F5" s="102" t="s">
        <v>80</v>
      </c>
      <c r="J5" s="103"/>
      <c r="K5" s="187">
        <v>1000</v>
      </c>
      <c r="L5" s="72" t="s">
        <v>269</v>
      </c>
      <c r="M5" s="64">
        <f>0</f>
        <v>0</v>
      </c>
      <c r="N5" s="104"/>
      <c r="W5" s="107" t="s">
        <v>50</v>
      </c>
      <c r="X5" s="106"/>
    </row>
    <row r="6" spans="1:29" x14ac:dyDescent="0.2">
      <c r="A6" s="101" t="s">
        <v>45</v>
      </c>
      <c r="C6" s="101" t="s">
        <v>178</v>
      </c>
      <c r="E6" s="101" t="s">
        <v>222</v>
      </c>
      <c r="F6" s="102" t="s">
        <v>82</v>
      </c>
      <c r="J6" s="103"/>
      <c r="K6" s="187">
        <v>1000</v>
      </c>
      <c r="L6" s="72" t="s">
        <v>269</v>
      </c>
      <c r="M6" s="312">
        <f>0</f>
        <v>0</v>
      </c>
      <c r="N6" s="104"/>
      <c r="W6" s="105" t="s">
        <v>81</v>
      </c>
      <c r="X6" s="106"/>
    </row>
    <row r="7" spans="1:29" x14ac:dyDescent="0.2">
      <c r="A7" s="101" t="s">
        <v>45</v>
      </c>
      <c r="C7" s="101" t="s">
        <v>178</v>
      </c>
      <c r="E7" s="101" t="s">
        <v>222</v>
      </c>
      <c r="F7" s="337" t="s">
        <v>181</v>
      </c>
      <c r="J7" s="103"/>
      <c r="K7" s="187">
        <v>1000</v>
      </c>
      <c r="L7" s="72" t="s">
        <v>269</v>
      </c>
      <c r="M7" s="312">
        <f>0</f>
        <v>0</v>
      </c>
      <c r="N7" s="104"/>
      <c r="W7" s="105" t="s">
        <v>81</v>
      </c>
      <c r="X7" s="106"/>
    </row>
    <row r="8" spans="1:29" x14ac:dyDescent="0.2">
      <c r="A8" s="101" t="s">
        <v>45</v>
      </c>
      <c r="C8" s="101" t="s">
        <v>178</v>
      </c>
      <c r="E8" s="101" t="s">
        <v>222</v>
      </c>
      <c r="F8" s="102" t="s">
        <v>83</v>
      </c>
      <c r="J8" s="103"/>
      <c r="K8" s="187">
        <v>1000</v>
      </c>
      <c r="L8" s="72" t="s">
        <v>269</v>
      </c>
      <c r="M8" s="312">
        <f>0</f>
        <v>0</v>
      </c>
      <c r="N8" s="104"/>
      <c r="W8" s="105" t="s">
        <v>81</v>
      </c>
      <c r="X8" s="106"/>
    </row>
    <row r="9" spans="1:29" x14ac:dyDescent="0.2">
      <c r="A9" s="101" t="s">
        <v>45</v>
      </c>
      <c r="C9" s="101" t="s">
        <v>178</v>
      </c>
      <c r="E9" s="101" t="s">
        <v>222</v>
      </c>
      <c r="F9" s="102" t="s">
        <v>84</v>
      </c>
      <c r="J9" s="103"/>
      <c r="K9" s="187">
        <v>1000</v>
      </c>
      <c r="L9" s="72" t="s">
        <v>269</v>
      </c>
      <c r="M9" s="313">
        <f>59</f>
        <v>59</v>
      </c>
      <c r="N9" s="104"/>
      <c r="W9" s="107" t="s">
        <v>50</v>
      </c>
      <c r="X9" s="106"/>
    </row>
    <row r="10" spans="1:29" x14ac:dyDescent="0.2">
      <c r="A10" s="101" t="s">
        <v>45</v>
      </c>
      <c r="C10" s="101" t="s">
        <v>178</v>
      </c>
      <c r="E10" s="101" t="s">
        <v>222</v>
      </c>
      <c r="F10" s="102" t="s">
        <v>182</v>
      </c>
      <c r="J10" s="103"/>
      <c r="K10" s="187">
        <v>1000</v>
      </c>
      <c r="L10" s="72" t="s">
        <v>269</v>
      </c>
      <c r="M10" s="312">
        <f>0</f>
        <v>0</v>
      </c>
      <c r="N10" s="104"/>
      <c r="W10" s="105" t="s">
        <v>81</v>
      </c>
      <c r="X10" s="106"/>
    </row>
    <row r="11" spans="1:29" x14ac:dyDescent="0.2">
      <c r="A11" s="101" t="s">
        <v>45</v>
      </c>
      <c r="C11" s="101" t="s">
        <v>178</v>
      </c>
      <c r="E11" s="101" t="s">
        <v>222</v>
      </c>
      <c r="F11" s="102" t="s">
        <v>85</v>
      </c>
      <c r="J11" s="103"/>
      <c r="K11" s="187">
        <v>1000</v>
      </c>
      <c r="L11" s="72" t="s">
        <v>269</v>
      </c>
      <c r="M11" s="64">
        <f>0</f>
        <v>0</v>
      </c>
      <c r="N11" s="104"/>
      <c r="W11" s="105" t="s">
        <v>90</v>
      </c>
      <c r="X11" s="106"/>
    </row>
    <row r="12" spans="1:29" x14ac:dyDescent="0.2">
      <c r="A12" s="101" t="s">
        <v>45</v>
      </c>
      <c r="C12" s="101" t="s">
        <v>178</v>
      </c>
      <c r="E12" s="101" t="s">
        <v>222</v>
      </c>
      <c r="F12" s="102" t="s">
        <v>183</v>
      </c>
      <c r="J12" s="103"/>
      <c r="K12" s="187">
        <v>1000</v>
      </c>
      <c r="L12" s="72" t="s">
        <v>269</v>
      </c>
      <c r="M12" s="64">
        <f>0</f>
        <v>0</v>
      </c>
      <c r="N12" s="104"/>
      <c r="W12" s="105" t="s">
        <v>90</v>
      </c>
      <c r="X12" s="106"/>
    </row>
    <row r="13" spans="1:29" x14ac:dyDescent="0.2">
      <c r="A13" s="101" t="s">
        <v>45</v>
      </c>
      <c r="C13" s="101" t="s">
        <v>178</v>
      </c>
      <c r="E13" s="101" t="s">
        <v>222</v>
      </c>
      <c r="F13" s="102" t="s">
        <v>88</v>
      </c>
      <c r="J13" s="103"/>
      <c r="K13" s="187">
        <v>1000</v>
      </c>
      <c r="L13" s="72" t="s">
        <v>269</v>
      </c>
      <c r="M13" s="64">
        <f>0</f>
        <v>0</v>
      </c>
      <c r="N13" s="104"/>
      <c r="W13" s="107" t="s">
        <v>50</v>
      </c>
      <c r="X13" s="106"/>
    </row>
    <row r="14" spans="1:29" x14ac:dyDescent="0.2">
      <c r="A14" s="101" t="s">
        <v>45</v>
      </c>
      <c r="C14" s="101" t="s">
        <v>178</v>
      </c>
      <c r="E14" s="101" t="s">
        <v>222</v>
      </c>
      <c r="F14" s="102" t="s">
        <v>184</v>
      </c>
      <c r="J14" s="103"/>
      <c r="K14" s="187">
        <v>1000</v>
      </c>
      <c r="L14" s="72" t="s">
        <v>269</v>
      </c>
      <c r="M14" s="312">
        <f>0</f>
        <v>0</v>
      </c>
      <c r="N14" s="104"/>
      <c r="W14" s="105" t="s">
        <v>81</v>
      </c>
      <c r="X14" s="106"/>
    </row>
    <row r="15" spans="1:29" x14ac:dyDescent="0.2">
      <c r="A15" s="101" t="s">
        <v>45</v>
      </c>
      <c r="C15" s="101" t="s">
        <v>178</v>
      </c>
      <c r="E15" s="101" t="s">
        <v>222</v>
      </c>
      <c r="F15" s="102" t="s">
        <v>185</v>
      </c>
      <c r="J15" s="103"/>
      <c r="K15" s="187">
        <v>1000</v>
      </c>
      <c r="L15" s="72" t="s">
        <v>269</v>
      </c>
      <c r="M15" s="312">
        <f>0</f>
        <v>0</v>
      </c>
      <c r="N15" s="104"/>
      <c r="W15" s="105" t="s">
        <v>81</v>
      </c>
      <c r="X15" s="106"/>
    </row>
    <row r="16" spans="1:29" x14ac:dyDescent="0.2">
      <c r="A16" s="101" t="s">
        <v>45</v>
      </c>
      <c r="C16" s="101" t="s">
        <v>178</v>
      </c>
      <c r="E16" s="101" t="s">
        <v>222</v>
      </c>
      <c r="F16" s="102" t="s">
        <v>89</v>
      </c>
      <c r="J16" s="103"/>
      <c r="K16" s="187">
        <v>1000</v>
      </c>
      <c r="L16" s="72" t="s">
        <v>269</v>
      </c>
      <c r="M16" s="312">
        <f>39</f>
        <v>39</v>
      </c>
      <c r="N16" s="104"/>
      <c r="W16" s="108" t="s">
        <v>81</v>
      </c>
      <c r="X16" s="106"/>
      <c r="Y16" s="109" t="s">
        <v>90</v>
      </c>
      <c r="Z16" s="110" t="s">
        <v>186</v>
      </c>
    </row>
    <row r="17" spans="1:26" x14ac:dyDescent="0.2">
      <c r="A17" s="101" t="s">
        <v>45</v>
      </c>
      <c r="C17" s="101" t="s">
        <v>178</v>
      </c>
      <c r="E17" s="101" t="s">
        <v>222</v>
      </c>
      <c r="F17" s="102" t="s">
        <v>187</v>
      </c>
      <c r="J17" s="103"/>
      <c r="K17" s="187">
        <v>1000</v>
      </c>
      <c r="L17" s="72" t="s">
        <v>269</v>
      </c>
      <c r="M17" s="121">
        <v>0</v>
      </c>
      <c r="N17" s="104"/>
      <c r="W17" s="108" t="s">
        <v>90</v>
      </c>
      <c r="X17" s="106"/>
      <c r="Y17" s="106"/>
    </row>
    <row r="18" spans="1:26" x14ac:dyDescent="0.2">
      <c r="A18" s="101" t="s">
        <v>45</v>
      </c>
      <c r="C18" s="101" t="s">
        <v>178</v>
      </c>
      <c r="E18" s="101" t="s">
        <v>222</v>
      </c>
      <c r="F18" s="102" t="s">
        <v>92</v>
      </c>
      <c r="J18" s="103"/>
      <c r="K18" s="187">
        <v>1000</v>
      </c>
      <c r="L18" s="72" t="s">
        <v>269</v>
      </c>
      <c r="M18" s="313">
        <f>2</f>
        <v>2</v>
      </c>
      <c r="N18" s="104"/>
      <c r="W18" s="106" t="s">
        <v>50</v>
      </c>
      <c r="X18" s="106"/>
      <c r="Y18" s="106"/>
    </row>
    <row r="19" spans="1:26" s="111" customFormat="1" ht="15" x14ac:dyDescent="0.25">
      <c r="A19" s="93" t="s">
        <v>45</v>
      </c>
      <c r="C19" s="112" t="s">
        <v>178</v>
      </c>
      <c r="E19" s="93" t="s">
        <v>198</v>
      </c>
      <c r="F19" s="113"/>
      <c r="J19" s="114"/>
      <c r="K19" s="187">
        <v>1000</v>
      </c>
      <c r="L19" s="72" t="s">
        <v>269</v>
      </c>
      <c r="M19" s="275">
        <f>51</f>
        <v>51</v>
      </c>
      <c r="O19" s="276"/>
      <c r="P19" s="144"/>
      <c r="Q19" s="144"/>
      <c r="R19" s="144"/>
      <c r="S19" s="144"/>
      <c r="T19" s="144"/>
      <c r="U19" s="144"/>
      <c r="V19" s="144"/>
      <c r="W19" s="169" t="s">
        <v>247</v>
      </c>
      <c r="X19" s="170"/>
      <c r="Y19" s="169" t="s">
        <v>263</v>
      </c>
      <c r="Z19" s="170" t="s">
        <v>261</v>
      </c>
    </row>
    <row r="20" spans="1:26" s="93" customFormat="1" ht="15" x14ac:dyDescent="0.25">
      <c r="A20" s="93" t="s">
        <v>45</v>
      </c>
      <c r="C20" s="112" t="s">
        <v>178</v>
      </c>
      <c r="E20" s="93" t="s">
        <v>52</v>
      </c>
      <c r="F20" s="115"/>
      <c r="K20" s="187">
        <v>1000</v>
      </c>
      <c r="L20" s="72" t="s">
        <v>269</v>
      </c>
      <c r="M20" s="116">
        <v>10</v>
      </c>
      <c r="W20" s="122" t="s">
        <v>236</v>
      </c>
      <c r="X20" s="100"/>
      <c r="Y20" s="100" t="s">
        <v>188</v>
      </c>
    </row>
    <row r="21" spans="1:26" x14ac:dyDescent="0.2">
      <c r="A21" s="101" t="s">
        <v>45</v>
      </c>
      <c r="C21" s="313" t="s">
        <v>178</v>
      </c>
      <c r="E21" s="101" t="s">
        <v>52</v>
      </c>
      <c r="F21" s="314" t="s">
        <v>148</v>
      </c>
      <c r="J21" s="103"/>
      <c r="K21" s="187">
        <v>1000</v>
      </c>
      <c r="L21" s="72" t="s">
        <v>269</v>
      </c>
      <c r="M21" s="121">
        <f>17</f>
        <v>17</v>
      </c>
      <c r="N21" s="101"/>
      <c r="W21" s="315" t="s">
        <v>50</v>
      </c>
      <c r="X21" s="106"/>
      <c r="Y21" s="106"/>
    </row>
    <row r="22" spans="1:26" s="111" customFormat="1" ht="15" x14ac:dyDescent="0.25">
      <c r="A22" s="93" t="s">
        <v>45</v>
      </c>
      <c r="C22" s="112" t="s">
        <v>178</v>
      </c>
      <c r="E22" s="117" t="s">
        <v>149</v>
      </c>
      <c r="F22" s="118"/>
      <c r="K22" s="187">
        <v>1000</v>
      </c>
      <c r="L22" s="72" t="s">
        <v>269</v>
      </c>
      <c r="M22" s="93">
        <v>10</v>
      </c>
      <c r="W22" s="169" t="s">
        <v>256</v>
      </c>
      <c r="X22" s="100"/>
      <c r="Y22" s="119" t="s">
        <v>81</v>
      </c>
    </row>
  </sheetData>
  <phoneticPr fontId="1" type="noConversion"/>
  <hyperlinks>
    <hyperlink ref="Y16" r:id="rId1" xr:uid="{8EE935EE-1ED8-4D1E-8052-8E7C045F5996}"/>
    <hyperlink ref="Y22" r:id="rId2" location="data/FBS" xr:uid="{6A9FF580-98F1-4100-A070-A61A4FFFED97}"/>
    <hyperlink ref="W20" r:id="rId3" xr:uid="{C18E0EA1-8695-4076-A71F-6DD7CBDE59D1}"/>
    <hyperlink ref="W19" r:id="rId4" xr:uid="{FA72EEE2-077A-430D-8888-C6E559B3FD27}"/>
    <hyperlink ref="W22" r:id="rId5" xr:uid="{6EFBC6D6-8467-45CB-9716-E92D84BA51B4}"/>
    <hyperlink ref="Y19" r:id="rId6" display="https://www.fao.org/giews/countrybrief/country.jsp?code=ZMB&amp;lang=fr" xr:uid="{AD4A3F04-5173-438D-B73E-BE6A8F4B1B94}"/>
    <hyperlink ref="Y19" r:id="rId7" xr:uid="{6B2A56F6-8497-4128-9230-168DE85B5F5D}"/>
  </hyperlinks>
  <pageMargins left="0.7" right="0.7" top="0.75" bottom="0.75" header="0.3" footer="0.3"/>
  <pageSetup paperSize="9" orientation="portrait" r:id="rId8"/>
  <legacyDrawing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7800-6797-4B3F-BBEB-DEEE02D8AD3F}">
  <sheetPr>
    <tabColor rgb="FFC6E0B4"/>
  </sheetPr>
  <dimension ref="A1:AC41"/>
  <sheetViews>
    <sheetView workbookViewId="0">
      <pane ySplit="2" topLeftCell="A3" activePane="bottomLeft" state="frozen"/>
      <selection pane="bottomLeft" activeCell="D10" sqref="D10"/>
    </sheetView>
  </sheetViews>
  <sheetFormatPr baseColWidth="10" defaultColWidth="28.7109375" defaultRowHeight="15" customHeight="1" x14ac:dyDescent="0.2"/>
  <cols>
    <col min="1" max="1" width="8.28515625" style="25" bestFit="1" customWidth="1"/>
    <col min="2" max="2" width="17.5703125" style="25" bestFit="1" customWidth="1"/>
    <col min="3" max="4" width="24.85546875" style="25" customWidth="1"/>
    <col min="5" max="5" width="20.28515625" style="30" customWidth="1"/>
    <col min="6" max="6" width="20.28515625" style="25" customWidth="1"/>
    <col min="7" max="7" width="14.85546875" style="25" bestFit="1" customWidth="1"/>
    <col min="8" max="8" width="37" style="30" bestFit="1" customWidth="1"/>
    <col min="9" max="9" width="26.42578125" style="25" bestFit="1" customWidth="1"/>
    <col min="10" max="10" width="14.140625" style="25" bestFit="1" customWidth="1"/>
    <col min="11" max="12" width="14.140625" style="25" customWidth="1"/>
    <col min="13" max="13" width="8.42578125" style="30" customWidth="1"/>
    <col min="14" max="14" width="13.5703125" style="25" customWidth="1"/>
    <col min="15" max="15" width="10.28515625" style="25" bestFit="1" customWidth="1"/>
    <col min="16" max="16" width="13.5703125" style="25" customWidth="1"/>
    <col min="17" max="19" width="10.28515625" style="25" customWidth="1"/>
    <col min="20" max="20" width="12.28515625" style="25" bestFit="1" customWidth="1"/>
    <col min="21" max="21" width="19" style="25" customWidth="1"/>
    <col min="22" max="22" width="12.85546875" style="25" bestFit="1" customWidth="1"/>
    <col min="23" max="23" width="31.42578125" style="32" customWidth="1"/>
    <col min="24" max="24" width="10.7109375" style="25" customWidth="1"/>
    <col min="25" max="25" width="10.7109375" style="25" bestFit="1" customWidth="1"/>
    <col min="26" max="26" width="10.7109375" style="25" customWidth="1"/>
    <col min="27" max="27" width="10.7109375" style="25" bestFit="1" customWidth="1"/>
    <col min="28" max="28" width="10.7109375" style="25" customWidth="1"/>
    <col min="29" max="29" width="14.85546875" style="25" customWidth="1"/>
    <col min="30" max="30" width="7.42578125" style="25" customWidth="1"/>
    <col min="31" max="16384" width="28.7109375" style="25"/>
  </cols>
  <sheetData>
    <row r="1" spans="1:29" s="20" customFormat="1" ht="127.5" x14ac:dyDescent="0.25">
      <c r="A1" s="17" t="s">
        <v>0</v>
      </c>
      <c r="B1" s="17" t="s">
        <v>1</v>
      </c>
      <c r="C1" s="17" t="s">
        <v>2</v>
      </c>
      <c r="D1" s="18" t="s">
        <v>3</v>
      </c>
      <c r="E1" s="18" t="s">
        <v>4</v>
      </c>
      <c r="F1" s="57"/>
      <c r="G1" s="17" t="s">
        <v>5</v>
      </c>
      <c r="H1" s="18" t="s">
        <v>6</v>
      </c>
      <c r="I1" s="18" t="s">
        <v>7</v>
      </c>
      <c r="J1" s="18" t="s">
        <v>8</v>
      </c>
      <c r="K1" s="18"/>
      <c r="L1" s="18"/>
      <c r="M1" s="18" t="s">
        <v>9</v>
      </c>
      <c r="N1" s="18" t="s">
        <v>9</v>
      </c>
      <c r="O1" s="18" t="s">
        <v>9</v>
      </c>
      <c r="P1" s="18" t="s">
        <v>9</v>
      </c>
      <c r="Q1" s="18" t="s">
        <v>9</v>
      </c>
      <c r="R1" s="18" t="s">
        <v>9</v>
      </c>
      <c r="S1" s="18" t="s">
        <v>9</v>
      </c>
      <c r="T1" s="18" t="s">
        <v>9</v>
      </c>
      <c r="U1" s="18" t="s">
        <v>9</v>
      </c>
      <c r="V1" s="18" t="s">
        <v>9</v>
      </c>
      <c r="W1" s="19" t="s">
        <v>10</v>
      </c>
      <c r="X1" s="18" t="s">
        <v>11</v>
      </c>
      <c r="Y1" s="18" t="s">
        <v>10</v>
      </c>
      <c r="Z1" s="18" t="s">
        <v>12</v>
      </c>
      <c r="AA1" s="18" t="s">
        <v>10</v>
      </c>
      <c r="AB1" s="18" t="s">
        <v>13</v>
      </c>
      <c r="AC1" s="17" t="s">
        <v>14</v>
      </c>
    </row>
    <row r="2" spans="1:29" ht="51" x14ac:dyDescent="0.2">
      <c r="A2" s="21" t="s">
        <v>16</v>
      </c>
      <c r="B2" s="22" t="s">
        <v>17</v>
      </c>
      <c r="C2" s="21" t="s">
        <v>18</v>
      </c>
      <c r="D2" s="22" t="s">
        <v>55</v>
      </c>
      <c r="E2" s="21" t="s">
        <v>19</v>
      </c>
      <c r="F2" s="287" t="s">
        <v>20</v>
      </c>
      <c r="G2" s="22" t="s">
        <v>21</v>
      </c>
      <c r="H2" s="22" t="s">
        <v>22</v>
      </c>
      <c r="I2" s="22" t="s">
        <v>23</v>
      </c>
      <c r="J2" s="22" t="s">
        <v>24</v>
      </c>
      <c r="K2" s="135" t="s">
        <v>270</v>
      </c>
      <c r="L2" s="22" t="s">
        <v>25</v>
      </c>
      <c r="M2" s="133" t="s">
        <v>245</v>
      </c>
      <c r="N2" s="22" t="s">
        <v>26</v>
      </c>
      <c r="O2" s="22" t="s">
        <v>189</v>
      </c>
      <c r="P2" s="133" t="s">
        <v>28</v>
      </c>
      <c r="Q2" s="22" t="s">
        <v>29</v>
      </c>
      <c r="R2" s="22" t="s">
        <v>30</v>
      </c>
      <c r="S2" s="22" t="s">
        <v>31</v>
      </c>
      <c r="T2" s="23" t="s">
        <v>32</v>
      </c>
      <c r="U2" s="23" t="s">
        <v>33</v>
      </c>
      <c r="V2" s="22" t="s">
        <v>34</v>
      </c>
      <c r="W2" s="24" t="s">
        <v>35</v>
      </c>
      <c r="X2" s="22" t="s">
        <v>36</v>
      </c>
      <c r="Y2" s="22" t="s">
        <v>37</v>
      </c>
      <c r="Z2" s="22" t="s">
        <v>38</v>
      </c>
      <c r="AA2" s="22" t="s">
        <v>39</v>
      </c>
      <c r="AB2" s="22" t="s">
        <v>40</v>
      </c>
      <c r="AC2" s="21" t="s">
        <v>41</v>
      </c>
    </row>
    <row r="3" spans="1:29" s="289" customFormat="1" ht="12.75" x14ac:dyDescent="0.2">
      <c r="A3" s="288" t="s">
        <v>45</v>
      </c>
      <c r="C3" s="290" t="s">
        <v>190</v>
      </c>
      <c r="D3" s="290" t="s">
        <v>282</v>
      </c>
      <c r="E3" s="290" t="s">
        <v>222</v>
      </c>
      <c r="F3" s="291" t="s">
        <v>244</v>
      </c>
      <c r="H3" s="292"/>
      <c r="J3" s="293"/>
      <c r="K3" s="293"/>
      <c r="L3" s="294" t="s">
        <v>179</v>
      </c>
      <c r="M3" s="307">
        <v>8</v>
      </c>
      <c r="N3" s="295"/>
      <c r="W3" s="296" t="s">
        <v>50</v>
      </c>
      <c r="X3" s="297"/>
      <c r="Y3" s="290"/>
    </row>
    <row r="4" spans="1:29" ht="12.75" x14ac:dyDescent="0.2">
      <c r="A4" s="14" t="s">
        <v>45</v>
      </c>
      <c r="C4" s="14" t="s">
        <v>190</v>
      </c>
      <c r="E4" s="14" t="s">
        <v>222</v>
      </c>
      <c r="F4" s="211" t="s">
        <v>244</v>
      </c>
      <c r="H4" s="14" t="s">
        <v>191</v>
      </c>
      <c r="J4" s="15"/>
      <c r="K4" s="15"/>
      <c r="L4" s="72" t="s">
        <v>179</v>
      </c>
      <c r="M4" s="67">
        <f>6366/1000</f>
        <v>6.3659999999999997</v>
      </c>
      <c r="N4" s="298"/>
      <c r="W4" s="286" t="s">
        <v>192</v>
      </c>
      <c r="X4" s="28"/>
      <c r="Y4" s="14"/>
    </row>
    <row r="5" spans="1:29" ht="12.75" x14ac:dyDescent="0.2">
      <c r="A5" s="14" t="s">
        <v>45</v>
      </c>
      <c r="C5" s="14" t="s">
        <v>190</v>
      </c>
      <c r="E5" s="14" t="s">
        <v>222</v>
      </c>
      <c r="F5" s="211" t="s">
        <v>244</v>
      </c>
      <c r="H5" s="14" t="s">
        <v>193</v>
      </c>
      <c r="J5" s="15"/>
      <c r="K5" s="15"/>
      <c r="L5" s="72" t="s">
        <v>179</v>
      </c>
      <c r="M5" s="308">
        <f>1920/1000</f>
        <v>1.92</v>
      </c>
      <c r="N5" s="298"/>
      <c r="W5" s="286" t="s">
        <v>194</v>
      </c>
      <c r="X5" s="28"/>
      <c r="Y5" s="14" t="s">
        <v>195</v>
      </c>
    </row>
    <row r="6" spans="1:29" ht="12.75" x14ac:dyDescent="0.2">
      <c r="A6" s="14" t="s">
        <v>45</v>
      </c>
      <c r="C6" s="14" t="s">
        <v>190</v>
      </c>
      <c r="E6" s="14" t="s">
        <v>222</v>
      </c>
      <c r="F6" s="211" t="s">
        <v>244</v>
      </c>
      <c r="H6" s="14" t="s">
        <v>196</v>
      </c>
      <c r="J6" s="15"/>
      <c r="K6" s="15"/>
      <c r="L6" s="72" t="s">
        <v>179</v>
      </c>
      <c r="M6" s="308">
        <f>292/1000</f>
        <v>0.29199999999999998</v>
      </c>
      <c r="N6" s="298"/>
      <c r="W6" s="286" t="s">
        <v>194</v>
      </c>
      <c r="X6" s="28"/>
      <c r="Y6" s="14" t="s">
        <v>195</v>
      </c>
    </row>
    <row r="7" spans="1:29" ht="12.75" x14ac:dyDescent="0.2">
      <c r="A7" s="14" t="s">
        <v>45</v>
      </c>
      <c r="C7" s="65" t="s">
        <v>190</v>
      </c>
      <c r="E7" s="14" t="s">
        <v>222</v>
      </c>
      <c r="F7" s="31" t="s">
        <v>180</v>
      </c>
      <c r="J7" s="15"/>
      <c r="K7" s="15"/>
      <c r="L7" s="72" t="s">
        <v>179</v>
      </c>
      <c r="M7" s="64">
        <f>0</f>
        <v>0</v>
      </c>
      <c r="N7" s="299"/>
      <c r="W7" s="27" t="s">
        <v>81</v>
      </c>
      <c r="X7" s="31"/>
      <c r="Y7" s="14"/>
    </row>
    <row r="8" spans="1:29" ht="12.75" x14ac:dyDescent="0.2">
      <c r="A8" s="14" t="s">
        <v>45</v>
      </c>
      <c r="C8" s="65" t="s">
        <v>190</v>
      </c>
      <c r="E8" s="14" t="s">
        <v>222</v>
      </c>
      <c r="F8" s="31" t="s">
        <v>80</v>
      </c>
      <c r="J8" s="15"/>
      <c r="K8" s="15"/>
      <c r="L8" s="72" t="s">
        <v>179</v>
      </c>
      <c r="M8" s="64">
        <f>2</f>
        <v>2</v>
      </c>
      <c r="N8" s="299"/>
      <c r="W8" s="27" t="s">
        <v>81</v>
      </c>
      <c r="X8" s="31"/>
      <c r="Y8" s="14"/>
    </row>
    <row r="9" spans="1:29" ht="12.75" x14ac:dyDescent="0.2">
      <c r="A9" s="14" t="s">
        <v>45</v>
      </c>
      <c r="C9" s="65" t="s">
        <v>190</v>
      </c>
      <c r="E9" s="14" t="s">
        <v>222</v>
      </c>
      <c r="F9" s="31" t="s">
        <v>82</v>
      </c>
      <c r="J9" s="15"/>
      <c r="K9" s="15"/>
      <c r="L9" s="72" t="s">
        <v>179</v>
      </c>
      <c r="M9" s="64">
        <f>0</f>
        <v>0</v>
      </c>
      <c r="N9" s="299"/>
      <c r="W9" s="27" t="s">
        <v>81</v>
      </c>
      <c r="X9" s="31"/>
      <c r="Y9" s="14"/>
    </row>
    <row r="10" spans="1:29" ht="12.75" x14ac:dyDescent="0.2">
      <c r="A10" s="14" t="s">
        <v>45</v>
      </c>
      <c r="C10" s="65" t="s">
        <v>190</v>
      </c>
      <c r="E10" s="14" t="s">
        <v>222</v>
      </c>
      <c r="F10" s="31" t="s">
        <v>181</v>
      </c>
      <c r="J10" s="15"/>
      <c r="K10" s="15"/>
      <c r="L10" s="72" t="s">
        <v>179</v>
      </c>
      <c r="M10" s="64">
        <f>0</f>
        <v>0</v>
      </c>
      <c r="N10" s="299"/>
      <c r="W10" s="27" t="s">
        <v>81</v>
      </c>
      <c r="X10" s="31"/>
      <c r="Y10" s="14"/>
    </row>
    <row r="11" spans="1:29" ht="12.75" x14ac:dyDescent="0.2">
      <c r="A11" s="14" t="s">
        <v>45</v>
      </c>
      <c r="C11" s="65" t="s">
        <v>190</v>
      </c>
      <c r="E11" s="14" t="s">
        <v>222</v>
      </c>
      <c r="F11" s="31" t="s">
        <v>83</v>
      </c>
      <c r="J11" s="15"/>
      <c r="K11" s="15"/>
      <c r="L11" s="72" t="s">
        <v>179</v>
      </c>
      <c r="M11" s="64">
        <f>0</f>
        <v>0</v>
      </c>
      <c r="N11" s="299"/>
      <c r="W11" s="27" t="s">
        <v>81</v>
      </c>
      <c r="X11" s="31"/>
      <c r="Y11" s="14"/>
    </row>
    <row r="12" spans="1:29" ht="12.75" x14ac:dyDescent="0.2">
      <c r="A12" s="14" t="s">
        <v>45</v>
      </c>
      <c r="C12" s="65" t="s">
        <v>190</v>
      </c>
      <c r="E12" s="14" t="s">
        <v>222</v>
      </c>
      <c r="F12" s="31" t="s">
        <v>84</v>
      </c>
      <c r="J12" s="15"/>
      <c r="K12" s="15"/>
      <c r="L12" s="72" t="s">
        <v>179</v>
      </c>
      <c r="M12" s="64">
        <f>3</f>
        <v>3</v>
      </c>
      <c r="N12" s="299"/>
      <c r="W12" s="27" t="s">
        <v>81</v>
      </c>
      <c r="X12" s="31"/>
      <c r="Y12" s="14"/>
    </row>
    <row r="13" spans="1:29" ht="12.75" x14ac:dyDescent="0.2">
      <c r="A13" s="14" t="s">
        <v>45</v>
      </c>
      <c r="C13" s="65" t="s">
        <v>190</v>
      </c>
      <c r="E13" s="14" t="s">
        <v>222</v>
      </c>
      <c r="F13" s="31" t="s">
        <v>182</v>
      </c>
      <c r="J13" s="15"/>
      <c r="K13" s="15"/>
      <c r="L13" s="72" t="s">
        <v>179</v>
      </c>
      <c r="M13" s="64">
        <f>0</f>
        <v>0</v>
      </c>
      <c r="N13" s="299"/>
      <c r="W13" s="27" t="s">
        <v>81</v>
      </c>
      <c r="X13" s="31"/>
      <c r="Y13" s="14"/>
    </row>
    <row r="14" spans="1:29" ht="12.75" x14ac:dyDescent="0.2">
      <c r="A14" s="14" t="s">
        <v>45</v>
      </c>
      <c r="C14" s="65" t="s">
        <v>190</v>
      </c>
      <c r="E14" s="14" t="s">
        <v>222</v>
      </c>
      <c r="F14" s="31" t="s">
        <v>85</v>
      </c>
      <c r="J14" s="15"/>
      <c r="K14" s="15"/>
      <c r="L14" s="72" t="s">
        <v>179</v>
      </c>
      <c r="M14" s="64">
        <f>0</f>
        <v>0</v>
      </c>
      <c r="N14" s="299"/>
      <c r="W14" s="16" t="s">
        <v>86</v>
      </c>
      <c r="X14" s="31"/>
      <c r="Y14" s="14"/>
    </row>
    <row r="15" spans="1:29" ht="12.75" x14ac:dyDescent="0.2">
      <c r="A15" s="14" t="s">
        <v>45</v>
      </c>
      <c r="C15" s="65" t="s">
        <v>190</v>
      </c>
      <c r="E15" s="14" t="s">
        <v>222</v>
      </c>
      <c r="F15" s="31" t="s">
        <v>183</v>
      </c>
      <c r="J15" s="15"/>
      <c r="K15" s="15"/>
      <c r="L15" s="72" t="s">
        <v>179</v>
      </c>
      <c r="M15" s="61">
        <v>1</v>
      </c>
      <c r="N15" s="299"/>
      <c r="W15" s="16" t="s">
        <v>86</v>
      </c>
      <c r="X15" s="31"/>
      <c r="Y15" s="14"/>
    </row>
    <row r="16" spans="1:29" ht="12.75" x14ac:dyDescent="0.2">
      <c r="A16" s="14" t="s">
        <v>45</v>
      </c>
      <c r="C16" s="65" t="s">
        <v>190</v>
      </c>
      <c r="E16" s="14" t="s">
        <v>222</v>
      </c>
      <c r="F16" s="31" t="s">
        <v>88</v>
      </c>
      <c r="J16" s="15"/>
      <c r="K16" s="15"/>
      <c r="L16" s="72" t="s">
        <v>179</v>
      </c>
      <c r="M16" s="64">
        <f>0</f>
        <v>0</v>
      </c>
      <c r="N16" s="299"/>
      <c r="W16" s="27" t="s">
        <v>81</v>
      </c>
      <c r="X16" s="31"/>
      <c r="Y16" s="14"/>
    </row>
    <row r="17" spans="1:29" ht="12.75" x14ac:dyDescent="0.2">
      <c r="A17" s="14" t="s">
        <v>45</v>
      </c>
      <c r="C17" s="65" t="s">
        <v>190</v>
      </c>
      <c r="E17" s="14" t="s">
        <v>222</v>
      </c>
      <c r="F17" s="31" t="s">
        <v>184</v>
      </c>
      <c r="J17" s="15"/>
      <c r="K17" s="187">
        <v>1000</v>
      </c>
      <c r="L17" s="72" t="s">
        <v>269</v>
      </c>
      <c r="M17" s="64">
        <f>0</f>
        <v>0</v>
      </c>
      <c r="N17" s="299"/>
      <c r="W17" s="27" t="s">
        <v>81</v>
      </c>
      <c r="X17" s="31"/>
      <c r="Y17" s="14"/>
      <c r="AC17" s="25">
        <v>1</v>
      </c>
    </row>
    <row r="18" spans="1:29" ht="12.75" x14ac:dyDescent="0.2">
      <c r="A18" s="14" t="s">
        <v>45</v>
      </c>
      <c r="C18" s="65" t="s">
        <v>190</v>
      </c>
      <c r="E18" s="14" t="s">
        <v>222</v>
      </c>
      <c r="F18" s="31" t="s">
        <v>89</v>
      </c>
      <c r="J18" s="15"/>
      <c r="K18" s="187">
        <v>1000</v>
      </c>
      <c r="L18" s="72" t="s">
        <v>269</v>
      </c>
      <c r="M18" s="64">
        <f>1</f>
        <v>1</v>
      </c>
      <c r="N18" s="299"/>
      <c r="W18" s="27" t="s">
        <v>81</v>
      </c>
      <c r="X18" s="31"/>
      <c r="Y18" s="14"/>
    </row>
    <row r="19" spans="1:29" ht="12.75" x14ac:dyDescent="0.2">
      <c r="A19" s="14" t="s">
        <v>45</v>
      </c>
      <c r="C19" s="65" t="s">
        <v>190</v>
      </c>
      <c r="E19" s="14" t="s">
        <v>222</v>
      </c>
      <c r="F19" s="31" t="s">
        <v>92</v>
      </c>
      <c r="J19" s="15"/>
      <c r="K19" s="187">
        <v>1000</v>
      </c>
      <c r="L19" s="72" t="s">
        <v>269</v>
      </c>
      <c r="M19" s="309">
        <f>1</f>
        <v>1</v>
      </c>
      <c r="N19" s="299"/>
      <c r="W19" s="27" t="s">
        <v>81</v>
      </c>
      <c r="X19" s="31"/>
      <c r="Y19" s="14"/>
    </row>
    <row r="20" spans="1:29" s="33" customFormat="1" ht="12.75" x14ac:dyDescent="0.2">
      <c r="A20" s="26" t="s">
        <v>45</v>
      </c>
      <c r="C20" s="300" t="s">
        <v>190</v>
      </c>
      <c r="D20" s="26"/>
      <c r="E20" s="36" t="s">
        <v>49</v>
      </c>
      <c r="F20" s="171"/>
      <c r="H20" s="34"/>
      <c r="J20" s="301"/>
      <c r="K20" s="187">
        <v>1000</v>
      </c>
      <c r="L20" s="72" t="s">
        <v>269</v>
      </c>
      <c r="M20" s="66">
        <f>22</f>
        <v>22</v>
      </c>
      <c r="N20" s="302"/>
      <c r="W20" s="303" t="s">
        <v>81</v>
      </c>
      <c r="X20" s="304"/>
      <c r="Y20" s="304" t="s">
        <v>197</v>
      </c>
    </row>
    <row r="21" spans="1:29" s="33" customFormat="1" x14ac:dyDescent="0.25">
      <c r="A21" s="26" t="s">
        <v>45</v>
      </c>
      <c r="C21" s="300" t="s">
        <v>190</v>
      </c>
      <c r="D21" s="26"/>
      <c r="E21" s="36" t="s">
        <v>198</v>
      </c>
      <c r="F21" s="171"/>
      <c r="H21" s="34"/>
      <c r="J21" s="301"/>
      <c r="K21" s="187">
        <v>1000</v>
      </c>
      <c r="L21" s="72" t="s">
        <v>269</v>
      </c>
      <c r="M21" s="305">
        <v>1</v>
      </c>
      <c r="N21" s="302"/>
      <c r="W21" s="54" t="s">
        <v>265</v>
      </c>
      <c r="X21" s="304"/>
      <c r="Y21" s="306" t="s">
        <v>238</v>
      </c>
      <c r="Z21" s="33" t="s">
        <v>239</v>
      </c>
    </row>
    <row r="22" spans="1:29" s="26" customFormat="1" x14ac:dyDescent="0.25">
      <c r="A22" s="26" t="s">
        <v>45</v>
      </c>
      <c r="C22" s="300" t="s">
        <v>190</v>
      </c>
      <c r="E22" s="26" t="s">
        <v>52</v>
      </c>
      <c r="F22" s="304"/>
      <c r="K22" s="187">
        <v>1000</v>
      </c>
      <c r="L22" s="72" t="s">
        <v>269</v>
      </c>
      <c r="M22" s="62">
        <v>110</v>
      </c>
      <c r="W22" s="122" t="s">
        <v>243</v>
      </c>
      <c r="X22" s="304"/>
      <c r="Y22" s="35" t="s">
        <v>188</v>
      </c>
    </row>
    <row r="23" spans="1:29" s="14" customFormat="1" ht="12.75" x14ac:dyDescent="0.2">
      <c r="A23" s="14" t="s">
        <v>45</v>
      </c>
      <c r="C23" s="65" t="s">
        <v>190</v>
      </c>
      <c r="E23" s="14" t="s">
        <v>52</v>
      </c>
      <c r="F23" s="56"/>
      <c r="H23" s="14" t="s">
        <v>136</v>
      </c>
      <c r="I23" s="25"/>
      <c r="J23" s="15"/>
      <c r="K23" s="187">
        <v>1000</v>
      </c>
      <c r="L23" s="72" t="s">
        <v>269</v>
      </c>
      <c r="M23" s="308">
        <v>238</v>
      </c>
      <c r="W23" s="71" t="s">
        <v>72</v>
      </c>
      <c r="X23" s="31" t="s">
        <v>199</v>
      </c>
      <c r="Y23" s="58" t="s">
        <v>194</v>
      </c>
      <c r="Z23" s="14" t="s">
        <v>200</v>
      </c>
    </row>
    <row r="24" spans="1:29" s="14" customFormat="1" ht="12.75" x14ac:dyDescent="0.2">
      <c r="A24" s="14" t="s">
        <v>45</v>
      </c>
      <c r="C24" s="65" t="s">
        <v>190</v>
      </c>
      <c r="E24" s="14" t="s">
        <v>52</v>
      </c>
      <c r="F24" s="56"/>
      <c r="H24" s="14" t="s">
        <v>201</v>
      </c>
      <c r="K24" s="187">
        <v>1000</v>
      </c>
      <c r="L24" s="72" t="s">
        <v>269</v>
      </c>
      <c r="M24" s="67">
        <f>3995/1000</f>
        <v>3.9950000000000001</v>
      </c>
      <c r="W24" s="29" t="s">
        <v>194</v>
      </c>
      <c r="X24" s="31"/>
      <c r="Y24" s="16"/>
    </row>
    <row r="25" spans="1:29" ht="12.75" x14ac:dyDescent="0.2">
      <c r="A25" s="14" t="s">
        <v>45</v>
      </c>
      <c r="C25" s="65" t="s">
        <v>190</v>
      </c>
      <c r="D25" s="14"/>
      <c r="E25" s="14" t="s">
        <v>52</v>
      </c>
      <c r="F25" s="55" t="s">
        <v>148</v>
      </c>
      <c r="J25" s="15"/>
      <c r="K25" s="187">
        <v>1000</v>
      </c>
      <c r="L25" s="72" t="s">
        <v>269</v>
      </c>
      <c r="M25" s="67">
        <f>182</f>
        <v>182</v>
      </c>
      <c r="N25" s="14"/>
      <c r="W25" s="29" t="s">
        <v>50</v>
      </c>
      <c r="X25" s="31"/>
      <c r="Y25" s="14"/>
    </row>
    <row r="26" spans="1:29" s="33" customFormat="1" ht="12.75" x14ac:dyDescent="0.2">
      <c r="A26" s="26" t="s">
        <v>45</v>
      </c>
      <c r="C26" s="300" t="s">
        <v>190</v>
      </c>
      <c r="E26" s="34" t="s">
        <v>149</v>
      </c>
      <c r="H26" s="34"/>
      <c r="K26" s="187">
        <v>1000</v>
      </c>
      <c r="L26" s="72" t="s">
        <v>269</v>
      </c>
      <c r="M26" s="34">
        <v>700</v>
      </c>
      <c r="W26" s="213" t="s">
        <v>254</v>
      </c>
      <c r="Y26" s="306" t="s">
        <v>53</v>
      </c>
    </row>
    <row r="27" spans="1:29" ht="12.75" x14ac:dyDescent="0.2"/>
    <row r="28" spans="1:29" ht="12.75" x14ac:dyDescent="0.2"/>
    <row r="29" spans="1:29" ht="12.75" x14ac:dyDescent="0.2"/>
    <row r="30" spans="1:29" ht="12.75" x14ac:dyDescent="0.2"/>
    <row r="31" spans="1:29" ht="12.75" x14ac:dyDescent="0.2"/>
    <row r="32" spans="1:29" ht="12.75" x14ac:dyDescent="0.2"/>
    <row r="33" ht="12.75" x14ac:dyDescent="0.2"/>
    <row r="34" ht="12.75" x14ac:dyDescent="0.2"/>
    <row r="35" ht="12.75" x14ac:dyDescent="0.2"/>
    <row r="36" ht="12.75" x14ac:dyDescent="0.2"/>
    <row r="37" ht="12.75" x14ac:dyDescent="0.2"/>
    <row r="39" ht="12.75" x14ac:dyDescent="0.2"/>
    <row r="40" ht="12.75" x14ac:dyDescent="0.2"/>
    <row r="41" ht="12.75" x14ac:dyDescent="0.2"/>
  </sheetData>
  <phoneticPr fontId="1" type="noConversion"/>
  <hyperlinks>
    <hyperlink ref="W22" r:id="rId1" xr:uid="{414D2DD8-C9A9-466D-B1A7-CC69A1742D0C}"/>
    <hyperlink ref="W23" r:id="rId2" xr:uid="{BA269E22-7E82-4C4B-A98B-C48088985287}"/>
    <hyperlink ref="Y26" r:id="rId3" xr:uid="{A5A87080-53B0-46EC-BB77-8F8E6ED8DC8E}"/>
    <hyperlink ref="Y21" r:id="rId4" location=":~:text=In%202019%20Zambia%20shipped%2067,m%20for%20the%20year%202019" xr:uid="{471BACDE-421C-4B46-B3BF-B823CD7CB8BA}"/>
    <hyperlink ref="W21" r:id="rId5" location="page=59" xr:uid="{008191FD-F685-4EAF-96A5-E1A977CF0F83}"/>
    <hyperlink ref="W26" r:id="rId6" xr:uid="{283CF15B-5BF0-42AC-90AC-A5CB3048273B}"/>
  </hyperlinks>
  <pageMargins left="0.7" right="0.7" top="0.75" bottom="0.75" header="0.3" footer="0.3"/>
  <pageSetup paperSize="9" orientation="portrait"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AD2F-EF0A-4083-8144-46A1F928BAC7}">
  <dimension ref="A1:AL2"/>
  <sheetViews>
    <sheetView workbookViewId="0">
      <selection activeCell="I21" sqref="I21"/>
    </sheetView>
  </sheetViews>
  <sheetFormatPr baseColWidth="10" defaultColWidth="9.140625" defaultRowHeight="15" x14ac:dyDescent="0.25"/>
  <sheetData>
    <row r="1" spans="1:38" ht="15" customHeight="1" x14ac:dyDescent="0.35">
      <c r="A1" s="40" t="s">
        <v>0</v>
      </c>
      <c r="B1" s="41" t="s">
        <v>1</v>
      </c>
      <c r="C1" s="41" t="s">
        <v>2</v>
      </c>
      <c r="D1" s="42" t="s">
        <v>3</v>
      </c>
      <c r="E1" s="42" t="s">
        <v>4</v>
      </c>
      <c r="F1" s="42" t="s">
        <v>202</v>
      </c>
      <c r="G1" s="41" t="s">
        <v>5</v>
      </c>
      <c r="H1" s="41" t="s">
        <v>158</v>
      </c>
      <c r="I1" s="43" t="s">
        <v>6</v>
      </c>
      <c r="J1" s="42" t="s">
        <v>158</v>
      </c>
      <c r="K1" s="42" t="s">
        <v>158</v>
      </c>
      <c r="L1" s="42" t="s">
        <v>7</v>
      </c>
      <c r="M1" s="42" t="s">
        <v>158</v>
      </c>
      <c r="N1" s="42" t="s">
        <v>158</v>
      </c>
      <c r="O1" s="42" t="s">
        <v>8</v>
      </c>
      <c r="P1" s="44" t="s">
        <v>9</v>
      </c>
      <c r="Q1" s="45" t="s">
        <v>158</v>
      </c>
      <c r="R1" s="45" t="s">
        <v>158</v>
      </c>
      <c r="S1" s="45" t="s">
        <v>158</v>
      </c>
      <c r="T1" s="45" t="s">
        <v>158</v>
      </c>
      <c r="U1" s="42" t="s">
        <v>9</v>
      </c>
      <c r="V1" s="42" t="s">
        <v>9</v>
      </c>
      <c r="W1" s="42" t="s">
        <v>9</v>
      </c>
      <c r="X1" s="42" t="s">
        <v>9</v>
      </c>
      <c r="Y1" s="42" t="s">
        <v>9</v>
      </c>
      <c r="Z1" s="42" t="s">
        <v>9</v>
      </c>
      <c r="AA1" s="42" t="s">
        <v>9</v>
      </c>
      <c r="AB1" s="42" t="s">
        <v>10</v>
      </c>
      <c r="AC1" s="42" t="s">
        <v>11</v>
      </c>
      <c r="AD1" s="42" t="s">
        <v>10</v>
      </c>
      <c r="AE1" s="42" t="s">
        <v>12</v>
      </c>
      <c r="AF1" s="42" t="s">
        <v>10</v>
      </c>
      <c r="AG1" s="42" t="s">
        <v>13</v>
      </c>
      <c r="AH1" s="41" t="s">
        <v>14</v>
      </c>
      <c r="AI1" s="11"/>
      <c r="AJ1" s="340" t="s">
        <v>15</v>
      </c>
      <c r="AK1" s="341"/>
      <c r="AL1" s="342"/>
    </row>
    <row r="2" spans="1:38" ht="143.25" x14ac:dyDescent="0.25">
      <c r="A2" s="46" t="s">
        <v>16</v>
      </c>
      <c r="B2" s="47" t="s">
        <v>17</v>
      </c>
      <c r="C2" s="48" t="s">
        <v>18</v>
      </c>
      <c r="D2" s="47" t="s">
        <v>55</v>
      </c>
      <c r="E2" s="48" t="s">
        <v>19</v>
      </c>
      <c r="F2" s="47" t="s">
        <v>20</v>
      </c>
      <c r="G2" s="47" t="s">
        <v>21</v>
      </c>
      <c r="H2" s="47" t="s">
        <v>203</v>
      </c>
      <c r="I2" s="49" t="s">
        <v>22</v>
      </c>
      <c r="J2" s="50" t="s">
        <v>204</v>
      </c>
      <c r="K2" s="50" t="s">
        <v>205</v>
      </c>
      <c r="L2" s="47" t="s">
        <v>206</v>
      </c>
      <c r="M2" s="47" t="s">
        <v>207</v>
      </c>
      <c r="N2" s="47" t="s">
        <v>208</v>
      </c>
      <c r="O2" s="47" t="s">
        <v>24</v>
      </c>
      <c r="P2" s="47" t="s">
        <v>177</v>
      </c>
      <c r="Q2" s="51" t="s">
        <v>209</v>
      </c>
      <c r="R2" s="51" t="s">
        <v>210</v>
      </c>
      <c r="S2" s="52" t="s">
        <v>211</v>
      </c>
      <c r="T2" s="52" t="s">
        <v>212</v>
      </c>
      <c r="U2" s="47" t="s">
        <v>26</v>
      </c>
      <c r="V2" s="47" t="s">
        <v>27</v>
      </c>
      <c r="W2" s="47" t="s">
        <v>28</v>
      </c>
      <c r="X2" s="47" t="s">
        <v>29</v>
      </c>
      <c r="Y2" s="47" t="s">
        <v>30</v>
      </c>
      <c r="Z2" s="47" t="s">
        <v>31</v>
      </c>
      <c r="AA2" s="47" t="s">
        <v>34</v>
      </c>
      <c r="AB2" s="47" t="s">
        <v>35</v>
      </c>
      <c r="AC2" s="47" t="s">
        <v>36</v>
      </c>
      <c r="AD2" s="47" t="s">
        <v>37</v>
      </c>
      <c r="AE2" s="47" t="s">
        <v>38</v>
      </c>
      <c r="AF2" s="47" t="s">
        <v>39</v>
      </c>
      <c r="AG2" s="47" t="s">
        <v>40</v>
      </c>
      <c r="AH2" s="48" t="s">
        <v>41</v>
      </c>
      <c r="AI2" s="11"/>
      <c r="AJ2" s="46" t="s">
        <v>42</v>
      </c>
      <c r="AK2" s="47" t="s">
        <v>43</v>
      </c>
      <c r="AL2" s="53" t="s">
        <v>44</v>
      </c>
    </row>
  </sheetData>
  <mergeCells count="1">
    <mergeCell ref="AJ1:A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BDE6-206B-408D-9CAC-74BA386D57C1}">
  <sheetPr>
    <tabColor rgb="FF2F75B5"/>
  </sheetPr>
  <dimension ref="A1:AB19"/>
  <sheetViews>
    <sheetView tabSelected="1" topLeftCell="C1" zoomScale="145" zoomScaleNormal="145" workbookViewId="0">
      <pane ySplit="2" topLeftCell="A3" activePane="bottomLeft" state="frozen"/>
      <selection pane="bottomLeft" activeCell="E3" sqref="E3"/>
    </sheetView>
  </sheetViews>
  <sheetFormatPr baseColWidth="10" defaultColWidth="28.7109375" defaultRowHeight="15" x14ac:dyDescent="0.25"/>
  <cols>
    <col min="1" max="1" width="8.28515625" bestFit="1" customWidth="1"/>
    <col min="2" max="2" width="17.5703125" bestFit="1" customWidth="1"/>
    <col min="3" max="3" width="24.85546875" customWidth="1"/>
    <col min="4" max="4" width="21.5703125" bestFit="1" customWidth="1"/>
    <col min="5" max="5" width="23.28515625" customWidth="1"/>
    <col min="6" max="6" width="14.85546875" bestFit="1" customWidth="1"/>
    <col min="7" max="7" width="37" bestFit="1" customWidth="1"/>
    <col min="8" max="8" width="26.42578125" bestFit="1" customWidth="1"/>
    <col min="9" max="9" width="14.140625" bestFit="1" customWidth="1"/>
    <col min="10" max="11" width="14.140625" customWidth="1"/>
    <col min="12" max="12" width="8.42578125" customWidth="1"/>
    <col min="13" max="13" width="13.5703125" customWidth="1"/>
    <col min="14" max="14" width="10.28515625" bestFit="1" customWidth="1"/>
    <col min="15" max="15" width="13.5703125" style="1" customWidth="1"/>
    <col min="16" max="18" width="10.28515625" customWidth="1"/>
    <col min="19" max="19" width="8.5703125" customWidth="1"/>
    <col min="20" max="20" width="17.42578125" customWidth="1"/>
    <col min="21" max="21" width="12.85546875" bestFit="1" customWidth="1"/>
    <col min="22" max="22" width="10.7109375" bestFit="1" customWidth="1"/>
    <col min="23" max="23" width="10.7109375" customWidth="1"/>
    <col min="24" max="24" width="10.7109375" bestFit="1" customWidth="1"/>
    <col min="25" max="25" width="10.7109375" customWidth="1"/>
    <col min="26" max="26" width="10.7109375" bestFit="1" customWidth="1"/>
    <col min="27" max="27" width="10.7109375" customWidth="1"/>
    <col min="28" max="28" width="14.85546875" customWidth="1"/>
    <col min="29" max="29" width="7.42578125" customWidth="1"/>
  </cols>
  <sheetData>
    <row r="1" spans="1:28" s="6" customFormat="1" ht="75" customHeight="1" x14ac:dyDescent="0.25">
      <c r="A1" s="3" t="s">
        <v>0</v>
      </c>
      <c r="B1" s="3" t="s">
        <v>1</v>
      </c>
      <c r="C1" s="3" t="s">
        <v>213</v>
      </c>
      <c r="D1" s="4" t="s">
        <v>3</v>
      </c>
      <c r="E1" s="5" t="s">
        <v>4</v>
      </c>
      <c r="F1" s="3" t="s">
        <v>5</v>
      </c>
      <c r="G1" s="4" t="s">
        <v>6</v>
      </c>
      <c r="H1" s="4" t="s">
        <v>7</v>
      </c>
      <c r="I1" s="4" t="s">
        <v>8</v>
      </c>
      <c r="J1" s="4"/>
      <c r="K1" s="4" t="s">
        <v>280</v>
      </c>
      <c r="L1" s="4" t="s">
        <v>9</v>
      </c>
      <c r="M1" s="4" t="s">
        <v>9</v>
      </c>
      <c r="N1" s="4" t="s">
        <v>9</v>
      </c>
      <c r="O1" s="4" t="s">
        <v>9</v>
      </c>
      <c r="P1" s="4" t="s">
        <v>279</v>
      </c>
      <c r="Q1" s="4" t="s">
        <v>9</v>
      </c>
      <c r="R1" s="4" t="s">
        <v>278</v>
      </c>
      <c r="S1" s="4" t="s">
        <v>9</v>
      </c>
      <c r="T1" s="4" t="s">
        <v>9</v>
      </c>
      <c r="U1" s="4" t="s">
        <v>9</v>
      </c>
      <c r="V1" s="4" t="s">
        <v>10</v>
      </c>
      <c r="W1" s="4" t="s">
        <v>11</v>
      </c>
      <c r="X1" s="4" t="s">
        <v>10</v>
      </c>
      <c r="Y1" s="4" t="s">
        <v>12</v>
      </c>
      <c r="Z1" s="4" t="s">
        <v>10</v>
      </c>
      <c r="AA1" s="4" t="s">
        <v>13</v>
      </c>
      <c r="AB1" s="3" t="s">
        <v>14</v>
      </c>
    </row>
    <row r="2" spans="1:28" s="10" customFormat="1" ht="33.75" x14ac:dyDescent="0.2">
      <c r="A2" s="7" t="s">
        <v>16</v>
      </c>
      <c r="B2" s="8" t="s">
        <v>17</v>
      </c>
      <c r="C2" s="7" t="s">
        <v>214</v>
      </c>
      <c r="D2" s="7" t="s">
        <v>19</v>
      </c>
      <c r="E2" s="8" t="s">
        <v>20</v>
      </c>
      <c r="F2" s="8" t="s">
        <v>21</v>
      </c>
      <c r="G2" s="8" t="s">
        <v>22</v>
      </c>
      <c r="H2" s="8" t="s">
        <v>23</v>
      </c>
      <c r="I2" s="8" t="s">
        <v>24</v>
      </c>
      <c r="J2" s="135" t="s">
        <v>270</v>
      </c>
      <c r="K2" s="22" t="s">
        <v>25</v>
      </c>
      <c r="L2" s="133" t="s">
        <v>245</v>
      </c>
      <c r="M2" s="8" t="s">
        <v>26</v>
      </c>
      <c r="N2" s="8" t="s">
        <v>27</v>
      </c>
      <c r="O2" s="133" t="s">
        <v>28</v>
      </c>
      <c r="P2" s="8" t="s">
        <v>29</v>
      </c>
      <c r="Q2" s="8" t="s">
        <v>30</v>
      </c>
      <c r="R2" s="8" t="s">
        <v>31</v>
      </c>
      <c r="S2" s="9" t="s">
        <v>32</v>
      </c>
      <c r="T2" s="9" t="s">
        <v>33</v>
      </c>
      <c r="U2" s="8" t="s">
        <v>34</v>
      </c>
      <c r="V2" s="8" t="s">
        <v>35</v>
      </c>
      <c r="W2" s="8" t="s">
        <v>36</v>
      </c>
      <c r="X2" s="8" t="s">
        <v>37</v>
      </c>
      <c r="Y2" s="8" t="s">
        <v>38</v>
      </c>
      <c r="Z2" s="8" t="s">
        <v>39</v>
      </c>
      <c r="AA2" s="8" t="s">
        <v>40</v>
      </c>
      <c r="AB2" s="7" t="s">
        <v>41</v>
      </c>
    </row>
    <row r="3" spans="1:28" x14ac:dyDescent="0.25">
      <c r="A3" t="s">
        <v>45</v>
      </c>
      <c r="C3" s="331" t="s">
        <v>57</v>
      </c>
      <c r="D3" s="2" t="s">
        <v>47</v>
      </c>
      <c r="E3" s="11"/>
      <c r="F3" s="11"/>
      <c r="G3" s="11" t="s">
        <v>180</v>
      </c>
      <c r="H3" s="11"/>
      <c r="I3" s="11"/>
      <c r="J3" s="11">
        <v>1000</v>
      </c>
      <c r="K3" s="11" t="s">
        <v>269</v>
      </c>
      <c r="L3" s="11"/>
      <c r="M3" s="11"/>
      <c r="N3" s="11"/>
      <c r="O3" s="13">
        <v>0</v>
      </c>
      <c r="V3" s="12" t="s">
        <v>81</v>
      </c>
    </row>
    <row r="4" spans="1:28" x14ac:dyDescent="0.25">
      <c r="A4" t="s">
        <v>45</v>
      </c>
      <c r="C4" s="331" t="s">
        <v>57</v>
      </c>
      <c r="D4" s="2" t="s">
        <v>47</v>
      </c>
      <c r="E4" s="11" t="s">
        <v>80</v>
      </c>
      <c r="F4" s="11"/>
      <c r="G4" s="11"/>
      <c r="H4" s="11"/>
      <c r="I4" s="11"/>
      <c r="J4" s="11"/>
      <c r="K4" s="11"/>
      <c r="L4" s="11"/>
      <c r="M4" s="11"/>
      <c r="N4" s="11"/>
      <c r="O4" s="13"/>
      <c r="P4">
        <v>2000000</v>
      </c>
      <c r="Q4" t="s">
        <v>274</v>
      </c>
      <c r="R4">
        <v>1000</v>
      </c>
      <c r="V4" s="12" t="s">
        <v>81</v>
      </c>
    </row>
    <row r="5" spans="1:28" x14ac:dyDescent="0.25">
      <c r="A5" t="s">
        <v>45</v>
      </c>
      <c r="C5" s="331" t="s">
        <v>57</v>
      </c>
      <c r="D5" s="2" t="s">
        <v>47</v>
      </c>
      <c r="E5" s="11" t="s">
        <v>82</v>
      </c>
      <c r="F5" s="11"/>
      <c r="G5" s="11"/>
      <c r="H5" s="11"/>
      <c r="I5" s="11"/>
      <c r="J5" s="11"/>
      <c r="K5" s="11"/>
      <c r="L5" s="11"/>
      <c r="M5" s="11"/>
      <c r="N5" s="11"/>
      <c r="O5" s="13">
        <v>0.16</v>
      </c>
      <c r="P5">
        <v>2000000</v>
      </c>
      <c r="Q5" t="s">
        <v>274</v>
      </c>
      <c r="R5">
        <v>1000</v>
      </c>
      <c r="V5" s="12" t="s">
        <v>81</v>
      </c>
    </row>
    <row r="6" spans="1:28" x14ac:dyDescent="0.25">
      <c r="A6" t="s">
        <v>45</v>
      </c>
      <c r="C6" s="331" t="s">
        <v>57</v>
      </c>
      <c r="D6" s="2" t="s">
        <v>47</v>
      </c>
      <c r="E6" s="11" t="s">
        <v>181</v>
      </c>
      <c r="F6" s="11"/>
      <c r="G6" s="11"/>
      <c r="H6" s="11"/>
      <c r="I6" s="11"/>
      <c r="J6" s="11"/>
      <c r="K6" s="11"/>
      <c r="L6" s="11"/>
      <c r="M6" s="11"/>
      <c r="N6" s="11"/>
      <c r="O6" s="13">
        <v>0</v>
      </c>
      <c r="V6" s="12" t="s">
        <v>81</v>
      </c>
    </row>
    <row r="7" spans="1:28" x14ac:dyDescent="0.25">
      <c r="A7" t="s">
        <v>45</v>
      </c>
      <c r="C7" s="331" t="s">
        <v>57</v>
      </c>
      <c r="D7" s="2" t="s">
        <v>47</v>
      </c>
      <c r="E7" s="11" t="s">
        <v>215</v>
      </c>
      <c r="F7" s="11"/>
      <c r="G7" s="11"/>
      <c r="H7" s="11"/>
      <c r="I7" s="11"/>
      <c r="J7" s="11"/>
      <c r="K7" s="11"/>
      <c r="L7" s="11"/>
      <c r="M7" s="11"/>
      <c r="N7" s="11"/>
      <c r="O7" s="13">
        <v>0.02</v>
      </c>
      <c r="V7" s="12" t="s">
        <v>81</v>
      </c>
    </row>
    <row r="8" spans="1:28" x14ac:dyDescent="0.25">
      <c r="A8" t="s">
        <v>45</v>
      </c>
      <c r="C8" s="331" t="s">
        <v>57</v>
      </c>
      <c r="D8" s="2" t="s">
        <v>47</v>
      </c>
      <c r="E8" s="11" t="s">
        <v>84</v>
      </c>
      <c r="F8" s="11"/>
      <c r="G8" s="11"/>
      <c r="H8" s="11"/>
      <c r="I8" s="11"/>
      <c r="J8" s="11">
        <v>1000</v>
      </c>
      <c r="K8" s="11" t="s">
        <v>269</v>
      </c>
      <c r="L8" s="11"/>
      <c r="M8" s="11"/>
      <c r="N8" s="11"/>
      <c r="O8" s="13">
        <v>1.94</v>
      </c>
      <c r="V8" s="12" t="s">
        <v>81</v>
      </c>
    </row>
    <row r="9" spans="1:28" x14ac:dyDescent="0.25">
      <c r="A9" t="s">
        <v>45</v>
      </c>
      <c r="C9" s="331" t="s">
        <v>57</v>
      </c>
      <c r="D9" s="2" t="s">
        <v>47</v>
      </c>
      <c r="E9" s="11" t="s">
        <v>88</v>
      </c>
      <c r="F9" s="11"/>
      <c r="G9" s="11"/>
      <c r="H9" s="11"/>
      <c r="I9" s="11"/>
      <c r="J9" s="11">
        <v>1000</v>
      </c>
      <c r="K9" s="11" t="s">
        <v>269</v>
      </c>
      <c r="L9" s="11"/>
      <c r="M9" s="11"/>
      <c r="N9" s="11"/>
      <c r="O9" s="13">
        <v>0</v>
      </c>
      <c r="V9" s="12" t="s">
        <v>81</v>
      </c>
    </row>
    <row r="10" spans="1:28" x14ac:dyDescent="0.25">
      <c r="A10" t="s">
        <v>45</v>
      </c>
      <c r="C10" s="331" t="s">
        <v>57</v>
      </c>
      <c r="D10" s="2" t="s">
        <v>47</v>
      </c>
      <c r="E10" s="11" t="s">
        <v>216</v>
      </c>
      <c r="F10" s="11"/>
      <c r="G10" s="11"/>
      <c r="H10" s="11"/>
      <c r="I10" s="11"/>
      <c r="J10" s="11">
        <v>1000</v>
      </c>
      <c r="K10" s="11" t="s">
        <v>269</v>
      </c>
      <c r="L10" s="11"/>
      <c r="M10" s="11"/>
      <c r="N10" s="11"/>
      <c r="O10" s="13">
        <v>0</v>
      </c>
      <c r="V10" s="12" t="s">
        <v>81</v>
      </c>
    </row>
    <row r="11" spans="1:28" x14ac:dyDescent="0.25">
      <c r="A11" t="s">
        <v>45</v>
      </c>
      <c r="C11" s="331" t="s">
        <v>57</v>
      </c>
      <c r="D11" s="2" t="s">
        <v>47</v>
      </c>
      <c r="E11" s="11" t="s">
        <v>217</v>
      </c>
      <c r="F11" s="11"/>
      <c r="G11" s="11"/>
      <c r="H11" s="11"/>
      <c r="I11" s="11"/>
      <c r="J11" s="11">
        <v>1000</v>
      </c>
      <c r="K11" s="11" t="s">
        <v>269</v>
      </c>
      <c r="L11" s="11"/>
      <c r="M11" s="11"/>
      <c r="N11" s="11"/>
      <c r="O11" s="13">
        <v>0</v>
      </c>
      <c r="V11" s="12" t="s">
        <v>81</v>
      </c>
    </row>
    <row r="12" spans="1:28" x14ac:dyDescent="0.25">
      <c r="A12" t="s">
        <v>45</v>
      </c>
      <c r="C12" s="331" t="s">
        <v>57</v>
      </c>
      <c r="D12" s="2" t="s">
        <v>47</v>
      </c>
      <c r="E12" s="11" t="s">
        <v>89</v>
      </c>
      <c r="F12" s="11"/>
      <c r="G12" s="11"/>
      <c r="H12" s="11"/>
      <c r="I12" s="11"/>
      <c r="J12" s="11">
        <v>1000</v>
      </c>
      <c r="K12" s="11" t="s">
        <v>269</v>
      </c>
      <c r="L12" s="11"/>
      <c r="M12" s="11"/>
      <c r="N12" s="11"/>
      <c r="O12" s="13">
        <v>4.29</v>
      </c>
      <c r="V12" s="12" t="s">
        <v>81</v>
      </c>
    </row>
    <row r="13" spans="1:28" x14ac:dyDescent="0.25">
      <c r="A13" t="s">
        <v>45</v>
      </c>
      <c r="C13" s="331" t="s">
        <v>57</v>
      </c>
      <c r="D13" s="2" t="s">
        <v>47</v>
      </c>
      <c r="E13" s="11" t="s">
        <v>218</v>
      </c>
      <c r="F13" s="11"/>
      <c r="G13" s="11"/>
      <c r="H13" s="11"/>
      <c r="I13" s="11"/>
      <c r="J13" s="11">
        <v>1000</v>
      </c>
      <c r="K13" s="11" t="s">
        <v>269</v>
      </c>
      <c r="L13" s="11"/>
      <c r="M13" s="11"/>
      <c r="N13" s="11"/>
      <c r="O13" s="13">
        <v>0.83</v>
      </c>
      <c r="V13" s="12" t="s">
        <v>81</v>
      </c>
    </row>
    <row r="14" spans="1:28" s="37" customFormat="1" x14ac:dyDescent="0.25">
      <c r="A14" s="37" t="s">
        <v>275</v>
      </c>
      <c r="C14" s="331" t="s">
        <v>57</v>
      </c>
      <c r="D14" s="330" t="s">
        <v>267</v>
      </c>
      <c r="J14" s="11">
        <v>1000</v>
      </c>
      <c r="K14" s="11" t="s">
        <v>269</v>
      </c>
      <c r="O14" s="81">
        <v>10.33</v>
      </c>
      <c r="V14" s="38" t="s">
        <v>81</v>
      </c>
      <c r="X14" t="s">
        <v>219</v>
      </c>
      <c r="Y14" t="s">
        <v>220</v>
      </c>
    </row>
    <row r="15" spans="1:28" s="37" customFormat="1" x14ac:dyDescent="0.25">
      <c r="A15" s="37" t="s">
        <v>45</v>
      </c>
      <c r="C15" s="331" t="s">
        <v>57</v>
      </c>
      <c r="D15" s="37" t="s">
        <v>49</v>
      </c>
      <c r="J15" s="11">
        <v>1000</v>
      </c>
      <c r="K15" s="11" t="s">
        <v>269</v>
      </c>
      <c r="O15" s="81">
        <v>10.119999999999999</v>
      </c>
      <c r="V15" s="38" t="s">
        <v>81</v>
      </c>
      <c r="X15" t="s">
        <v>234</v>
      </c>
      <c r="Y15" t="s">
        <v>221</v>
      </c>
    </row>
    <row r="16" spans="1:28" s="37" customFormat="1" x14ac:dyDescent="0.25">
      <c r="A16" s="37" t="s">
        <v>277</v>
      </c>
      <c r="C16" s="331" t="s">
        <v>57</v>
      </c>
      <c r="D16" s="37" t="s">
        <v>52</v>
      </c>
      <c r="E16" s="37" t="s">
        <v>268</v>
      </c>
      <c r="J16" s="11">
        <v>1000</v>
      </c>
      <c r="K16" s="11" t="s">
        <v>269</v>
      </c>
      <c r="O16" s="81">
        <v>9.34</v>
      </c>
      <c r="V16" s="329" t="s">
        <v>81</v>
      </c>
      <c r="X16"/>
      <c r="Y16"/>
    </row>
    <row r="17" spans="1:25" s="37" customFormat="1" x14ac:dyDescent="0.25">
      <c r="A17" s="37" t="s">
        <v>45</v>
      </c>
      <c r="C17" s="331" t="s">
        <v>57</v>
      </c>
      <c r="D17" s="39" t="s">
        <v>198</v>
      </c>
      <c r="J17" s="11">
        <v>1000</v>
      </c>
      <c r="K17" s="11" t="s">
        <v>269</v>
      </c>
      <c r="O17" s="81">
        <v>14</v>
      </c>
      <c r="V17" s="12" t="s">
        <v>265</v>
      </c>
      <c r="X17"/>
      <c r="Y17"/>
    </row>
    <row r="18" spans="1:25" s="37" customFormat="1" x14ac:dyDescent="0.25">
      <c r="A18" s="37" t="s">
        <v>45</v>
      </c>
      <c r="C18" s="331" t="s">
        <v>57</v>
      </c>
      <c r="D18" s="37" t="s">
        <v>233</v>
      </c>
      <c r="J18" s="11">
        <v>2000</v>
      </c>
      <c r="K18" s="11" t="s">
        <v>269</v>
      </c>
      <c r="L18" s="37">
        <v>2462.83</v>
      </c>
      <c r="M18" s="37" t="s">
        <v>281</v>
      </c>
      <c r="O18" s="80">
        <v>126.95</v>
      </c>
      <c r="V18" s="38" t="s">
        <v>81</v>
      </c>
      <c r="X18" t="s">
        <v>234</v>
      </c>
      <c r="Y18" t="s">
        <v>221</v>
      </c>
    </row>
    <row r="19" spans="1:25" x14ac:dyDescent="0.25">
      <c r="J19" s="11"/>
      <c r="K19" s="11"/>
    </row>
  </sheetData>
  <phoneticPr fontId="1" type="noConversion"/>
  <hyperlinks>
    <hyperlink ref="V14" r:id="rId1" location="data/FBS" xr:uid="{58A169AD-0C39-440F-A919-1D0555ADC29C}"/>
    <hyperlink ref="V3" r:id="rId2" location="data/FBS" xr:uid="{12F1400F-D6AD-4B74-8EF3-629B91E1092E}"/>
    <hyperlink ref="V4:V13" r:id="rId3" location="data/FBS" display="https://www.fao.org/faostat/en/#data/FBS" xr:uid="{A4FA435F-251F-493B-80E4-DC16E12E9BA5}"/>
    <hyperlink ref="V15" r:id="rId4" location="data/FBS" xr:uid="{03AD4789-3440-4C5E-8154-277FE20BB613}"/>
    <hyperlink ref="V18" r:id="rId5" location="data/FBS" display="https://www.fao.org/faostat/en/ - data/FBS" xr:uid="{43E44D70-E31B-4BD7-96C1-56D71AAF7FB6}"/>
    <hyperlink ref="V17" r:id="rId6" location="page=59" xr:uid="{00807BD9-4CBA-4809-83BF-FBF4F71AFAFF}"/>
  </hyperlinks>
  <pageMargins left="0.7" right="0.7" top="0.75" bottom="0.75" header="0.3" footer="0.3"/>
  <pageSetup paperSize="9" orientation="portrait" r:id="rId7"/>
  <legacy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F9B92-883A-470D-AC97-DC9110599BA4}">
  <dimension ref="A1:H25"/>
  <sheetViews>
    <sheetView workbookViewId="0">
      <pane ySplit="1" topLeftCell="A2" activePane="bottomLeft" state="frozen"/>
      <selection pane="bottomLeft" activeCell="J33" sqref="J33"/>
    </sheetView>
  </sheetViews>
  <sheetFormatPr baseColWidth="10" defaultColWidth="11.42578125" defaultRowHeight="15" x14ac:dyDescent="0.25"/>
  <cols>
    <col min="2" max="2" width="12.28515625" bestFit="1" customWidth="1"/>
    <col min="3" max="3" width="26.140625" style="334" customWidth="1"/>
    <col min="4" max="4" width="27.28515625" style="334" customWidth="1"/>
    <col min="5" max="5" width="22.7109375" style="334" customWidth="1"/>
    <col min="6" max="6" width="21.28515625" style="334" bestFit="1" customWidth="1"/>
    <col min="7" max="7" width="18.85546875" style="334" bestFit="1" customWidth="1"/>
    <col min="8" max="8" width="11.42578125" style="334"/>
  </cols>
  <sheetData>
    <row r="1" spans="1:7" x14ac:dyDescent="0.25">
      <c r="A1" t="s">
        <v>16</v>
      </c>
      <c r="B1" t="s">
        <v>17</v>
      </c>
      <c r="C1" s="333" t="s">
        <v>18</v>
      </c>
      <c r="D1" s="333" t="s">
        <v>214</v>
      </c>
      <c r="E1" s="333" t="s">
        <v>41</v>
      </c>
      <c r="F1" s="333" t="s">
        <v>20</v>
      </c>
      <c r="G1" s="333" t="s">
        <v>19</v>
      </c>
    </row>
    <row r="2" spans="1:7" x14ac:dyDescent="0.25">
      <c r="A2" t="s">
        <v>45</v>
      </c>
      <c r="B2" t="s">
        <v>74</v>
      </c>
      <c r="C2" s="334" t="s">
        <v>57</v>
      </c>
      <c r="D2" s="334" t="s">
        <v>57</v>
      </c>
      <c r="E2" s="334">
        <v>0</v>
      </c>
      <c r="F2" s="334" t="s">
        <v>163</v>
      </c>
      <c r="G2" s="334" t="s">
        <v>222</v>
      </c>
    </row>
    <row r="3" spans="1:7" x14ac:dyDescent="0.25">
      <c r="A3" t="s">
        <v>275</v>
      </c>
      <c r="B3" t="s">
        <v>56</v>
      </c>
      <c r="C3" s="334" t="s">
        <v>178</v>
      </c>
      <c r="D3" s="334" t="s">
        <v>178</v>
      </c>
      <c r="E3" s="334">
        <v>1</v>
      </c>
      <c r="F3" s="334" t="s">
        <v>244</v>
      </c>
      <c r="G3" s="334" t="s">
        <v>149</v>
      </c>
    </row>
    <row r="4" spans="1:7" x14ac:dyDescent="0.25">
      <c r="A4" t="s">
        <v>277</v>
      </c>
      <c r="B4" t="s">
        <v>223</v>
      </c>
      <c r="C4" s="334" t="s">
        <v>190</v>
      </c>
      <c r="D4" s="334" t="s">
        <v>190</v>
      </c>
      <c r="F4" s="334" t="s">
        <v>80</v>
      </c>
      <c r="G4" s="334" t="s">
        <v>198</v>
      </c>
    </row>
    <row r="5" spans="1:7" x14ac:dyDescent="0.25">
      <c r="B5" t="s">
        <v>224</v>
      </c>
      <c r="C5" s="334" t="s">
        <v>225</v>
      </c>
      <c r="D5" s="334" t="s">
        <v>225</v>
      </c>
      <c r="F5" s="334" t="s">
        <v>82</v>
      </c>
      <c r="G5" s="334" t="s">
        <v>52</v>
      </c>
    </row>
    <row r="6" spans="1:7" x14ac:dyDescent="0.25">
      <c r="B6" t="s">
        <v>226</v>
      </c>
      <c r="C6" s="334" t="s">
        <v>227</v>
      </c>
      <c r="D6" s="334" t="s">
        <v>227</v>
      </c>
      <c r="F6" s="334" t="s">
        <v>83</v>
      </c>
      <c r="G6" s="334" t="s">
        <v>228</v>
      </c>
    </row>
    <row r="7" spans="1:7" x14ac:dyDescent="0.25">
      <c r="B7" t="s">
        <v>229</v>
      </c>
      <c r="C7" s="334" t="s">
        <v>230</v>
      </c>
      <c r="D7" s="334" t="s">
        <v>230</v>
      </c>
      <c r="F7" s="334" t="s">
        <v>84</v>
      </c>
      <c r="G7" s="334" t="s">
        <v>231</v>
      </c>
    </row>
    <row r="8" spans="1:7" x14ac:dyDescent="0.25">
      <c r="B8" t="s">
        <v>232</v>
      </c>
      <c r="C8" s="334" t="s">
        <v>46</v>
      </c>
      <c r="D8" s="334" t="s">
        <v>46</v>
      </c>
      <c r="F8" s="334" t="s">
        <v>85</v>
      </c>
      <c r="G8" s="334" t="s">
        <v>222</v>
      </c>
    </row>
    <row r="9" spans="1:7" x14ac:dyDescent="0.25">
      <c r="B9" s="184" t="s">
        <v>77</v>
      </c>
      <c r="C9" s="334" t="s">
        <v>46</v>
      </c>
      <c r="D9" s="334" t="s">
        <v>46</v>
      </c>
      <c r="F9" s="334" t="s">
        <v>88</v>
      </c>
      <c r="G9" s="334" t="s">
        <v>49</v>
      </c>
    </row>
    <row r="10" spans="1:7" x14ac:dyDescent="0.25">
      <c r="B10" s="184" t="s">
        <v>129</v>
      </c>
      <c r="C10" s="334" t="s">
        <v>57</v>
      </c>
      <c r="D10" s="334" t="s">
        <v>57</v>
      </c>
      <c r="F10" s="334" t="s">
        <v>89</v>
      </c>
      <c r="G10" s="334" t="s">
        <v>198</v>
      </c>
    </row>
    <row r="11" spans="1:7" x14ac:dyDescent="0.25">
      <c r="B11" s="184"/>
      <c r="C11" s="334" t="s">
        <v>190</v>
      </c>
      <c r="D11" s="334" t="s">
        <v>190</v>
      </c>
      <c r="F11" s="334" t="s">
        <v>92</v>
      </c>
      <c r="G11" s="334" t="s">
        <v>52</v>
      </c>
    </row>
    <row r="12" spans="1:7" x14ac:dyDescent="0.25">
      <c r="C12" s="334" t="s">
        <v>178</v>
      </c>
      <c r="D12" s="334" t="s">
        <v>178</v>
      </c>
      <c r="F12" s="334" t="s">
        <v>148</v>
      </c>
      <c r="G12" s="334" t="s">
        <v>222</v>
      </c>
    </row>
    <row r="13" spans="1:7" x14ac:dyDescent="0.25">
      <c r="C13" s="334" t="s">
        <v>237</v>
      </c>
      <c r="D13" s="334" t="s">
        <v>237</v>
      </c>
      <c r="F13" s="334" t="s">
        <v>149</v>
      </c>
      <c r="G13" s="334" t="s">
        <v>49</v>
      </c>
    </row>
    <row r="14" spans="1:7" x14ac:dyDescent="0.25">
      <c r="C14" s="334" t="s">
        <v>230</v>
      </c>
      <c r="D14" s="334" t="s">
        <v>230</v>
      </c>
      <c r="F14" s="335" t="s">
        <v>180</v>
      </c>
      <c r="G14" s="334" t="s">
        <v>148</v>
      </c>
    </row>
    <row r="15" spans="1:7" x14ac:dyDescent="0.25">
      <c r="F15" s="335" t="s">
        <v>181</v>
      </c>
      <c r="G15" s="334" t="s">
        <v>267</v>
      </c>
    </row>
    <row r="16" spans="1:7" x14ac:dyDescent="0.25">
      <c r="F16" s="335" t="s">
        <v>182</v>
      </c>
      <c r="G16" s="334" t="s">
        <v>233</v>
      </c>
    </row>
    <row r="17" spans="6:6" x14ac:dyDescent="0.25">
      <c r="F17" s="335" t="s">
        <v>183</v>
      </c>
    </row>
    <row r="18" spans="6:6" x14ac:dyDescent="0.25">
      <c r="F18" s="335" t="s">
        <v>184</v>
      </c>
    </row>
    <row r="19" spans="6:6" x14ac:dyDescent="0.25">
      <c r="F19" s="334" t="s">
        <v>185</v>
      </c>
    </row>
    <row r="20" spans="6:6" x14ac:dyDescent="0.25">
      <c r="F20" s="334" t="s">
        <v>187</v>
      </c>
    </row>
    <row r="21" spans="6:6" x14ac:dyDescent="0.25">
      <c r="F21" s="336" t="s">
        <v>215</v>
      </c>
    </row>
    <row r="22" spans="6:6" x14ac:dyDescent="0.25">
      <c r="F22" s="336" t="s">
        <v>216</v>
      </c>
    </row>
    <row r="23" spans="6:6" x14ac:dyDescent="0.25">
      <c r="F23" s="336" t="s">
        <v>217</v>
      </c>
    </row>
    <row r="24" spans="6:6" x14ac:dyDescent="0.25">
      <c r="F24" s="336" t="s">
        <v>218</v>
      </c>
    </row>
    <row r="25" spans="6:6" x14ac:dyDescent="0.25">
      <c r="F25" s="334" t="s">
        <v>268</v>
      </c>
    </row>
  </sheetData>
  <pageMargins left="0.7" right="0.7" top="0.75" bottom="0.75" header="0.3" footer="0.3"/>
  <pageSetup paperSize="9" orientation="portrait" horizontalDpi="300" verticalDpi="300" r:id="rId1"/>
  <tableParts count="7">
    <tablePart r:id="rId2"/>
    <tablePart r:id="rId3"/>
    <tablePart r:id="rId4"/>
    <tablePart r:id="rId5"/>
    <tablePart r:id="rId6"/>
    <tablePart r:id="rId7"/>
    <tablePart r:id="rId8"/>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9AE67-EBB8-4F35-A036-CB7DF8045575}">
  <dimension ref="A1:C4"/>
  <sheetViews>
    <sheetView workbookViewId="0">
      <selection activeCell="K27" sqref="K27"/>
    </sheetView>
  </sheetViews>
  <sheetFormatPr baseColWidth="10" defaultRowHeight="15" x14ac:dyDescent="0.25"/>
  <cols>
    <col min="1" max="1" width="11.42578125" style="338"/>
    <col min="2" max="2" width="19" style="338" customWidth="1"/>
    <col min="3" max="3" width="12.85546875" style="338" customWidth="1"/>
  </cols>
  <sheetData>
    <row r="1" spans="1:3" x14ac:dyDescent="0.25">
      <c r="A1" t="s">
        <v>16</v>
      </c>
      <c r="B1" t="s">
        <v>271</v>
      </c>
      <c r="C1" t="s">
        <v>276</v>
      </c>
    </row>
    <row r="2" spans="1:3" x14ac:dyDescent="0.25">
      <c r="A2" s="338" t="s">
        <v>45</v>
      </c>
      <c r="B2" s="338" t="s">
        <v>46</v>
      </c>
      <c r="C2" s="338">
        <v>19400000</v>
      </c>
    </row>
    <row r="3" spans="1:3" x14ac:dyDescent="0.25">
      <c r="A3" s="338" t="s">
        <v>275</v>
      </c>
      <c r="B3" s="338" t="s">
        <v>46</v>
      </c>
      <c r="C3" s="338">
        <v>213000000</v>
      </c>
    </row>
    <row r="4" spans="1:3" x14ac:dyDescent="0.25">
      <c r="A4" s="338" t="s">
        <v>277</v>
      </c>
      <c r="B4" s="338" t="s">
        <v>46</v>
      </c>
      <c r="C4" s="338">
        <v>68000000</v>
      </c>
    </row>
  </sheetData>
  <sheetProtection algorithmName="SHA-512" hashValue="IFc4TJCu2Ng8pVMyGpyBMLdNfHT9sEpc4UF/3nKs/BYsiJYrIF8VcMyhK3uWdxx4O0/snmGtQFA6roouD6BtGg==" saltValue="EFh9AoQU1J+Cox5ht3Ao0Q==" spinCount="100000" sheet="1" objects="1" scenarios="1"/>
  <pageMargins left="0.7" right="0.7" top="0.75" bottom="0.75" header="0.3" footer="0.3"/>
  <pageSetup paperSize="9" orientation="portrait" horizontalDpi="300" verticalDpi="300"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3e637ed-b4af-4d23-94fc-340517a83c43" xsi:nil="true"/>
    <lcf76f155ced4ddcb4097134ff3c332f xmlns="bafe9018-461b-45b8-ac52-b0f15775a35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6E48B7C84E6F4DADC310521E230664" ma:contentTypeVersion="10" ma:contentTypeDescription="Crée un document." ma:contentTypeScope="" ma:versionID="bb483021f0c4eb04fcf9de9b5ed0a631">
  <xsd:schema xmlns:xsd="http://www.w3.org/2001/XMLSchema" xmlns:xs="http://www.w3.org/2001/XMLSchema" xmlns:p="http://schemas.microsoft.com/office/2006/metadata/properties" xmlns:ns2="bafe9018-461b-45b8-ac52-b0f15775a35c" xmlns:ns3="23e637ed-b4af-4d23-94fc-340517a83c43" targetNamespace="http://schemas.microsoft.com/office/2006/metadata/properties" ma:root="true" ma:fieldsID="0906883ba7220c0a844ad0b25259f72f" ns2:_="" ns3:_="">
    <xsd:import namespace="bafe9018-461b-45b8-ac52-b0f15775a35c"/>
    <xsd:import namespace="23e637ed-b4af-4d23-94fc-340517a83c4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fe9018-461b-45b8-ac52-b0f15775a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dd309637-dd75-4fdb-9808-3f7b3632bd6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e637ed-b4af-4d23-94fc-340517a83c4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71ff073-6d57-43d9-8e31-03e1543a3abd}" ma:internalName="TaxCatchAll" ma:showField="CatchAllData" ma:web="23e637ed-b4af-4d23-94fc-340517a83c4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EDB442-B181-4475-9978-82C0C559756A}">
  <ds:schemaRefs>
    <ds:schemaRef ds:uri="http://schemas.microsoft.com/sharepoint/v3/contenttype/forms"/>
  </ds:schemaRefs>
</ds:datastoreItem>
</file>

<file path=customXml/itemProps2.xml><?xml version="1.0" encoding="utf-8"?>
<ds:datastoreItem xmlns:ds="http://schemas.openxmlformats.org/officeDocument/2006/customXml" ds:itemID="{37DECA91-B173-4F0A-8C0C-623CD9AFCBB9}">
  <ds:schemaRefs>
    <ds:schemaRef ds:uri="http://schemas.microsoft.com/office/2006/metadata/properties"/>
    <ds:schemaRef ds:uri="http://schemas.microsoft.com/office/infopath/2007/PartnerControls"/>
    <ds:schemaRef ds:uri="aaa42312-913c-4222-b651-465b1bc0aae7"/>
    <ds:schemaRef ds:uri="ac55c4bc-8527-4be3-8eeb-7cb2b0ca755f"/>
  </ds:schemaRefs>
</ds:datastoreItem>
</file>

<file path=customXml/itemProps3.xml><?xml version="1.0" encoding="utf-8"?>
<ds:datastoreItem xmlns:ds="http://schemas.openxmlformats.org/officeDocument/2006/customXml" ds:itemID="{638CF593-AD03-4B2C-A2CA-D1243B23CC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SupplyFood</vt:lpstr>
      <vt:lpstr>SupplyLocalProd</vt:lpstr>
      <vt:lpstr>SupplyImport</vt:lpstr>
      <vt:lpstr>SupplyExport</vt:lpstr>
      <vt:lpstr>Sheet1</vt:lpstr>
      <vt:lpstr>ConsumptionFood</vt:lpstr>
      <vt:lpstr>Listes</vt:lpstr>
      <vt:lpstr>CountryPop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Roques Pierre</dc:creator>
  <cp:keywords/>
  <dc:description/>
  <cp:lastModifiedBy>Roques Pierre</cp:lastModifiedBy>
  <cp:revision/>
  <dcterms:created xsi:type="dcterms:W3CDTF">2015-06-05T18:19:34Z</dcterms:created>
  <dcterms:modified xsi:type="dcterms:W3CDTF">2023-06-05T08:43:28Z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0x010100E81FAAC229613142A1B76F28D22BE386</vt:lpwstr>
  </property>
  <property fmtid="{D5CDD505-2E9C-101B-9397-08002B2CF9AE}" pid="3" name="MediaServiceImageTags">
    <vt:lpwstr/>
  </property>
</Properties>
</file>