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/>
  <mc:AlternateContent xmlns:mc="http://schemas.openxmlformats.org/markup-compatibility/2006">
    <mc:Choice Requires="x15">
      <x15ac:absPath xmlns:x15ac="http://schemas.microsoft.com/office/spreadsheetml/2010/11/ac" url="/Users/evgenijsvetasev/Desktop/IBS/"/>
    </mc:Choice>
  </mc:AlternateContent>
  <xr:revisionPtr revIDLastSave="0" documentId="13_ncr:1_{A94F6587-FAE1-D541-9777-2C207C413F7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Автоматизированный расчет" sheetId="3" r:id="rId1"/>
    <sheet name="Шаблоны соотвествие профилю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2" l="1"/>
  <c r="I56" i="2"/>
  <c r="I57" i="2"/>
  <c r="I58" i="2"/>
  <c r="G48" i="2"/>
  <c r="G49" i="2"/>
  <c r="G50" i="2"/>
  <c r="G51" i="2"/>
  <c r="G52" i="2"/>
  <c r="G53" i="2"/>
  <c r="G54" i="2"/>
  <c r="G55" i="2"/>
  <c r="G56" i="2"/>
  <c r="G57" i="2"/>
  <c r="G58" i="2"/>
  <c r="O57" i="2"/>
  <c r="O56" i="2"/>
  <c r="O55" i="2"/>
  <c r="O54" i="2"/>
  <c r="O53" i="2"/>
  <c r="O52" i="2"/>
  <c r="O51" i="2"/>
  <c r="O50" i="2"/>
  <c r="O49" i="2"/>
  <c r="O48" i="2"/>
  <c r="O47" i="2"/>
  <c r="G30" i="2"/>
  <c r="G31" i="2"/>
  <c r="G32" i="2"/>
  <c r="G33" i="2"/>
  <c r="G34" i="2"/>
  <c r="G35" i="2"/>
  <c r="G36" i="2"/>
  <c r="G37" i="2"/>
  <c r="G38" i="2"/>
  <c r="I38" i="2" s="1"/>
  <c r="G39" i="2"/>
  <c r="G29" i="2"/>
  <c r="O28" i="2"/>
  <c r="O29" i="2"/>
  <c r="O30" i="2"/>
  <c r="O31" i="2"/>
  <c r="O32" i="2"/>
  <c r="O33" i="2"/>
  <c r="O34" i="2"/>
  <c r="O35" i="2"/>
  <c r="O36" i="2"/>
  <c r="O37" i="2"/>
  <c r="O27" i="2"/>
  <c r="I36" i="2"/>
  <c r="I37" i="2"/>
  <c r="I39" i="2"/>
  <c r="V14" i="2"/>
  <c r="V15" i="2"/>
  <c r="V16" i="2"/>
  <c r="V17" i="2"/>
  <c r="V18" i="2"/>
  <c r="V19" i="2"/>
  <c r="V20" i="2"/>
  <c r="V21" i="2"/>
  <c r="V22" i="2"/>
  <c r="V23" i="2"/>
  <c r="V13" i="2"/>
  <c r="H13" i="2"/>
  <c r="H14" i="2"/>
  <c r="H15" i="2"/>
  <c r="H16" i="2"/>
  <c r="H17" i="2"/>
  <c r="H18" i="2"/>
  <c r="H19" i="2"/>
  <c r="I19" i="2" s="1"/>
  <c r="H20" i="2"/>
  <c r="I20" i="2" s="1"/>
  <c r="H21" i="2"/>
  <c r="I21" i="2" s="1"/>
  <c r="H22" i="2"/>
  <c r="H12" i="2"/>
  <c r="I22" i="2"/>
  <c r="I35" i="3"/>
  <c r="I36" i="3"/>
  <c r="I37" i="3"/>
  <c r="I38" i="3"/>
  <c r="I39" i="3"/>
  <c r="I40" i="3"/>
  <c r="I41" i="3"/>
  <c r="I42" i="3"/>
  <c r="I43" i="3"/>
  <c r="I44" i="3"/>
  <c r="I34" i="3"/>
  <c r="G45" i="3"/>
  <c r="H45" i="3" s="1"/>
  <c r="H41" i="3"/>
  <c r="H42" i="3"/>
  <c r="H43" i="3"/>
  <c r="H44" i="3"/>
  <c r="F45" i="3"/>
  <c r="F42" i="3"/>
  <c r="F43" i="3"/>
  <c r="F44" i="3"/>
  <c r="F35" i="3"/>
  <c r="F36" i="3"/>
  <c r="F37" i="3"/>
  <c r="F38" i="3"/>
  <c r="F39" i="3"/>
  <c r="F40" i="3"/>
  <c r="F41" i="3"/>
  <c r="F3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2" i="3"/>
  <c r="Q6" i="3"/>
  <c r="Q5" i="3"/>
  <c r="Q3" i="3"/>
  <c r="Q2" i="3"/>
  <c r="Q4" i="3"/>
  <c r="P11" i="3"/>
  <c r="P12" i="3"/>
  <c r="P13" i="3"/>
  <c r="P14" i="3"/>
  <c r="W2" i="3"/>
  <c r="P3" i="3"/>
  <c r="P4" i="3"/>
  <c r="P5" i="3"/>
  <c r="P6" i="3"/>
  <c r="P7" i="3"/>
  <c r="S7" i="3"/>
  <c r="D20" i="3"/>
  <c r="E20" i="3"/>
  <c r="F20" i="3" s="1"/>
  <c r="E19" i="3"/>
  <c r="F19" i="3" s="1"/>
  <c r="D18" i="3"/>
  <c r="E18" i="3"/>
  <c r="F18" i="3" s="1"/>
  <c r="D19" i="3"/>
  <c r="D21" i="3"/>
  <c r="E21" i="3"/>
  <c r="F21" i="3" s="1"/>
  <c r="I33" i="2" l="1"/>
  <c r="I30" i="2"/>
  <c r="I32" i="2"/>
  <c r="I29" i="2"/>
  <c r="I31" i="2"/>
  <c r="I34" i="2"/>
  <c r="I35" i="2"/>
  <c r="I45" i="3"/>
  <c r="H19" i="3"/>
  <c r="H20" i="3"/>
  <c r="H21" i="3"/>
  <c r="H18" i="3"/>
  <c r="B45" i="3"/>
  <c r="F2" i="3"/>
  <c r="D8" i="3"/>
  <c r="D27" i="3"/>
  <c r="E27" i="3"/>
  <c r="F27" i="3" s="1"/>
  <c r="D22" i="3"/>
  <c r="D13" i="3"/>
  <c r="C42" i="3"/>
  <c r="C34" i="3"/>
  <c r="C43" i="3"/>
  <c r="C44" i="3"/>
  <c r="H2" i="3" l="1"/>
  <c r="D42" i="3"/>
  <c r="D34" i="3"/>
  <c r="D43" i="3"/>
  <c r="D44" i="3"/>
  <c r="H27" i="3"/>
  <c r="D14" i="3"/>
  <c r="D16" i="3"/>
  <c r="D15" i="3"/>
  <c r="D17" i="3"/>
  <c r="D28" i="3"/>
  <c r="D29" i="3"/>
  <c r="V3" i="3" l="1"/>
  <c r="E8" i="3"/>
  <c r="F8" i="3" s="1"/>
  <c r="H8" i="3" s="1"/>
  <c r="P2" i="3" l="1"/>
  <c r="E22" i="3"/>
  <c r="F22" i="3" s="1"/>
  <c r="H22" i="3" s="1"/>
  <c r="D23" i="3"/>
  <c r="D26" i="3"/>
  <c r="D3" i="3"/>
  <c r="V2" i="3"/>
  <c r="S2" i="3"/>
  <c r="U2" i="3" s="1"/>
  <c r="S6" i="3"/>
  <c r="S3" i="3"/>
  <c r="U3" i="3" s="1"/>
  <c r="D10" i="3" s="1"/>
  <c r="C35" i="3"/>
  <c r="C37" i="3"/>
  <c r="E3" i="3" l="1"/>
  <c r="F3" i="3" s="1"/>
  <c r="P10" i="3"/>
  <c r="S5" i="3"/>
  <c r="U5" i="3" s="1"/>
  <c r="D24" i="3" s="1"/>
  <c r="E13" i="3"/>
  <c r="F13" i="3" s="1"/>
  <c r="H13" i="3" s="1"/>
  <c r="S4" i="3"/>
  <c r="U4" i="3" s="1"/>
  <c r="H34" i="3"/>
  <c r="D35" i="3"/>
  <c r="U6" i="3"/>
  <c r="D5" i="3"/>
  <c r="H36" i="3"/>
  <c r="E17" i="3"/>
  <c r="F17" i="3" s="1"/>
  <c r="D4" i="3"/>
  <c r="D12" i="3"/>
  <c r="D7" i="3"/>
  <c r="D9" i="3"/>
  <c r="D25" i="3"/>
  <c r="D11" i="3"/>
  <c r="D6" i="3"/>
  <c r="E12" i="3"/>
  <c r="F12" i="3" s="1"/>
  <c r="E7" i="3"/>
  <c r="F7" i="3" s="1"/>
  <c r="E29" i="3"/>
  <c r="F29" i="3" s="1"/>
  <c r="E25" i="3"/>
  <c r="F25" i="3" s="1"/>
  <c r="E16" i="3"/>
  <c r="F16" i="3" s="1"/>
  <c r="E11" i="3"/>
  <c r="F11" i="3" s="1"/>
  <c r="E6" i="3"/>
  <c r="F6" i="3" s="1"/>
  <c r="E28" i="3"/>
  <c r="E24" i="3"/>
  <c r="F24" i="3" s="1"/>
  <c r="E15" i="3"/>
  <c r="E10" i="3"/>
  <c r="E5" i="3"/>
  <c r="F5" i="3" s="1"/>
  <c r="H3" i="3"/>
  <c r="E26" i="3"/>
  <c r="E23" i="3"/>
  <c r="E14" i="3"/>
  <c r="F14" i="3" s="1"/>
  <c r="E9" i="3"/>
  <c r="F9" i="3" s="1"/>
  <c r="E4" i="3"/>
  <c r="F4" i="3" s="1"/>
  <c r="D37" i="3"/>
  <c r="V4" i="3"/>
  <c r="V6" i="3"/>
  <c r="V5" i="3"/>
  <c r="I53" i="2"/>
  <c r="I52" i="2"/>
  <c r="I49" i="2"/>
  <c r="I48" i="2"/>
  <c r="I12" i="2"/>
  <c r="I13" i="2"/>
  <c r="I14" i="2"/>
  <c r="I15" i="2"/>
  <c r="I16" i="2"/>
  <c r="I17" i="2"/>
  <c r="I18" i="2"/>
  <c r="C36" i="3"/>
  <c r="C41" i="3"/>
  <c r="C39" i="3"/>
  <c r="C40" i="3"/>
  <c r="C38" i="3"/>
  <c r="F28" i="3" l="1"/>
  <c r="H28" i="3" s="1"/>
  <c r="F23" i="3"/>
  <c r="H23" i="3" s="1"/>
  <c r="F10" i="3"/>
  <c r="H10" i="3" s="1"/>
  <c r="F26" i="3"/>
  <c r="H26" i="3" s="1"/>
  <c r="F15" i="3"/>
  <c r="H15" i="3" s="1"/>
  <c r="C45" i="3"/>
  <c r="D40" i="3"/>
  <c r="H39" i="3"/>
  <c r="H40" i="3"/>
  <c r="D41" i="3"/>
  <c r="H35" i="3"/>
  <c r="D36" i="3"/>
  <c r="H37" i="3"/>
  <c r="D38" i="3"/>
  <c r="D39" i="3"/>
  <c r="H38" i="3"/>
  <c r="U7" i="3"/>
  <c r="H24" i="3"/>
  <c r="H4" i="3"/>
  <c r="H5" i="3"/>
  <c r="H12" i="3"/>
  <c r="H17" i="3"/>
  <c r="H7" i="3"/>
  <c r="H29" i="3"/>
  <c r="H16" i="3"/>
  <c r="H11" i="3"/>
  <c r="H9" i="3"/>
  <c r="H6" i="3"/>
  <c r="H14" i="3"/>
  <c r="H25" i="3"/>
  <c r="V7" i="3"/>
  <c r="I50" i="2"/>
  <c r="I54" i="2"/>
  <c r="I51" i="2"/>
  <c r="D4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P2" authorId="0" shapeId="0" xr:uid="{ABE6E0CA-ACBF-3940-A28D-C2E57720F065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F03F0F3B-3E91-2F4C-A6FB-A7E21CF8B2D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Q). Изначально считается как Duration + think time * 2 (коэф запаса времени), далее подгоняется вручную</t>
        </r>
      </text>
    </comment>
    <comment ref="R2" authorId="0" shapeId="0" xr:uid="{FC5D8282-C700-8A4D-881C-D204CFFB35E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N7" authorId="0" shapeId="0" xr:uid="{9A17B3D2-C710-2C49-999F-5AB22B015476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7" authorId="0" shapeId="0" xr:uid="{0D488850-16BC-6044-8780-09FA4EFE9BA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N14" authorId="0" shapeId="0" xr:uid="{034AE419-F11B-E04A-A049-07DA557E78C5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</commentList>
</comments>
</file>

<file path=xl/sharedStrings.xml><?xml version="1.0" encoding="utf-8"?>
<sst xmlns="http://schemas.openxmlformats.org/spreadsheetml/2006/main" count="306" uniqueCount="104">
  <si>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</si>
  <si>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</si>
  <si>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</si>
  <si>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</si>
  <si>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</si>
  <si>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</si>
  <si>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</si>
  <si>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</si>
  <si>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</si>
  <si>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</si>
  <si>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</si>
  <si>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</si>
  <si>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</si>
  <si>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</si>
  <si>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</si>
  <si>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</si>
  <si>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Подтверждение максимума</t>
  </si>
  <si>
    <t>Профиль для 5 пользаков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</si>
  <si>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</si>
  <si>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</si>
  <si>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</si>
  <si>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</si>
  <si>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</si>
  <si>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</si>
  <si>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</si>
  <si>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</si>
  <si>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</si>
  <si>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</si>
  <si>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</si>
  <si>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</si>
  <si>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</si>
  <si>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</si>
  <si>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</si>
  <si>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</si>
  <si>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</si>
  <si>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</si>
  <si>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</si>
  <si>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</si>
  <si>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</si>
  <si>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</si>
  <si>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</si>
  <si>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</si>
  <si>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</si>
  <si>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</si>
  <si>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</si>
  <si>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</si>
  <si>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</si>
  <si>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</si>
  <si>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</si>
  <si>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</si>
  <si>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</si>
  <si>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</si>
  <si>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(пусто)</t>
  </si>
  <si>
    <t>Pacing min</t>
  </si>
  <si>
    <t>Entry</t>
  </si>
  <si>
    <t>Login</t>
  </si>
  <si>
    <t>Point_Of_Destination</t>
  </si>
  <si>
    <t>Choosing_a_Ticket</t>
  </si>
  <si>
    <t>Buy_ticket</t>
  </si>
  <si>
    <t>Delete_Ticket_button</t>
  </si>
  <si>
    <t>Delete_Ticket</t>
  </si>
  <si>
    <t>Logout</t>
  </si>
  <si>
    <t>creating_user</t>
  </si>
  <si>
    <t>signup</t>
  </si>
  <si>
    <t>new_user</t>
  </si>
  <si>
    <t>% Отклонение от статистики за час</t>
  </si>
  <si>
    <t>Creating_user</t>
  </si>
  <si>
    <t>Signup</t>
  </si>
  <si>
    <t>New_user</t>
  </si>
  <si>
    <t>677</t>
  </si>
  <si>
    <t>Buy_Ticket</t>
  </si>
  <si>
    <t>234</t>
  </si>
  <si>
    <t>Choosing_a_ticket</t>
  </si>
  <si>
    <t>345</t>
  </si>
  <si>
    <t>Creating_User</t>
  </si>
  <si>
    <t>128</t>
  </si>
  <si>
    <t>93</t>
  </si>
  <si>
    <t>Delete_Ticket_Button</t>
  </si>
  <si>
    <t>391</t>
  </si>
  <si>
    <t>684</t>
  </si>
  <si>
    <t>556</t>
  </si>
  <si>
    <t>385</t>
  </si>
  <si>
    <t>129</t>
  </si>
  <si>
    <t>347</t>
  </si>
  <si>
    <t>20 мин</t>
  </si>
  <si>
    <t>1 час</t>
  </si>
  <si>
    <t>Поиск максимума 4 ступень</t>
  </si>
  <si>
    <t>378</t>
  </si>
  <si>
    <t>390</t>
  </si>
  <si>
    <t>713</t>
  </si>
  <si>
    <t>587</t>
  </si>
  <si>
    <t>414</t>
  </si>
  <si>
    <t>376</t>
  </si>
  <si>
    <t>5 ступень не соответствует профилю</t>
  </si>
  <si>
    <t>725</t>
  </si>
  <si>
    <t>1 255</t>
  </si>
  <si>
    <t>387</t>
  </si>
  <si>
    <t>152</t>
  </si>
  <si>
    <t>1 619</t>
  </si>
  <si>
    <t>2 832</t>
  </si>
  <si>
    <t>2 447</t>
  </si>
  <si>
    <t>1 356</t>
  </si>
  <si>
    <t>381</t>
  </si>
  <si>
    <t>1 256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</si>
</sst>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52">
    <xf numFmtId="0" fontId="0" fillId="0" borderId="0" xfId="0"/>
    <xf numFmtId="0" fontId="10" fillId="5" borderId="2" xfId="0" applyFont="1" applyFill="1" applyBorder="1" applyAlignment="1">
      <alignment horizontal="center" vertical="top" wrapText="1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6" fillId="0" borderId="0" xfId="0" applyFont="1"/>
    <xf numFmtId="1" fontId="26" fillId="0" borderId="0" xfId="0" applyNumberFormat="1" applyFont="1"/>
    <xf numFmtId="9" fontId="26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0" fillId="0" borderId="15" xfId="0" applyNumberFormat="1" applyBorder="1"/>
    <xf numFmtId="1" fontId="3" fillId="0" borderId="15" xfId="0" applyNumberFormat="1" applyFont="1" applyBorder="1" applyAlignment="1">
      <alignment horizontal="center" vertical="center" wrapText="1"/>
    </xf>
    <xf numFmtId="1" fontId="0" fillId="0" borderId="16" xfId="0" applyNumberFormat="1" applyBorder="1"/>
    <xf numFmtId="9" fontId="0" fillId="0" borderId="17" xfId="44" applyFont="1" applyBorder="1"/>
    <xf numFmtId="0" fontId="5" fillId="0" borderId="3" xfId="0" applyFont="1" applyBorder="1" applyAlignment="1">
      <alignment vertical="center" wrapText="1"/>
    </xf>
    <xf numFmtId="0" fontId="5" fillId="39" borderId="3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0" fillId="40" borderId="3" xfId="0" applyFill="1" applyBorder="1"/>
    <xf numFmtId="0" fontId="0" fillId="0" borderId="3" xfId="0" applyFill="1" applyBorder="1"/>
    <xf numFmtId="0" fontId="0" fillId="35" borderId="18" xfId="0" applyFill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37" borderId="0" xfId="0" applyFill="1" applyBorder="1"/>
    <xf numFmtId="9" fontId="0" fillId="36" borderId="3" xfId="0" applyNumberFormat="1" applyFill="1" applyBorder="1" applyAlignment="1">
      <alignment horizontal="left"/>
    </xf>
    <xf numFmtId="0" fontId="11" fillId="0" borderId="0" xfId="0" applyFont="1" applyBorder="1" applyAlignment="1">
      <alignment horizontal="left" vertical="top"/>
    </xf>
    <xf numFmtId="0" fontId="11" fillId="0" borderId="3" xfId="0" applyFont="1" applyBorder="1" applyAlignment="1">
      <alignment horizontal="center" vertical="top"/>
    </xf>
    <xf numFmtId="0" fontId="5" fillId="0" borderId="0" xfId="0" applyFont="1" applyAlignment="1">
      <alignment horizontal="right" wrapText="1"/>
    </xf>
    <xf numFmtId="0" fontId="5" fillId="41" borderId="3" xfId="0" applyFont="1" applyFill="1" applyBorder="1" applyAlignment="1">
      <alignment horizontal="right"/>
    </xf>
    <xf numFmtId="0" fontId="3" fillId="41" borderId="3" xfId="0" applyFont="1" applyFill="1" applyBorder="1" applyAlignment="1">
      <alignment horizontal="right" vertical="center" wrapText="1"/>
    </xf>
    <xf numFmtId="0" fontId="0" fillId="0" borderId="0" xfId="0" quotePrefix="1"/>
    <xf numFmtId="0" fontId="0" fillId="0" borderId="3" xfId="0" quotePrefix="1" applyBorder="1"/>
    <xf numFmtId="0" fontId="0" fillId="34" borderId="0" xfId="0" applyFill="1" applyAlignment="1">
      <alignment horizontal="center"/>
    </xf>
    <xf numFmtId="0" fontId="11" fillId="0" borderId="0" xfId="0" applyFont="1" applyFill="1" applyBorder="1" applyAlignment="1">
      <alignment horizontal="left" vertical="top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3" xfId="42" xr:uid="{38AB8912-B8DB-4975-BF95-24BAE8E9314A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50.738385763892" createdVersion="6" refreshedVersion="7" minRefreshableVersion="3" recordCount="29" xr:uid="{849ED774-79A0-8640-B03A-801DA7FF34DA}">
  <cacheSource type="worksheet">
    <worksheetSource ref="A1:H30" sheet="Автоматизированный расчет"/>
  </cacheSource>
  <cacheFields count="8">
    <cacheField name="Script name" numFmtId="0">
      <sharedItems containsBlank="1"/>
    </cacheField>
    <cacheField name="transaction rq" numFmtId="0">
      <sharedItems containsBlank="1" count="12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m/>
      </sharedItems>
    </cacheField>
    <cacheField name="count" numFmtId="0">
      <sharedItems containsString="0" containsBlank="1" containsNumber="1" containsInteger="1" minValue="0" maxValue="1"/>
    </cacheField>
    <cacheField name="VU" numFmtId="0">
      <sharedItems containsString="0" containsBlank="1" containsNumber="1" containsInteger="1" minValue="1" maxValue="4"/>
    </cacheField>
    <cacheField name="pacing" numFmtId="0">
      <sharedItems containsString="0" containsBlank="1" containsNumber="1" containsInteger="1" minValue="37" maxValue="97"/>
    </cacheField>
    <cacheField name="одним пользователем в минуту" numFmtId="2">
      <sharedItems containsString="0" containsBlank="1" containsNumber="1" minValue="0" maxValue="1.6216216216216217"/>
    </cacheField>
    <cacheField name="Длительность ступени" numFmtId="0">
      <sharedItems containsString="0" containsBlank="1" containsNumber="1" containsInteger="1" minValue="60" maxValue="60"/>
    </cacheField>
    <cacheField name="Итого" numFmtId="1">
      <sharedItems containsString="0" containsBlank="1" containsNumber="1" minValue="0" maxValue="175.60975609756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Покупка билета"/>
    <x v="0"/>
    <n v="1"/>
    <n v="4"/>
    <n v="82"/>
    <n v="0.73170731707317072"/>
    <n v="60"/>
    <n v="175.60975609756096"/>
  </r>
  <r>
    <s v="Покупка билета"/>
    <x v="1"/>
    <n v="1"/>
    <n v="4"/>
    <n v="82"/>
    <n v="0.73170731707317072"/>
    <n v="60"/>
    <n v="175.60975609756096"/>
  </r>
  <r>
    <s v="Покупка билета"/>
    <x v="2"/>
    <n v="1"/>
    <n v="4"/>
    <n v="82"/>
    <n v="0.73170731707317072"/>
    <n v="60"/>
    <n v="175.60975609756096"/>
  </r>
  <r>
    <s v="Покупка билета"/>
    <x v="3"/>
    <n v="1"/>
    <n v="4"/>
    <n v="82"/>
    <n v="0.73170731707317072"/>
    <n v="60"/>
    <n v="175.60975609756096"/>
  </r>
  <r>
    <s v="Покупка билета"/>
    <x v="4"/>
    <n v="1"/>
    <n v="4"/>
    <n v="82"/>
    <n v="0.73170731707317072"/>
    <n v="60"/>
    <n v="175.60975609756096"/>
  </r>
  <r>
    <s v="Покупка билета"/>
    <x v="5"/>
    <n v="1"/>
    <n v="4"/>
    <n v="82"/>
    <n v="0.73170731707317072"/>
    <n v="60"/>
    <n v="175.60975609756096"/>
  </r>
  <r>
    <s v="Удаление бронирования "/>
    <x v="0"/>
    <n v="1"/>
    <n v="1"/>
    <n v="49"/>
    <n v="1.2244897959183674"/>
    <n v="60"/>
    <n v="73.469387755102048"/>
  </r>
  <r>
    <s v="Удаление бронирования "/>
    <x v="1"/>
    <n v="1"/>
    <n v="1"/>
    <n v="49"/>
    <n v="1.2244897959183674"/>
    <n v="60"/>
    <n v="73.469387755102048"/>
  </r>
  <r>
    <s v="Удаление бронирования "/>
    <x v="5"/>
    <n v="1"/>
    <n v="1"/>
    <n v="49"/>
    <n v="1.2244897959183674"/>
    <n v="60"/>
    <n v="73.469387755102048"/>
  </r>
  <r>
    <s v="Удаление бронирования "/>
    <x v="6"/>
    <n v="1"/>
    <n v="1"/>
    <n v="49"/>
    <n v="1.2244897959183674"/>
    <n v="60"/>
    <n v="73.469387755102048"/>
  </r>
  <r>
    <s v="Удаление бронирования "/>
    <x v="7"/>
    <n v="1"/>
    <n v="1"/>
    <n v="49"/>
    <n v="1.2244897959183674"/>
    <n v="60"/>
    <n v="73.469387755102048"/>
  </r>
  <r>
    <s v="Регистрация новых пользователей"/>
    <x v="0"/>
    <n v="1"/>
    <n v="1"/>
    <n v="37"/>
    <n v="1.6216216216216217"/>
    <n v="60"/>
    <n v="97.297297297297305"/>
  </r>
  <r>
    <s v="Регистрация новых пользователей"/>
    <x v="8"/>
    <n v="1"/>
    <n v="1"/>
    <n v="37"/>
    <n v="1.6216216216216217"/>
    <n v="60"/>
    <n v="97.297297297297305"/>
  </r>
  <r>
    <s v="Регистрация новых пользователей"/>
    <x v="9"/>
    <n v="1"/>
    <n v="1"/>
    <n v="37"/>
    <n v="1.6216216216216217"/>
    <n v="60"/>
    <n v="97.297297297297305"/>
  </r>
  <r>
    <s v="Регистрация новых пользователей"/>
    <x v="10"/>
    <n v="1"/>
    <n v="1"/>
    <n v="37"/>
    <n v="1.6216216216216217"/>
    <n v="60"/>
    <n v="97.297297297297305"/>
  </r>
  <r>
    <s v="Регистрация новых пользователей"/>
    <x v="7"/>
    <n v="1"/>
    <n v="1"/>
    <n v="37"/>
    <n v="1.6216216216216217"/>
    <n v="60"/>
    <n v="97.297297297297305"/>
  </r>
  <r>
    <s v="Логин"/>
    <x v="0"/>
    <n v="1"/>
    <n v="1"/>
    <n v="97"/>
    <n v="0.61855670103092786"/>
    <n v="60"/>
    <n v="37.113402061855673"/>
  </r>
  <r>
    <s v="Логин"/>
    <x v="1"/>
    <n v="1"/>
    <n v="1"/>
    <n v="97"/>
    <n v="0.61855670103092786"/>
    <n v="60"/>
    <n v="37.113402061855673"/>
  </r>
  <r>
    <s v="Логин"/>
    <x v="2"/>
    <n v="0"/>
    <n v="1"/>
    <n v="97"/>
    <n v="0"/>
    <n v="60"/>
    <n v="0"/>
  </r>
  <r>
    <s v="Логин"/>
    <x v="7"/>
    <n v="1"/>
    <n v="1"/>
    <n v="97"/>
    <n v="0.61855670103092786"/>
    <n v="60"/>
    <n v="37.113402061855673"/>
  </r>
  <r>
    <s v="Поиск билета без покупки"/>
    <x v="0"/>
    <n v="1"/>
    <n v="2"/>
    <n v="67"/>
    <n v="0.89552238805970152"/>
    <n v="60"/>
    <n v="107.46268656716418"/>
  </r>
  <r>
    <s v="Поиск билета без покупки"/>
    <x v="1"/>
    <n v="1"/>
    <n v="2"/>
    <n v="67"/>
    <n v="0.89552238805970152"/>
    <n v="60"/>
    <n v="107.46268656716418"/>
  </r>
  <r>
    <s v="Поиск билета без покупки"/>
    <x v="2"/>
    <n v="1"/>
    <n v="2"/>
    <n v="67"/>
    <n v="0.89552238805970152"/>
    <n v="60"/>
    <n v="107.46268656716418"/>
  </r>
  <r>
    <s v="Поиск билета без покупки"/>
    <x v="3"/>
    <n v="1"/>
    <n v="2"/>
    <n v="67"/>
    <n v="0.89552238805970152"/>
    <n v="60"/>
    <n v="107.46268656716418"/>
  </r>
  <r>
    <s v="Поиск билета без покупки"/>
    <x v="7"/>
    <n v="1"/>
    <n v="2"/>
    <n v="67"/>
    <n v="0.89552238805970152"/>
    <n v="60"/>
    <n v="107.46268656716418"/>
  </r>
  <r>
    <s v="Ознакомление с путевым листом"/>
    <x v="0"/>
    <n v="1"/>
    <n v="1"/>
    <n v="85"/>
    <n v="0.70588235294117652"/>
    <n v="60"/>
    <n v="42.352941176470594"/>
  </r>
  <r>
    <s v="Ознакомление с путевым листом"/>
    <x v="1"/>
    <n v="1"/>
    <n v="1"/>
    <n v="85"/>
    <n v="0.70588235294117652"/>
    <n v="60"/>
    <n v="42.352941176470594"/>
  </r>
  <r>
    <s v="Ознакомление с путевым листом"/>
    <x v="5"/>
    <n v="1"/>
    <n v="1"/>
    <n v="85"/>
    <n v="0.70588235294117652"/>
    <n v="60"/>
    <n v="42.352941176470594"/>
  </r>
  <r>
    <m/>
    <x v="1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B8241-71E6-3F4A-ACE2-C3E8BA417ED7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3"/>
        <item x="7"/>
        <item x="2"/>
        <item x="4"/>
        <item x="6"/>
        <item x="5"/>
        <item x="0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X50"/>
  <sheetViews>
    <sheetView topLeftCell="H1" zoomScale="93" zoomScaleNormal="110" workbookViewId="0">
      <selection activeCell="M3" sqref="M3"/>
    </sheetView>
  </sheetViews>
  <sheetFormatPr baseColWidth="10" defaultRowHeight="15" x14ac:dyDescent="0.2"/>
  <cols>
    <col min="1" max="1" width="22.6640625" customWidth="1"/>
    <col min="2" max="2" width="31.5" bestFit="1" customWidth="1"/>
    <col min="3" max="3" width="18.1640625" customWidth="1"/>
    <col min="4" max="4" width="15.1640625" customWidth="1"/>
    <col min="5" max="5" width="27.6640625" customWidth="1"/>
    <col min="7" max="7" width="18.6640625" bestFit="1" customWidth="1"/>
    <col min="8" max="8" width="17" customWidth="1"/>
    <col min="9" max="9" width="40.6640625" bestFit="1" customWidth="1"/>
    <col min="10" max="10" width="18.6640625" bestFit="1" customWidth="1"/>
    <col min="11" max="11" width="18.6640625" customWidth="1"/>
    <col min="12" max="12" width="27.5" bestFit="1" customWidth="1"/>
    <col min="13" max="13" width="35.83203125" bestFit="1" customWidth="1"/>
    <col min="19" max="19" width="44" bestFit="1" customWidth="1"/>
  </cols>
  <sheetData>
    <row r="1" spans="1:24" ht="16" thickBot="1" x14ac:dyDescent="0.25">
      <c r="A1" t="s">
        <v>18</v>
      </c>
      <c r="B1" t="s">
        <v>19</v>
      </c>
      <c r="C1" t="s">
        <v>20</v>
      </c>
      <c r="D1" t="s">
        <v>25</v>
      </c>
      <c r="E1" t="s">
        <v>35</v>
      </c>
      <c r="F1" t="s">
        <v>36</v>
      </c>
      <c r="G1" t="s">
        <v>37</v>
      </c>
      <c r="H1" t="s">
        <v>4</v>
      </c>
      <c r="I1" s="11" t="s">
        <v>21</v>
      </c>
      <c r="J1" t="s">
        <v>34</v>
      </c>
      <c r="M1" t="s">
        <v>24</v>
      </c>
      <c r="N1" t="s">
        <v>26</v>
      </c>
      <c r="O1" t="s">
        <v>27</v>
      </c>
      <c r="P1" t="s">
        <v>38</v>
      </c>
      <c r="Q1" t="s">
        <v>28</v>
      </c>
      <c r="R1" t="s">
        <v>25</v>
      </c>
      <c r="S1" t="s">
        <v>29</v>
      </c>
      <c r="T1" s="20" t="s">
        <v>30</v>
      </c>
      <c r="U1" s="20" t="s">
        <v>31</v>
      </c>
      <c r="V1" s="20" t="s">
        <v>32</v>
      </c>
      <c r="X1" t="s">
        <v>33</v>
      </c>
    </row>
    <row r="2" spans="1:24" x14ac:dyDescent="0.2">
      <c r="A2" s="36" t="s">
        <v>5</v>
      </c>
      <c r="B2" s="36" t="s">
        <v>46</v>
      </c>
      <c r="C2">
        <v>1</v>
      </c>
      <c r="D2" s="17">
        <v>4</v>
      </c>
      <c r="E2">
        <v>82</v>
      </c>
      <c r="F2" s="16">
        <f>60/E2*C2</f>
        <v>0.73170731707317072</v>
      </c>
      <c r="G2">
        <f>$N$16</f>
        <v>60</v>
      </c>
      <c r="H2" s="15">
        <f>D2*F2*G2</f>
        <v>175.60975609756096</v>
      </c>
      <c r="I2" s="12" t="s">
        <v>0</v>
      </c>
      <c r="J2" s="10">
        <v>436.00817365815351</v>
      </c>
      <c r="K2" s="10"/>
      <c r="M2" t="s">
        <v>5</v>
      </c>
      <c r="N2" s="24">
        <v>2.7090000000000001</v>
      </c>
      <c r="O2" s="24">
        <v>30</v>
      </c>
      <c r="P2" s="37">
        <f>N2+O2</f>
        <v>32.709000000000003</v>
      </c>
      <c r="Q2" s="13">
        <f>82</f>
        <v>82</v>
      </c>
      <c r="R2" s="13">
        <v>4</v>
      </c>
      <c r="S2" s="14">
        <f>60/(Q2)</f>
        <v>0.73170731707317072</v>
      </c>
      <c r="T2" s="20">
        <v>20</v>
      </c>
      <c r="U2" s="21">
        <f>ROUND(R2*S2*T2,0)</f>
        <v>59</v>
      </c>
      <c r="V2" s="22">
        <f>R2/W$2</f>
        <v>0.4</v>
      </c>
      <c r="W2">
        <f>SUM(R2:R7)</f>
        <v>10</v>
      </c>
    </row>
    <row r="3" spans="1:24" x14ac:dyDescent="0.2">
      <c r="A3" s="36" t="s">
        <v>5</v>
      </c>
      <c r="B3" s="36" t="s">
        <v>0</v>
      </c>
      <c r="C3">
        <v>1</v>
      </c>
      <c r="D3" s="18">
        <f t="shared" ref="D3:D11" si="0">VLOOKUP(A3,$M$1:$W$8,6,FALSE)</f>
        <v>4</v>
      </c>
      <c r="E3">
        <f>VLOOKUP(A3,$M$1:$W$8,5,FALSE)</f>
        <v>82</v>
      </c>
      <c r="F3" s="16">
        <f>60/E3*C3</f>
        <v>0.73170731707317072</v>
      </c>
      <c r="G3">
        <f t="shared" ref="G3:G29" si="1">$N$16</f>
        <v>60</v>
      </c>
      <c r="H3" s="15">
        <f>D3*F3*G3</f>
        <v>175.60975609756096</v>
      </c>
      <c r="I3" s="12" t="s">
        <v>9</v>
      </c>
      <c r="J3" s="10">
        <v>283.07244266472514</v>
      </c>
      <c r="K3" s="10"/>
      <c r="M3" t="s">
        <v>6</v>
      </c>
      <c r="N3" s="24">
        <v>2.4620000000000002</v>
      </c>
      <c r="O3" s="24">
        <v>20</v>
      </c>
      <c r="P3" s="37">
        <f t="shared" ref="P3:P7" si="2">N3+O3</f>
        <v>22.462</v>
      </c>
      <c r="Q3" s="13">
        <f>49</f>
        <v>49</v>
      </c>
      <c r="R3" s="13">
        <v>1</v>
      </c>
      <c r="S3" s="14">
        <f t="shared" ref="S3:S5" si="3">60/(Q3)</f>
        <v>1.2244897959183674</v>
      </c>
      <c r="T3" s="20">
        <v>20</v>
      </c>
      <c r="U3" s="21">
        <f t="shared" ref="U3:U5" si="4">ROUND(R3*S3*T3,0)</f>
        <v>24</v>
      </c>
      <c r="V3" s="22">
        <f>R3/W$2</f>
        <v>0.1</v>
      </c>
    </row>
    <row r="4" spans="1:24" x14ac:dyDescent="0.2">
      <c r="A4" s="36" t="s">
        <v>5</v>
      </c>
      <c r="B4" s="36" t="s">
        <v>8</v>
      </c>
      <c r="C4">
        <v>1</v>
      </c>
      <c r="D4" s="18">
        <f t="shared" si="0"/>
        <v>4</v>
      </c>
      <c r="E4">
        <f t="shared" ref="E4:E11" si="5">VLOOKUP(A4,$M$1:$W$8,5,FALSE)</f>
        <v>82</v>
      </c>
      <c r="F4" s="16">
        <f t="shared" ref="F4:F29" si="6">60/E4*C4</f>
        <v>0.73170731707317072</v>
      </c>
      <c r="G4">
        <f t="shared" si="1"/>
        <v>60</v>
      </c>
      <c r="H4" s="15">
        <f t="shared" ref="H4:H29" si="7">D4*F4*G4</f>
        <v>175.60975609756096</v>
      </c>
      <c r="I4" s="12" t="s">
        <v>3</v>
      </c>
      <c r="J4" s="10">
        <v>315.3427736814192</v>
      </c>
      <c r="K4" s="10"/>
      <c r="M4" t="s">
        <v>45</v>
      </c>
      <c r="N4" s="24">
        <v>1.45</v>
      </c>
      <c r="O4" s="24">
        <v>10</v>
      </c>
      <c r="P4" s="37">
        <f t="shared" si="2"/>
        <v>11.45</v>
      </c>
      <c r="Q4" s="13">
        <f>37</f>
        <v>37</v>
      </c>
      <c r="R4" s="13">
        <v>1</v>
      </c>
      <c r="S4" s="14">
        <f t="shared" si="3"/>
        <v>1.6216216216216217</v>
      </c>
      <c r="T4" s="20">
        <v>20</v>
      </c>
      <c r="U4" s="21">
        <f t="shared" si="4"/>
        <v>32</v>
      </c>
      <c r="V4" s="22">
        <f t="shared" ref="V4:V5" si="8">R4/W$2</f>
        <v>0.1</v>
      </c>
    </row>
    <row r="5" spans="1:24" x14ac:dyDescent="0.2">
      <c r="A5" s="36" t="s">
        <v>5</v>
      </c>
      <c r="B5" s="36" t="s">
        <v>9</v>
      </c>
      <c r="C5">
        <v>1</v>
      </c>
      <c r="D5" s="18">
        <f t="shared" si="0"/>
        <v>4</v>
      </c>
      <c r="E5">
        <f t="shared" si="5"/>
        <v>82</v>
      </c>
      <c r="F5" s="16">
        <f t="shared" si="6"/>
        <v>0.73170731707317072</v>
      </c>
      <c r="G5">
        <f t="shared" si="1"/>
        <v>60</v>
      </c>
      <c r="H5" s="15">
        <f t="shared" si="7"/>
        <v>175.60975609756096</v>
      </c>
      <c r="I5" s="12" t="s">
        <v>8</v>
      </c>
      <c r="J5" s="10">
        <v>283.07244266472514</v>
      </c>
      <c r="K5" s="10"/>
      <c r="M5" t="s">
        <v>50</v>
      </c>
      <c r="N5" s="24">
        <v>1.72</v>
      </c>
      <c r="O5" s="24">
        <v>20</v>
      </c>
      <c r="P5" s="37">
        <f t="shared" si="2"/>
        <v>21.72</v>
      </c>
      <c r="Q5" s="13">
        <f>67</f>
        <v>67</v>
      </c>
      <c r="R5" s="13">
        <v>2</v>
      </c>
      <c r="S5" s="14">
        <f t="shared" si="3"/>
        <v>0.89552238805970152</v>
      </c>
      <c r="T5" s="20">
        <v>20</v>
      </c>
      <c r="U5" s="21">
        <f t="shared" si="4"/>
        <v>36</v>
      </c>
      <c r="V5" s="22">
        <f t="shared" si="8"/>
        <v>0.2</v>
      </c>
    </row>
    <row r="6" spans="1:24" x14ac:dyDescent="0.2">
      <c r="A6" s="36" t="s">
        <v>5</v>
      </c>
      <c r="B6" s="36" t="s">
        <v>1</v>
      </c>
      <c r="C6">
        <v>1</v>
      </c>
      <c r="D6" s="18">
        <f t="shared" si="0"/>
        <v>4</v>
      </c>
      <c r="E6">
        <f t="shared" si="5"/>
        <v>82</v>
      </c>
      <c r="F6" s="16">
        <f t="shared" si="6"/>
        <v>0.73170731707317072</v>
      </c>
      <c r="G6">
        <f t="shared" si="1"/>
        <v>60</v>
      </c>
      <c r="H6" s="15">
        <f t="shared" si="7"/>
        <v>175.60975609756096</v>
      </c>
      <c r="I6" s="12" t="s">
        <v>1</v>
      </c>
      <c r="J6" s="10">
        <v>175.60975609756096</v>
      </c>
      <c r="K6" s="10"/>
      <c r="M6" t="s">
        <v>7</v>
      </c>
      <c r="N6" s="24">
        <v>2.1223000000000001</v>
      </c>
      <c r="O6" s="24">
        <v>15.0032</v>
      </c>
      <c r="P6" s="37">
        <f t="shared" si="2"/>
        <v>17.125499999999999</v>
      </c>
      <c r="Q6" s="13">
        <f>85</f>
        <v>85</v>
      </c>
      <c r="R6" s="13">
        <v>1</v>
      </c>
      <c r="S6" s="14">
        <f>60/(Q6)</f>
        <v>0.70588235294117652</v>
      </c>
      <c r="T6" s="20">
        <v>20</v>
      </c>
      <c r="U6" s="21">
        <f>ROUND(R6*S6*T6,0)</f>
        <v>14</v>
      </c>
      <c r="V6" s="22">
        <f>R6/W$2</f>
        <v>0.1</v>
      </c>
    </row>
    <row r="7" spans="1:24" ht="16" thickBot="1" x14ac:dyDescent="0.25">
      <c r="A7" s="36" t="s">
        <v>5</v>
      </c>
      <c r="B7" s="36" t="s">
        <v>2</v>
      </c>
      <c r="C7">
        <v>1</v>
      </c>
      <c r="D7" s="19">
        <f t="shared" si="0"/>
        <v>4</v>
      </c>
      <c r="E7">
        <f t="shared" si="5"/>
        <v>82</v>
      </c>
      <c r="F7" s="16">
        <f t="shared" si="6"/>
        <v>0.73170731707317072</v>
      </c>
      <c r="G7">
        <f t="shared" si="1"/>
        <v>60</v>
      </c>
      <c r="H7" s="15">
        <f t="shared" si="7"/>
        <v>175.60975609756096</v>
      </c>
      <c r="I7" s="12" t="s">
        <v>10</v>
      </c>
      <c r="J7" s="10">
        <v>73.469387755102048</v>
      </c>
      <c r="K7" s="10"/>
      <c r="M7" t="s">
        <v>51</v>
      </c>
      <c r="N7" s="24">
        <v>2.0369999999999999</v>
      </c>
      <c r="O7" s="24">
        <v>10</v>
      </c>
      <c r="P7" s="37">
        <f t="shared" si="2"/>
        <v>12.036999999999999</v>
      </c>
      <c r="Q7" s="13">
        <v>97</v>
      </c>
      <c r="R7" s="38">
        <v>1</v>
      </c>
      <c r="S7" s="14">
        <f>60/(Q7)</f>
        <v>0.61855670103092786</v>
      </c>
      <c r="T7" s="20"/>
      <c r="U7" s="21">
        <f>SUM(U2:U6)</f>
        <v>165</v>
      </c>
      <c r="V7" s="22">
        <f>SUM(V2:V6)</f>
        <v>0.9</v>
      </c>
    </row>
    <row r="8" spans="1:24" x14ac:dyDescent="0.2">
      <c r="A8" s="36" t="s">
        <v>6</v>
      </c>
      <c r="B8" s="36" t="s">
        <v>46</v>
      </c>
      <c r="C8">
        <v>1</v>
      </c>
      <c r="D8" s="17">
        <f t="shared" ref="D8" si="9">VLOOKUP(A8,$M$1:$W$8,6,FALSE)</f>
        <v>1</v>
      </c>
      <c r="E8">
        <f t="shared" ref="E8" si="10">VLOOKUP(A8,$M$1:$W$8,5,FALSE)</f>
        <v>49</v>
      </c>
      <c r="F8" s="16">
        <f t="shared" si="6"/>
        <v>1.2244897959183674</v>
      </c>
      <c r="G8">
        <f t="shared" si="1"/>
        <v>60</v>
      </c>
      <c r="H8" s="15">
        <f t="shared" ref="H8" si="11">D8*F8*G8</f>
        <v>73.469387755102048</v>
      </c>
      <c r="I8" s="12" t="s">
        <v>2</v>
      </c>
      <c r="J8" s="10">
        <v>291.43208502913359</v>
      </c>
      <c r="K8" s="10"/>
    </row>
    <row r="9" spans="1:24" x14ac:dyDescent="0.2">
      <c r="A9" s="36" t="s">
        <v>6</v>
      </c>
      <c r="B9" s="36" t="s">
        <v>0</v>
      </c>
      <c r="C9">
        <v>1</v>
      </c>
      <c r="D9" s="18">
        <f t="shared" si="0"/>
        <v>1</v>
      </c>
      <c r="E9">
        <f t="shared" si="5"/>
        <v>49</v>
      </c>
      <c r="F9" s="16">
        <f t="shared" si="6"/>
        <v>1.2244897959183674</v>
      </c>
      <c r="G9">
        <f t="shared" si="1"/>
        <v>60</v>
      </c>
      <c r="H9" s="15">
        <f t="shared" si="7"/>
        <v>73.469387755102048</v>
      </c>
      <c r="I9" s="12" t="s">
        <v>46</v>
      </c>
      <c r="J9" s="10">
        <v>533.3054709554508</v>
      </c>
      <c r="K9" s="10"/>
      <c r="P9" s="40" t="s">
        <v>53</v>
      </c>
    </row>
    <row r="10" spans="1:24" x14ac:dyDescent="0.2">
      <c r="A10" s="36" t="s">
        <v>6</v>
      </c>
      <c r="B10" s="36" t="s">
        <v>2</v>
      </c>
      <c r="C10">
        <v>1</v>
      </c>
      <c r="D10" s="18">
        <f t="shared" si="0"/>
        <v>1</v>
      </c>
      <c r="E10">
        <f t="shared" si="5"/>
        <v>49</v>
      </c>
      <c r="F10" s="16">
        <f t="shared" si="6"/>
        <v>1.2244897959183674</v>
      </c>
      <c r="G10">
        <f t="shared" si="1"/>
        <v>60</v>
      </c>
      <c r="H10" s="15">
        <f t="shared" si="7"/>
        <v>73.469387755102048</v>
      </c>
      <c r="I10" s="12" t="s">
        <v>48</v>
      </c>
      <c r="J10" s="10">
        <v>97.297297297297305</v>
      </c>
      <c r="N10" s="24">
        <v>2.7090000000000001</v>
      </c>
      <c r="P10" s="24">
        <f>P2*2</f>
        <v>65.418000000000006</v>
      </c>
    </row>
    <row r="11" spans="1:24" x14ac:dyDescent="0.2">
      <c r="A11" s="36" t="s">
        <v>6</v>
      </c>
      <c r="B11" s="36" t="s">
        <v>10</v>
      </c>
      <c r="C11">
        <v>1</v>
      </c>
      <c r="D11" s="18">
        <f t="shared" si="0"/>
        <v>1</v>
      </c>
      <c r="E11">
        <f t="shared" si="5"/>
        <v>49</v>
      </c>
      <c r="F11" s="16">
        <f t="shared" si="6"/>
        <v>1.2244897959183674</v>
      </c>
      <c r="G11">
        <f t="shared" si="1"/>
        <v>60</v>
      </c>
      <c r="H11" s="15">
        <f t="shared" si="7"/>
        <v>73.469387755102048</v>
      </c>
      <c r="I11" s="12" t="s">
        <v>47</v>
      </c>
      <c r="J11" s="10">
        <v>97.297297297297305</v>
      </c>
      <c r="N11" s="24">
        <v>2.4620000000000002</v>
      </c>
      <c r="P11" s="24">
        <f t="shared" ref="P11:P14" si="12">P3*2</f>
        <v>44.923999999999999</v>
      </c>
    </row>
    <row r="12" spans="1:24" ht="16" thickBot="1" x14ac:dyDescent="0.25">
      <c r="A12" s="36" t="s">
        <v>6</v>
      </c>
      <c r="B12" s="36" t="s">
        <v>3</v>
      </c>
      <c r="C12">
        <v>1</v>
      </c>
      <c r="D12" s="19">
        <f t="shared" ref="D12:D29" si="13">VLOOKUP(A12,$M$1:$W$8,6,FALSE)</f>
        <v>1</v>
      </c>
      <c r="E12">
        <f t="shared" ref="E12:E29" si="14">VLOOKUP(A12,$M$1:$W$8,5,FALSE)</f>
        <v>49</v>
      </c>
      <c r="F12" s="16">
        <f t="shared" si="6"/>
        <v>1.2244897959183674</v>
      </c>
      <c r="G12">
        <f t="shared" si="1"/>
        <v>60</v>
      </c>
      <c r="H12" s="15">
        <f t="shared" si="7"/>
        <v>73.469387755102048</v>
      </c>
      <c r="I12" s="12" t="s">
        <v>49</v>
      </c>
      <c r="J12" s="10">
        <v>97.297297297297305</v>
      </c>
      <c r="N12" s="24">
        <v>1.45</v>
      </c>
      <c r="P12" s="24">
        <f t="shared" si="12"/>
        <v>22.9</v>
      </c>
    </row>
    <row r="13" spans="1:24" x14ac:dyDescent="0.2">
      <c r="A13" s="36" t="s">
        <v>45</v>
      </c>
      <c r="B13" s="36" t="s">
        <v>46</v>
      </c>
      <c r="C13">
        <v>1</v>
      </c>
      <c r="D13" s="17">
        <f t="shared" si="13"/>
        <v>1</v>
      </c>
      <c r="E13">
        <f t="shared" si="14"/>
        <v>37</v>
      </c>
      <c r="F13" s="16">
        <f t="shared" si="6"/>
        <v>1.6216216216216217</v>
      </c>
      <c r="G13">
        <f t="shared" si="1"/>
        <v>60</v>
      </c>
      <c r="H13" s="15">
        <f t="shared" ref="H13" si="15">D13*F13*G13</f>
        <v>97.297297297297305</v>
      </c>
      <c r="I13" s="12" t="s">
        <v>52</v>
      </c>
      <c r="J13" s="10"/>
      <c r="N13" s="24">
        <v>1.72</v>
      </c>
      <c r="P13" s="24">
        <f t="shared" si="12"/>
        <v>43.44</v>
      </c>
    </row>
    <row r="14" spans="1:24" x14ac:dyDescent="0.2">
      <c r="A14" s="36" t="s">
        <v>45</v>
      </c>
      <c r="B14" s="36" t="s">
        <v>48</v>
      </c>
      <c r="C14">
        <v>1</v>
      </c>
      <c r="D14" s="18">
        <f t="shared" si="13"/>
        <v>1</v>
      </c>
      <c r="E14">
        <f t="shared" si="14"/>
        <v>37</v>
      </c>
      <c r="F14" s="16">
        <f t="shared" si="6"/>
        <v>1.6216216216216217</v>
      </c>
      <c r="G14">
        <f t="shared" si="1"/>
        <v>60</v>
      </c>
      <c r="H14" s="15">
        <f t="shared" si="7"/>
        <v>97.297297297297305</v>
      </c>
      <c r="I14" s="12" t="s">
        <v>22</v>
      </c>
      <c r="J14" s="10">
        <v>2683.2044243981627</v>
      </c>
      <c r="N14" s="24">
        <v>1.0369999999999999</v>
      </c>
      <c r="P14" s="24">
        <f t="shared" si="12"/>
        <v>34.250999999999998</v>
      </c>
    </row>
    <row r="15" spans="1:24" x14ac:dyDescent="0.2">
      <c r="A15" s="36" t="s">
        <v>45</v>
      </c>
      <c r="B15" s="36" t="s">
        <v>47</v>
      </c>
      <c r="C15">
        <v>1</v>
      </c>
      <c r="D15" s="18">
        <f t="shared" si="13"/>
        <v>1</v>
      </c>
      <c r="E15">
        <f t="shared" si="14"/>
        <v>37</v>
      </c>
      <c r="F15" s="16">
        <f t="shared" si="6"/>
        <v>1.6216216216216217</v>
      </c>
      <c r="G15">
        <f t="shared" si="1"/>
        <v>60</v>
      </c>
      <c r="H15" s="15">
        <f t="shared" si="7"/>
        <v>97.297297297297305</v>
      </c>
    </row>
    <row r="16" spans="1:24" x14ac:dyDescent="0.2">
      <c r="A16" s="36" t="s">
        <v>45</v>
      </c>
      <c r="B16" s="36" t="s">
        <v>49</v>
      </c>
      <c r="C16">
        <v>1</v>
      </c>
      <c r="D16" s="18">
        <f t="shared" si="13"/>
        <v>1</v>
      </c>
      <c r="E16">
        <f t="shared" si="14"/>
        <v>37</v>
      </c>
      <c r="F16" s="16">
        <f t="shared" si="6"/>
        <v>1.6216216216216217</v>
      </c>
      <c r="G16">
        <f t="shared" si="1"/>
        <v>60</v>
      </c>
      <c r="H16" s="15">
        <f t="shared" si="7"/>
        <v>97.297297297297305</v>
      </c>
      <c r="N16" s="41">
        <v>60</v>
      </c>
    </row>
    <row r="17" spans="1:8" ht="16" thickBot="1" x14ac:dyDescent="0.25">
      <c r="A17" s="36" t="s">
        <v>45</v>
      </c>
      <c r="B17" s="36" t="s">
        <v>3</v>
      </c>
      <c r="C17">
        <v>1</v>
      </c>
      <c r="D17" s="19">
        <f t="shared" si="13"/>
        <v>1</v>
      </c>
      <c r="E17">
        <f t="shared" si="14"/>
        <v>37</v>
      </c>
      <c r="F17" s="16">
        <f t="shared" si="6"/>
        <v>1.6216216216216217</v>
      </c>
      <c r="G17">
        <f t="shared" si="1"/>
        <v>60</v>
      </c>
      <c r="H17" s="15">
        <f>D17*F17*G17</f>
        <v>97.297297297297305</v>
      </c>
    </row>
    <row r="18" spans="1:8" ht="16" thickBot="1" x14ac:dyDescent="0.25">
      <c r="A18" s="36" t="s">
        <v>51</v>
      </c>
      <c r="B18" s="36" t="s">
        <v>46</v>
      </c>
      <c r="C18">
        <v>1</v>
      </c>
      <c r="D18" s="19">
        <f t="shared" ref="D18:D21" si="16">VLOOKUP(A18,$M$1:$W$8,6,FALSE)</f>
        <v>1</v>
      </c>
      <c r="E18">
        <f t="shared" ref="E18:E21" si="17">VLOOKUP(A18,$M$1:$W$8,5,FALSE)</f>
        <v>97</v>
      </c>
      <c r="F18" s="16">
        <f t="shared" ref="F18:F21" si="18">60/E18*C18</f>
        <v>0.61855670103092786</v>
      </c>
      <c r="G18">
        <f t="shared" si="1"/>
        <v>60</v>
      </c>
      <c r="H18" s="15">
        <f t="shared" ref="H18:H21" si="19">D18*F18*G18</f>
        <v>37.113402061855673</v>
      </c>
    </row>
    <row r="19" spans="1:8" ht="16" thickBot="1" x14ac:dyDescent="0.25">
      <c r="A19" s="36" t="s">
        <v>51</v>
      </c>
      <c r="B19" s="36" t="s">
        <v>0</v>
      </c>
      <c r="C19">
        <v>1</v>
      </c>
      <c r="D19" s="19">
        <f t="shared" si="16"/>
        <v>1</v>
      </c>
      <c r="E19">
        <f t="shared" si="17"/>
        <v>97</v>
      </c>
      <c r="F19" s="16">
        <f t="shared" si="18"/>
        <v>0.61855670103092786</v>
      </c>
      <c r="G19">
        <f t="shared" si="1"/>
        <v>60</v>
      </c>
      <c r="H19" s="15">
        <f t="shared" si="19"/>
        <v>37.113402061855673</v>
      </c>
    </row>
    <row r="20" spans="1:8" ht="16" thickBot="1" x14ac:dyDescent="0.25">
      <c r="A20" s="36" t="s">
        <v>51</v>
      </c>
      <c r="B20" s="36" t="s">
        <v>8</v>
      </c>
      <c r="C20">
        <v>0</v>
      </c>
      <c r="D20" s="19">
        <f t="shared" ref="D20" si="20">VLOOKUP(A20,$M$1:$W$8,6,FALSE)</f>
        <v>1</v>
      </c>
      <c r="E20">
        <f t="shared" ref="E20" si="21">VLOOKUP(A20,$M$1:$W$8,5,FALSE)</f>
        <v>97</v>
      </c>
      <c r="F20" s="16">
        <f t="shared" ref="F20" si="22">60/E20*C20</f>
        <v>0</v>
      </c>
      <c r="G20">
        <f t="shared" si="1"/>
        <v>60</v>
      </c>
      <c r="H20" s="15">
        <f t="shared" ref="H20" si="23">D20*F20*G20</f>
        <v>0</v>
      </c>
    </row>
    <row r="21" spans="1:8" ht="16" thickBot="1" x14ac:dyDescent="0.25">
      <c r="A21" s="36" t="s">
        <v>51</v>
      </c>
      <c r="B21" s="36" t="s">
        <v>3</v>
      </c>
      <c r="C21">
        <v>1</v>
      </c>
      <c r="D21" s="19">
        <f t="shared" si="16"/>
        <v>1</v>
      </c>
      <c r="E21">
        <f t="shared" si="17"/>
        <v>97</v>
      </c>
      <c r="F21" s="16">
        <f t="shared" si="18"/>
        <v>0.61855670103092786</v>
      </c>
      <c r="G21">
        <f t="shared" si="1"/>
        <v>60</v>
      </c>
      <c r="H21" s="15">
        <f t="shared" si="19"/>
        <v>37.113402061855673</v>
      </c>
    </row>
    <row r="22" spans="1:8" x14ac:dyDescent="0.2">
      <c r="A22" s="36" t="s">
        <v>50</v>
      </c>
      <c r="B22" s="36" t="s">
        <v>46</v>
      </c>
      <c r="C22">
        <v>1</v>
      </c>
      <c r="D22" s="17">
        <f t="shared" si="13"/>
        <v>2</v>
      </c>
      <c r="E22">
        <f t="shared" si="14"/>
        <v>67</v>
      </c>
      <c r="F22" s="16">
        <f t="shared" si="6"/>
        <v>0.89552238805970152</v>
      </c>
      <c r="G22">
        <f t="shared" si="1"/>
        <v>60</v>
      </c>
      <c r="H22" s="15">
        <f>D22*F22*G22</f>
        <v>107.46268656716418</v>
      </c>
    </row>
    <row r="23" spans="1:8" x14ac:dyDescent="0.2">
      <c r="A23" s="36" t="s">
        <v>50</v>
      </c>
      <c r="B23" s="36" t="s">
        <v>0</v>
      </c>
      <c r="C23">
        <v>1</v>
      </c>
      <c r="D23" s="18">
        <f t="shared" si="13"/>
        <v>2</v>
      </c>
      <c r="E23">
        <f t="shared" si="14"/>
        <v>67</v>
      </c>
      <c r="F23" s="16">
        <f t="shared" si="6"/>
        <v>0.89552238805970152</v>
      </c>
      <c r="G23">
        <f t="shared" si="1"/>
        <v>60</v>
      </c>
      <c r="H23" s="15">
        <f t="shared" si="7"/>
        <v>107.46268656716418</v>
      </c>
    </row>
    <row r="24" spans="1:8" x14ac:dyDescent="0.2">
      <c r="A24" s="36" t="s">
        <v>50</v>
      </c>
      <c r="B24" s="36" t="s">
        <v>8</v>
      </c>
      <c r="C24">
        <v>1</v>
      </c>
      <c r="D24" s="18">
        <f t="shared" si="13"/>
        <v>2</v>
      </c>
      <c r="E24">
        <f t="shared" si="14"/>
        <v>67</v>
      </c>
      <c r="F24" s="16">
        <f t="shared" si="6"/>
        <v>0.89552238805970152</v>
      </c>
      <c r="G24">
        <f t="shared" si="1"/>
        <v>60</v>
      </c>
      <c r="H24" s="15">
        <f t="shared" si="7"/>
        <v>107.46268656716418</v>
      </c>
    </row>
    <row r="25" spans="1:8" x14ac:dyDescent="0.2">
      <c r="A25" s="36" t="s">
        <v>50</v>
      </c>
      <c r="B25" s="36" t="s">
        <v>9</v>
      </c>
      <c r="C25">
        <v>1</v>
      </c>
      <c r="D25" s="18">
        <f t="shared" si="13"/>
        <v>2</v>
      </c>
      <c r="E25">
        <f t="shared" si="14"/>
        <v>67</v>
      </c>
      <c r="F25" s="16">
        <f t="shared" si="6"/>
        <v>0.89552238805970152</v>
      </c>
      <c r="G25">
        <f t="shared" si="1"/>
        <v>60</v>
      </c>
      <c r="H25" s="15">
        <f t="shared" si="7"/>
        <v>107.46268656716418</v>
      </c>
    </row>
    <row r="26" spans="1:8" ht="16" thickBot="1" x14ac:dyDescent="0.25">
      <c r="A26" s="36" t="s">
        <v>50</v>
      </c>
      <c r="B26" s="36" t="s">
        <v>3</v>
      </c>
      <c r="C26">
        <v>1</v>
      </c>
      <c r="D26" s="18">
        <f t="shared" si="13"/>
        <v>2</v>
      </c>
      <c r="E26">
        <f t="shared" si="14"/>
        <v>67</v>
      </c>
      <c r="F26" s="16">
        <f t="shared" si="6"/>
        <v>0.89552238805970152</v>
      </c>
      <c r="G26">
        <f t="shared" si="1"/>
        <v>60</v>
      </c>
      <c r="H26" s="15">
        <f t="shared" si="7"/>
        <v>107.46268656716418</v>
      </c>
    </row>
    <row r="27" spans="1:8" x14ac:dyDescent="0.2">
      <c r="A27" s="36" t="s">
        <v>7</v>
      </c>
      <c r="B27" s="36" t="s">
        <v>46</v>
      </c>
      <c r="C27">
        <v>1</v>
      </c>
      <c r="D27" s="17">
        <f t="shared" si="13"/>
        <v>1</v>
      </c>
      <c r="E27">
        <f t="shared" si="14"/>
        <v>85</v>
      </c>
      <c r="F27" s="16">
        <f t="shared" si="6"/>
        <v>0.70588235294117652</v>
      </c>
      <c r="G27">
        <f t="shared" si="1"/>
        <v>60</v>
      </c>
      <c r="H27" s="15">
        <f t="shared" ref="H27" si="24">D27*F27*G27</f>
        <v>42.352941176470594</v>
      </c>
    </row>
    <row r="28" spans="1:8" x14ac:dyDescent="0.2">
      <c r="A28" s="36" t="s">
        <v>7</v>
      </c>
      <c r="B28" s="36" t="s">
        <v>0</v>
      </c>
      <c r="C28">
        <v>1</v>
      </c>
      <c r="D28" s="18">
        <f t="shared" si="13"/>
        <v>1</v>
      </c>
      <c r="E28">
        <f t="shared" si="14"/>
        <v>85</v>
      </c>
      <c r="F28" s="16">
        <f t="shared" si="6"/>
        <v>0.70588235294117652</v>
      </c>
      <c r="G28">
        <f t="shared" si="1"/>
        <v>60</v>
      </c>
      <c r="H28" s="15">
        <f t="shared" si="7"/>
        <v>42.352941176470594</v>
      </c>
    </row>
    <row r="29" spans="1:8" x14ac:dyDescent="0.2">
      <c r="A29" s="36" t="s">
        <v>7</v>
      </c>
      <c r="B29" s="36" t="s">
        <v>2</v>
      </c>
      <c r="C29">
        <v>1</v>
      </c>
      <c r="D29" s="18">
        <f t="shared" si="13"/>
        <v>1</v>
      </c>
      <c r="E29">
        <f t="shared" si="14"/>
        <v>85</v>
      </c>
      <c r="F29" s="16">
        <f t="shared" si="6"/>
        <v>0.70588235294117652</v>
      </c>
      <c r="G29">
        <f t="shared" si="1"/>
        <v>60</v>
      </c>
      <c r="H29" s="15">
        <f t="shared" si="7"/>
        <v>42.352941176470594</v>
      </c>
    </row>
    <row r="30" spans="1:8" ht="16" thickBot="1" x14ac:dyDescent="0.25">
      <c r="A30" s="36"/>
      <c r="B30" s="36"/>
      <c r="D30" s="19"/>
      <c r="F30" s="16"/>
      <c r="H30" s="15"/>
    </row>
    <row r="33" spans="1:9" ht="120" x14ac:dyDescent="0.25">
      <c r="A33" s="32" t="s">
        <v>23</v>
      </c>
      <c r="B33" s="32" t="s">
        <v>42</v>
      </c>
      <c r="C33" s="31" t="s">
        <v>40</v>
      </c>
      <c r="D33" s="31" t="s">
        <v>41</v>
      </c>
      <c r="E33" s="45"/>
      <c r="F33" s="31" t="s">
        <v>39</v>
      </c>
      <c r="G33" s="31" t="s">
        <v>43</v>
      </c>
      <c r="H33" s="31" t="s">
        <v>44</v>
      </c>
      <c r="I33" s="31" t="s">
        <v>65</v>
      </c>
    </row>
    <row r="34" spans="1:9" ht="40" x14ac:dyDescent="0.25">
      <c r="A34" s="32" t="s">
        <v>46</v>
      </c>
      <c r="B34" s="34">
        <v>520</v>
      </c>
      <c r="C34" s="29">
        <f t="shared" ref="C34:C42" si="25">GETPIVOTDATA("Итого",$I$1,"transaction rq",A34)</f>
        <v>533.3054709554508</v>
      </c>
      <c r="D34" s="30">
        <f t="shared" ref="D34:D42" si="26">1-B34/C34</f>
        <v>2.4949061429302755E-2</v>
      </c>
      <c r="E34" s="46" t="s">
        <v>54</v>
      </c>
      <c r="F34" s="23">
        <f>C34/3</f>
        <v>177.7684903184836</v>
      </c>
      <c r="G34" s="23">
        <v>179</v>
      </c>
      <c r="H34" s="26">
        <f t="shared" ref="H34:H45" si="27">1-F34/G34</f>
        <v>6.8799423548402405E-3</v>
      </c>
      <c r="I34" s="42">
        <f>1-B34/(G34*3)</f>
        <v>3.1657355679702071E-2</v>
      </c>
    </row>
    <row r="35" spans="1:9" ht="19" x14ac:dyDescent="0.25">
      <c r="A35" s="33" t="s">
        <v>0</v>
      </c>
      <c r="B35" s="34">
        <v>422</v>
      </c>
      <c r="C35" s="29">
        <f t="shared" si="25"/>
        <v>436.00817365815351</v>
      </c>
      <c r="D35" s="30">
        <f t="shared" si="26"/>
        <v>3.2128236359936779E-2</v>
      </c>
      <c r="E35" s="46" t="s">
        <v>55</v>
      </c>
      <c r="F35" s="23">
        <f t="shared" ref="F35:F45" si="28">C35/3</f>
        <v>145.33605788605118</v>
      </c>
      <c r="G35" s="23">
        <v>144</v>
      </c>
      <c r="H35" s="26">
        <f t="shared" si="27"/>
        <v>-9.2781797642442765E-3</v>
      </c>
      <c r="I35" s="42">
        <f t="shared" ref="I35:I45" si="29">1-B35/(G35*3)</f>
        <v>2.314814814814814E-2</v>
      </c>
    </row>
    <row r="36" spans="1:9" ht="38" x14ac:dyDescent="0.25">
      <c r="A36" s="33" t="s">
        <v>8</v>
      </c>
      <c r="B36" s="34">
        <v>282</v>
      </c>
      <c r="C36" s="27">
        <f t="shared" si="25"/>
        <v>283.07244266472514</v>
      </c>
      <c r="D36" s="25">
        <f t="shared" si="26"/>
        <v>3.788580246913531E-3</v>
      </c>
      <c r="E36" s="46" t="s">
        <v>56</v>
      </c>
      <c r="F36" s="23">
        <f t="shared" si="28"/>
        <v>94.35748088824171</v>
      </c>
      <c r="G36" s="23">
        <v>94</v>
      </c>
      <c r="H36" s="26">
        <f t="shared" si="27"/>
        <v>-3.8029881727841275E-3</v>
      </c>
      <c r="I36" s="42">
        <f t="shared" si="29"/>
        <v>0</v>
      </c>
    </row>
    <row r="37" spans="1:9" ht="38" x14ac:dyDescent="0.25">
      <c r="A37" s="33" t="s">
        <v>9</v>
      </c>
      <c r="B37" s="34">
        <v>270</v>
      </c>
      <c r="C37" s="27">
        <f t="shared" si="25"/>
        <v>283.07244266472514</v>
      </c>
      <c r="D37" s="25">
        <f t="shared" si="26"/>
        <v>4.6180555555555558E-2</v>
      </c>
      <c r="E37" s="46" t="s">
        <v>57</v>
      </c>
      <c r="F37" s="23">
        <f t="shared" si="28"/>
        <v>94.35748088824171</v>
      </c>
      <c r="G37" s="23">
        <v>94</v>
      </c>
      <c r="H37" s="26">
        <f t="shared" si="27"/>
        <v>-3.8029881727841275E-3</v>
      </c>
      <c r="I37" s="42">
        <f t="shared" si="29"/>
        <v>4.2553191489361653E-2</v>
      </c>
    </row>
    <row r="38" spans="1:9" ht="19" x14ac:dyDescent="0.25">
      <c r="A38" s="33" t="s">
        <v>1</v>
      </c>
      <c r="B38" s="34">
        <v>175</v>
      </c>
      <c r="C38" s="27">
        <f t="shared" si="25"/>
        <v>175.60975609756096</v>
      </c>
      <c r="D38" s="25">
        <f t="shared" si="26"/>
        <v>3.4722222222220989E-3</v>
      </c>
      <c r="E38" s="46" t="s">
        <v>58</v>
      </c>
      <c r="F38" s="23">
        <f t="shared" si="28"/>
        <v>58.536585365853654</v>
      </c>
      <c r="G38" s="23">
        <v>58</v>
      </c>
      <c r="H38" s="26">
        <f t="shared" si="27"/>
        <v>-9.251471825062918E-3</v>
      </c>
      <c r="I38" s="42">
        <f t="shared" si="29"/>
        <v>-5.7471264367816577E-3</v>
      </c>
    </row>
    <row r="39" spans="1:9" ht="19" x14ac:dyDescent="0.25">
      <c r="A39" s="33" t="s">
        <v>2</v>
      </c>
      <c r="B39" s="34">
        <v>280</v>
      </c>
      <c r="C39" s="27">
        <f t="shared" si="25"/>
        <v>291.43208502913359</v>
      </c>
      <c r="D39" s="25">
        <f t="shared" si="26"/>
        <v>3.9227269804526732E-2</v>
      </c>
      <c r="E39" s="46" t="s">
        <v>59</v>
      </c>
      <c r="F39" s="23">
        <f t="shared" si="28"/>
        <v>97.144028343044525</v>
      </c>
      <c r="G39" s="23">
        <v>97</v>
      </c>
      <c r="H39" s="26">
        <f t="shared" si="27"/>
        <v>-1.4848282788095801E-3</v>
      </c>
      <c r="I39" s="42">
        <f t="shared" si="29"/>
        <v>3.7800687285223344E-2</v>
      </c>
    </row>
    <row r="40" spans="1:9" ht="38" x14ac:dyDescent="0.25">
      <c r="A40" s="33" t="s">
        <v>10</v>
      </c>
      <c r="B40" s="34">
        <v>73</v>
      </c>
      <c r="C40" s="27">
        <f t="shared" si="25"/>
        <v>73.469387755102048</v>
      </c>
      <c r="D40" s="25">
        <f t="shared" si="26"/>
        <v>6.3888888888889994E-3</v>
      </c>
      <c r="E40" s="46" t="s">
        <v>60</v>
      </c>
      <c r="F40" s="23">
        <f t="shared" si="28"/>
        <v>24.489795918367349</v>
      </c>
      <c r="G40" s="23">
        <v>25</v>
      </c>
      <c r="H40" s="26">
        <f t="shared" si="27"/>
        <v>2.0408163265306034E-2</v>
      </c>
      <c r="I40" s="42">
        <f t="shared" si="29"/>
        <v>2.6666666666666616E-2</v>
      </c>
    </row>
    <row r="41" spans="1:9" ht="19" x14ac:dyDescent="0.2">
      <c r="A41" s="33" t="s">
        <v>3</v>
      </c>
      <c r="B41" s="34">
        <v>326</v>
      </c>
      <c r="C41" s="27">
        <f t="shared" si="25"/>
        <v>315.3427736814192</v>
      </c>
      <c r="D41" s="25">
        <f t="shared" si="26"/>
        <v>-3.3795689034394893E-2</v>
      </c>
      <c r="E41" s="47" t="s">
        <v>61</v>
      </c>
      <c r="F41" s="23">
        <f t="shared" si="28"/>
        <v>105.1142578938064</v>
      </c>
      <c r="G41" s="23">
        <v>105</v>
      </c>
      <c r="H41" s="26">
        <f t="shared" si="27"/>
        <v>-1.088170417203882E-3</v>
      </c>
      <c r="I41" s="42">
        <f t="shared" si="29"/>
        <v>-3.4920634920635019E-2</v>
      </c>
    </row>
    <row r="42" spans="1:9" ht="38" x14ac:dyDescent="0.25">
      <c r="A42" s="33" t="s">
        <v>48</v>
      </c>
      <c r="B42" s="34">
        <v>97</v>
      </c>
      <c r="C42" s="27">
        <f t="shared" si="25"/>
        <v>97.297297297297305</v>
      </c>
      <c r="D42" s="25">
        <f t="shared" si="26"/>
        <v>3.0555555555555891E-3</v>
      </c>
      <c r="E42" s="46" t="s">
        <v>62</v>
      </c>
      <c r="F42" s="23">
        <f t="shared" si="28"/>
        <v>32.432432432432435</v>
      </c>
      <c r="G42" s="23">
        <v>32</v>
      </c>
      <c r="H42" s="26">
        <f t="shared" si="27"/>
        <v>-1.3513513513513598E-2</v>
      </c>
      <c r="I42" s="42">
        <f t="shared" si="29"/>
        <v>-1.0416666666666741E-2</v>
      </c>
    </row>
    <row r="43" spans="1:9" ht="38" x14ac:dyDescent="0.25">
      <c r="A43" s="33" t="s">
        <v>47</v>
      </c>
      <c r="B43" s="34">
        <v>97</v>
      </c>
      <c r="C43" s="27">
        <f t="shared" ref="C43:C44" si="30">GETPIVOTDATA("Итого",$I$1,"transaction rq",A43)</f>
        <v>97.297297297297305</v>
      </c>
      <c r="D43" s="25">
        <f t="shared" ref="D43:D44" si="31">1-B43/C43</f>
        <v>3.0555555555555891E-3</v>
      </c>
      <c r="E43" s="46" t="s">
        <v>63</v>
      </c>
      <c r="F43" s="23">
        <f t="shared" si="28"/>
        <v>32.432432432432435</v>
      </c>
      <c r="G43" s="23">
        <v>32</v>
      </c>
      <c r="H43" s="26">
        <f t="shared" si="27"/>
        <v>-1.3513513513513598E-2</v>
      </c>
      <c r="I43" s="42">
        <f t="shared" si="29"/>
        <v>-1.0416666666666741E-2</v>
      </c>
    </row>
    <row r="44" spans="1:9" ht="57" x14ac:dyDescent="0.25">
      <c r="A44" s="33" t="s">
        <v>49</v>
      </c>
      <c r="B44" s="34">
        <v>97</v>
      </c>
      <c r="C44" s="27">
        <f t="shared" si="30"/>
        <v>97.297297297297305</v>
      </c>
      <c r="D44" s="25">
        <f t="shared" si="31"/>
        <v>3.0555555555555891E-3</v>
      </c>
      <c r="E44" s="46" t="s">
        <v>64</v>
      </c>
      <c r="F44" s="23">
        <f t="shared" si="28"/>
        <v>32.432432432432435</v>
      </c>
      <c r="G44" s="23">
        <v>32</v>
      </c>
      <c r="H44" s="26">
        <f t="shared" si="27"/>
        <v>-1.3513513513513598E-2</v>
      </c>
      <c r="I44" s="42">
        <f t="shared" si="29"/>
        <v>-1.0416666666666741E-2</v>
      </c>
    </row>
    <row r="45" spans="1:9" ht="19" x14ac:dyDescent="0.2">
      <c r="A45" s="35" t="s">
        <v>4</v>
      </c>
      <c r="B45" s="34">
        <f>SUM(B34:B44)</f>
        <v>2639</v>
      </c>
      <c r="C45" s="28">
        <f>SUM(C34:C44)</f>
        <v>2683.2044243981627</v>
      </c>
      <c r="D45" s="25">
        <f>1-B45/C45</f>
        <v>1.647448997780987E-2</v>
      </c>
      <c r="E45" s="40"/>
      <c r="F45" s="23">
        <f t="shared" si="28"/>
        <v>894.40147479938753</v>
      </c>
      <c r="G45" s="23">
        <f>SUM(G34:G44)</f>
        <v>892</v>
      </c>
      <c r="H45" s="26">
        <f t="shared" si="27"/>
        <v>-2.6922363221832946E-3</v>
      </c>
      <c r="I45" s="42">
        <f t="shared" si="29"/>
        <v>1.3826606875934178E-2</v>
      </c>
    </row>
    <row r="48" spans="1:9" x14ac:dyDescent="0.2">
      <c r="A48" s="39"/>
      <c r="B48" s="39"/>
      <c r="C48" s="39"/>
    </row>
    <row r="49" spans="1:3" x14ac:dyDescent="0.2">
      <c r="A49" s="39"/>
      <c r="B49" s="39"/>
      <c r="C49" s="39"/>
    </row>
    <row r="50" spans="1:3" x14ac:dyDescent="0.2">
      <c r="A50" s="39"/>
      <c r="B50" s="39"/>
      <c r="C50" s="39"/>
    </row>
  </sheetData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Z58"/>
  <sheetViews>
    <sheetView tabSelected="1" topLeftCell="A26" zoomScale="111" workbookViewId="0">
      <selection activeCell="M51" sqref="M51"/>
    </sheetView>
  </sheetViews>
  <sheetFormatPr baseColWidth="10" defaultColWidth="8.83203125" defaultRowHeight="15" x14ac:dyDescent="0.2"/>
  <cols>
    <col min="2" max="2" width="4.5" customWidth="1"/>
    <col min="3" max="4" width="9.1640625" hidden="1" customWidth="1"/>
    <col min="5" max="5" width="44" customWidth="1"/>
    <col min="6" max="6" width="18.83203125" customWidth="1"/>
    <col min="7" max="7" width="15.33203125" customWidth="1"/>
    <col min="8" max="8" width="15.1640625" customWidth="1"/>
    <col min="9" max="9" width="14" customWidth="1"/>
    <col min="11" max="11" width="1.5" customWidth="1"/>
    <col min="12" max="12" width="40.33203125" customWidth="1"/>
    <col min="13" max="13" width="6" bestFit="1" customWidth="1"/>
    <col min="14" max="14" width="4.1640625" bestFit="1" customWidth="1"/>
    <col min="15" max="15" width="5" bestFit="1" customWidth="1"/>
    <col min="16" max="16" width="14.1640625" bestFit="1" customWidth="1"/>
    <col min="17" max="17" width="19.5" bestFit="1" customWidth="1"/>
    <col min="20" max="20" width="18.6640625" customWidth="1"/>
  </cols>
  <sheetData>
    <row r="9" spans="5:26" x14ac:dyDescent="0.2">
      <c r="E9" s="50" t="s">
        <v>17</v>
      </c>
      <c r="F9" s="50"/>
      <c r="G9" s="50"/>
      <c r="H9" s="50"/>
      <c r="I9" s="50"/>
    </row>
    <row r="11" spans="5:26" ht="30" x14ac:dyDescent="0.2">
      <c r="E11" s="1" t="s">
        <v>11</v>
      </c>
      <c r="F11" s="1" t="s">
        <v>12</v>
      </c>
      <c r="G11" s="1" t="s">
        <v>13</v>
      </c>
      <c r="H11" s="1" t="s">
        <v>14</v>
      </c>
      <c r="I11" s="1" t="s">
        <v>15</v>
      </c>
      <c r="U11" t="s">
        <v>84</v>
      </c>
      <c r="V11" t="s">
        <v>85</v>
      </c>
    </row>
    <row r="12" spans="5:26" ht="16" x14ac:dyDescent="0.2">
      <c r="E12" s="9" t="s">
        <v>46</v>
      </c>
      <c r="F12" s="9" t="s">
        <v>54</v>
      </c>
      <c r="G12" s="44">
        <v>520</v>
      </c>
      <c r="H12" s="44">
        <f>'Автоматизированный расчет'!G34*3</f>
        <v>537</v>
      </c>
      <c r="I12" s="2">
        <f>1-G12/H12</f>
        <v>3.1657355679702071E-2</v>
      </c>
      <c r="S12" s="48"/>
      <c r="T12" s="48"/>
      <c r="U12" s="48"/>
      <c r="V12" s="48"/>
      <c r="W12" s="48"/>
      <c r="X12" s="48"/>
      <c r="Y12" s="48"/>
      <c r="Z12" s="48" t="s">
        <v>69</v>
      </c>
    </row>
    <row r="13" spans="5:26" ht="16" x14ac:dyDescent="0.2">
      <c r="E13" s="9" t="s">
        <v>0</v>
      </c>
      <c r="F13" s="9" t="s">
        <v>55</v>
      </c>
      <c r="G13" s="44">
        <v>422</v>
      </c>
      <c r="H13" s="44">
        <f>'Автоматизированный расчет'!G35*3</f>
        <v>432</v>
      </c>
      <c r="I13" s="2">
        <f t="shared" ref="I13:I22" si="0">1-G13/H13</f>
        <v>2.314814814814814E-2</v>
      </c>
      <c r="S13" s="48" t="s">
        <v>70</v>
      </c>
      <c r="T13" s="48"/>
      <c r="U13" s="48" t="s">
        <v>71</v>
      </c>
      <c r="V13" s="48">
        <f>U13*3</f>
        <v>702</v>
      </c>
      <c r="W13" s="48"/>
      <c r="X13" s="48"/>
      <c r="Y13" s="48"/>
      <c r="Z13" s="48" t="s">
        <v>71</v>
      </c>
    </row>
    <row r="14" spans="5:26" ht="16" x14ac:dyDescent="0.2">
      <c r="E14" s="9" t="s">
        <v>8</v>
      </c>
      <c r="F14" s="9" t="s">
        <v>56</v>
      </c>
      <c r="G14" s="44">
        <v>282</v>
      </c>
      <c r="H14" s="44">
        <f>'Автоматизированный расчет'!G36*3</f>
        <v>282</v>
      </c>
      <c r="I14" s="2">
        <f t="shared" si="0"/>
        <v>0</v>
      </c>
      <c r="S14" s="48" t="s">
        <v>72</v>
      </c>
      <c r="T14" s="48"/>
      <c r="U14" s="48" t="s">
        <v>73</v>
      </c>
      <c r="V14" s="48">
        <f t="shared" ref="V14:V23" si="1">U14*3</f>
        <v>1035</v>
      </c>
      <c r="W14" s="48"/>
      <c r="X14" s="48"/>
      <c r="Y14" s="48"/>
      <c r="Z14" s="48" t="s">
        <v>73</v>
      </c>
    </row>
    <row r="15" spans="5:26" ht="16" x14ac:dyDescent="0.2">
      <c r="E15" s="9" t="s">
        <v>9</v>
      </c>
      <c r="F15" s="9" t="s">
        <v>57</v>
      </c>
      <c r="G15" s="44">
        <v>270</v>
      </c>
      <c r="H15" s="44">
        <f>'Автоматизированный расчет'!G37*3</f>
        <v>282</v>
      </c>
      <c r="I15" s="3">
        <f t="shared" si="0"/>
        <v>4.2553191489361653E-2</v>
      </c>
      <c r="S15" s="48" t="s">
        <v>74</v>
      </c>
      <c r="T15" s="48"/>
      <c r="U15" s="48" t="s">
        <v>75</v>
      </c>
      <c r="V15" s="48">
        <f t="shared" si="1"/>
        <v>384</v>
      </c>
      <c r="W15" s="48"/>
      <c r="X15" s="48"/>
      <c r="Y15" s="48"/>
      <c r="Z15" s="48" t="s">
        <v>75</v>
      </c>
    </row>
    <row r="16" spans="5:26" ht="16" x14ac:dyDescent="0.2">
      <c r="E16" s="9" t="s">
        <v>1</v>
      </c>
      <c r="F16" s="9" t="s">
        <v>58</v>
      </c>
      <c r="G16" s="44">
        <v>175</v>
      </c>
      <c r="H16" s="44">
        <f>'Автоматизированный расчет'!G38*3</f>
        <v>174</v>
      </c>
      <c r="I16" s="2">
        <f t="shared" si="0"/>
        <v>-5.7471264367816577E-3</v>
      </c>
      <c r="S16" s="48" t="s">
        <v>60</v>
      </c>
      <c r="T16" s="48"/>
      <c r="U16" s="48" t="s">
        <v>76</v>
      </c>
      <c r="V16" s="48">
        <f t="shared" si="1"/>
        <v>279</v>
      </c>
      <c r="W16" s="48"/>
      <c r="X16" s="48"/>
      <c r="Y16" s="48"/>
      <c r="Z16" s="48" t="s">
        <v>76</v>
      </c>
    </row>
    <row r="17" spans="5:26" ht="16" x14ac:dyDescent="0.2">
      <c r="E17" s="9" t="s">
        <v>2</v>
      </c>
      <c r="F17" s="9" t="s">
        <v>59</v>
      </c>
      <c r="G17" s="44">
        <v>280</v>
      </c>
      <c r="H17" s="44">
        <f>'Автоматизированный расчет'!G39*3</f>
        <v>291</v>
      </c>
      <c r="I17" s="2">
        <f t="shared" si="0"/>
        <v>3.7800687285223344E-2</v>
      </c>
      <c r="S17" s="48" t="s">
        <v>77</v>
      </c>
      <c r="T17" s="48"/>
      <c r="U17" s="48" t="s">
        <v>78</v>
      </c>
      <c r="V17" s="48">
        <f t="shared" si="1"/>
        <v>1173</v>
      </c>
      <c r="W17" s="48"/>
      <c r="X17" s="48"/>
      <c r="Y17" s="48"/>
      <c r="Z17" s="48" t="s">
        <v>78</v>
      </c>
    </row>
    <row r="18" spans="5:26" ht="16" x14ac:dyDescent="0.2">
      <c r="E18" s="9" t="s">
        <v>10</v>
      </c>
      <c r="F18" s="9" t="s">
        <v>60</v>
      </c>
      <c r="G18" s="44">
        <v>73</v>
      </c>
      <c r="H18" s="44">
        <f>'Автоматизированный расчет'!G40*3</f>
        <v>75</v>
      </c>
      <c r="I18" s="2">
        <f t="shared" si="0"/>
        <v>2.6666666666666616E-2</v>
      </c>
      <c r="S18" s="48" t="s">
        <v>54</v>
      </c>
      <c r="T18" s="48"/>
      <c r="U18" s="48" t="s">
        <v>79</v>
      </c>
      <c r="V18" s="48">
        <f t="shared" si="1"/>
        <v>2052</v>
      </c>
      <c r="W18" s="48"/>
      <c r="X18" s="48"/>
      <c r="Y18" s="48"/>
      <c r="Z18" s="48" t="s">
        <v>79</v>
      </c>
    </row>
    <row r="19" spans="5:26" ht="16" x14ac:dyDescent="0.2">
      <c r="E19" s="9" t="s">
        <v>3</v>
      </c>
      <c r="F19" s="9" t="s">
        <v>61</v>
      </c>
      <c r="G19" s="44">
        <v>326</v>
      </c>
      <c r="H19" s="44">
        <f>'Автоматизированный расчет'!G41*3</f>
        <v>315</v>
      </c>
      <c r="I19" s="2">
        <f t="shared" si="0"/>
        <v>-3.4920634920635019E-2</v>
      </c>
      <c r="S19" s="48" t="s">
        <v>55</v>
      </c>
      <c r="T19" s="48"/>
      <c r="U19" s="48" t="s">
        <v>80</v>
      </c>
      <c r="V19" s="48">
        <f t="shared" si="1"/>
        <v>1668</v>
      </c>
      <c r="W19" s="48"/>
      <c r="X19" s="48"/>
      <c r="Y19" s="48"/>
      <c r="Z19" s="48" t="s">
        <v>80</v>
      </c>
    </row>
    <row r="20" spans="5:26" ht="16" x14ac:dyDescent="0.2">
      <c r="E20" s="9" t="s">
        <v>48</v>
      </c>
      <c r="F20" s="9" t="s">
        <v>66</v>
      </c>
      <c r="G20" s="44">
        <v>97</v>
      </c>
      <c r="H20" s="44">
        <f>'Автоматизированный расчет'!G42*3</f>
        <v>96</v>
      </c>
      <c r="I20" s="2">
        <f t="shared" si="0"/>
        <v>-1.0416666666666741E-2</v>
      </c>
      <c r="S20" s="48" t="s">
        <v>61</v>
      </c>
      <c r="T20" s="48"/>
      <c r="U20" s="48" t="s">
        <v>81</v>
      </c>
      <c r="V20" s="48">
        <f t="shared" si="1"/>
        <v>1155</v>
      </c>
      <c r="W20" s="48"/>
      <c r="X20" s="48"/>
      <c r="Y20" s="48"/>
      <c r="Z20" s="48" t="s">
        <v>81</v>
      </c>
    </row>
    <row r="21" spans="5:26" ht="16" x14ac:dyDescent="0.2">
      <c r="E21" s="9" t="s">
        <v>47</v>
      </c>
      <c r="F21" s="9" t="s">
        <v>67</v>
      </c>
      <c r="G21" s="44">
        <v>97</v>
      </c>
      <c r="H21" s="44">
        <f>'Автоматизированный расчет'!G43*3</f>
        <v>96</v>
      </c>
      <c r="I21" s="2">
        <f t="shared" si="0"/>
        <v>-1.0416666666666741E-2</v>
      </c>
      <c r="S21" s="48" t="s">
        <v>64</v>
      </c>
      <c r="T21" s="48"/>
      <c r="U21" s="48" t="s">
        <v>82</v>
      </c>
      <c r="V21" s="48">
        <f t="shared" si="1"/>
        <v>387</v>
      </c>
      <c r="W21" s="48"/>
      <c r="X21" s="48"/>
      <c r="Y21" s="48"/>
      <c r="Z21" s="48" t="s">
        <v>82</v>
      </c>
    </row>
    <row r="22" spans="5:26" ht="16" x14ac:dyDescent="0.2">
      <c r="E22" s="9" t="s">
        <v>49</v>
      </c>
      <c r="F22" s="9" t="s">
        <v>68</v>
      </c>
      <c r="G22" s="44">
        <v>97</v>
      </c>
      <c r="H22" s="44">
        <f>'Автоматизированный расчет'!G44*3</f>
        <v>96</v>
      </c>
      <c r="I22" s="2">
        <f t="shared" si="0"/>
        <v>-1.0416666666666741E-2</v>
      </c>
      <c r="S22" s="48" t="s">
        <v>56</v>
      </c>
      <c r="T22" s="48"/>
      <c r="U22" s="48" t="s">
        <v>83</v>
      </c>
      <c r="V22" s="48">
        <f t="shared" si="1"/>
        <v>1041</v>
      </c>
      <c r="W22" s="48"/>
      <c r="X22" s="48"/>
      <c r="Y22" s="48"/>
      <c r="Z22" s="48" t="s">
        <v>83</v>
      </c>
    </row>
    <row r="23" spans="5:26" ht="16" x14ac:dyDescent="0.2">
      <c r="E23" s="43"/>
      <c r="F23" s="43"/>
      <c r="G23" s="43"/>
      <c r="H23" s="43"/>
      <c r="I23" s="43"/>
      <c r="S23" s="48" t="s">
        <v>67</v>
      </c>
      <c r="T23" s="48"/>
      <c r="U23" s="48" t="s">
        <v>82</v>
      </c>
      <c r="V23" s="48">
        <f t="shared" si="1"/>
        <v>387</v>
      </c>
      <c r="W23" s="48"/>
      <c r="X23" s="48"/>
      <c r="Y23" s="48"/>
      <c r="Z23" s="48" t="s">
        <v>82</v>
      </c>
    </row>
    <row r="24" spans="5:26" ht="16" x14ac:dyDescent="0.2">
      <c r="E24" s="43"/>
      <c r="F24" s="43"/>
      <c r="G24" s="43"/>
      <c r="H24" s="43"/>
      <c r="I24" s="43"/>
    </row>
    <row r="25" spans="5:26" ht="16" x14ac:dyDescent="0.2">
      <c r="E25" s="43"/>
    </row>
    <row r="26" spans="5:26" x14ac:dyDescent="0.2">
      <c r="E26" s="50" t="s">
        <v>86</v>
      </c>
      <c r="F26" s="50"/>
      <c r="G26" s="50"/>
      <c r="H26" s="50"/>
      <c r="I26" s="50"/>
    </row>
    <row r="27" spans="5:26" x14ac:dyDescent="0.2">
      <c r="L27" s="49" t="s">
        <v>70</v>
      </c>
      <c r="M27" s="49"/>
      <c r="N27" s="48" t="s">
        <v>71</v>
      </c>
      <c r="O27" s="49">
        <f>N27*3</f>
        <v>702</v>
      </c>
    </row>
    <row r="28" spans="5:26" x14ac:dyDescent="0.2">
      <c r="E28" s="5" t="s">
        <v>11</v>
      </c>
      <c r="F28" s="5" t="s">
        <v>12</v>
      </c>
      <c r="G28" s="5" t="s">
        <v>13</v>
      </c>
      <c r="H28" s="5" t="s">
        <v>14</v>
      </c>
      <c r="I28" s="5" t="s">
        <v>15</v>
      </c>
      <c r="L28" s="49" t="s">
        <v>72</v>
      </c>
      <c r="M28" s="49"/>
      <c r="N28" s="48" t="s">
        <v>87</v>
      </c>
      <c r="O28" s="49">
        <f t="shared" ref="O28:O37" si="2">N28*3</f>
        <v>1134</v>
      </c>
    </row>
    <row r="29" spans="5:26" ht="16" x14ac:dyDescent="0.2">
      <c r="E29" s="9" t="s">
        <v>46</v>
      </c>
      <c r="F29" s="9" t="s">
        <v>54</v>
      </c>
      <c r="G29" s="7">
        <f>G12*4</f>
        <v>2080</v>
      </c>
      <c r="H29" s="49">
        <v>2139</v>
      </c>
      <c r="I29" s="8">
        <f>1-G29/H29</f>
        <v>2.7582982702197278E-2</v>
      </c>
      <c r="L29" s="49" t="s">
        <v>74</v>
      </c>
      <c r="M29" s="49"/>
      <c r="N29" s="48" t="s">
        <v>75</v>
      </c>
      <c r="O29" s="49">
        <f t="shared" si="2"/>
        <v>384</v>
      </c>
    </row>
    <row r="30" spans="5:26" ht="16" x14ac:dyDescent="0.2">
      <c r="E30" s="9" t="s">
        <v>0</v>
      </c>
      <c r="F30" s="9" t="s">
        <v>55</v>
      </c>
      <c r="G30" s="7">
        <f t="shared" ref="G30:G39" si="3">G13*4</f>
        <v>1688</v>
      </c>
      <c r="H30" s="6">
        <v>1761</v>
      </c>
      <c r="I30" s="8">
        <f t="shared" ref="I30:I39" si="4">1-G30/H30</f>
        <v>4.1453719477569595E-2</v>
      </c>
      <c r="L30" s="49" t="s">
        <v>60</v>
      </c>
      <c r="M30" s="49"/>
      <c r="N30" s="48" t="s">
        <v>76</v>
      </c>
      <c r="O30" s="49">
        <f t="shared" si="2"/>
        <v>279</v>
      </c>
    </row>
    <row r="31" spans="5:26" ht="16" x14ac:dyDescent="0.2">
      <c r="E31" s="9" t="s">
        <v>8</v>
      </c>
      <c r="F31" s="9" t="s">
        <v>56</v>
      </c>
      <c r="G31" s="7">
        <f t="shared" si="3"/>
        <v>1128</v>
      </c>
      <c r="H31" s="6">
        <v>1128</v>
      </c>
      <c r="I31" s="8">
        <f t="shared" si="4"/>
        <v>0</v>
      </c>
      <c r="L31" s="49" t="s">
        <v>77</v>
      </c>
      <c r="M31" s="49"/>
      <c r="N31" s="48" t="s">
        <v>88</v>
      </c>
      <c r="O31" s="49">
        <f t="shared" si="2"/>
        <v>1170</v>
      </c>
    </row>
    <row r="32" spans="5:26" ht="16" x14ac:dyDescent="0.2">
      <c r="E32" s="9" t="s">
        <v>9</v>
      </c>
      <c r="F32" s="9" t="s">
        <v>57</v>
      </c>
      <c r="G32" s="7">
        <f t="shared" si="3"/>
        <v>1080</v>
      </c>
      <c r="H32" s="6">
        <v>1034</v>
      </c>
      <c r="I32" s="4">
        <f t="shared" si="4"/>
        <v>-4.4487427466150864E-2</v>
      </c>
      <c r="L32" s="49" t="s">
        <v>54</v>
      </c>
      <c r="M32" s="49"/>
      <c r="N32" s="48" t="s">
        <v>89</v>
      </c>
      <c r="O32" s="49">
        <f t="shared" si="2"/>
        <v>2139</v>
      </c>
    </row>
    <row r="33" spans="5:15" ht="16" x14ac:dyDescent="0.2">
      <c r="E33" s="9" t="s">
        <v>1</v>
      </c>
      <c r="F33" s="9" t="s">
        <v>58</v>
      </c>
      <c r="G33" s="7">
        <f t="shared" si="3"/>
        <v>700</v>
      </c>
      <c r="H33" s="49">
        <v>702</v>
      </c>
      <c r="I33" s="8">
        <f t="shared" si="4"/>
        <v>2.8490028490028019E-3</v>
      </c>
      <c r="L33" s="49" t="s">
        <v>55</v>
      </c>
      <c r="M33" s="49"/>
      <c r="N33" s="48" t="s">
        <v>90</v>
      </c>
      <c r="O33" s="49">
        <f t="shared" si="2"/>
        <v>1761</v>
      </c>
    </row>
    <row r="34" spans="5:15" ht="16" x14ac:dyDescent="0.2">
      <c r="E34" s="9" t="s">
        <v>2</v>
      </c>
      <c r="F34" s="9" t="s">
        <v>59</v>
      </c>
      <c r="G34" s="7">
        <f t="shared" si="3"/>
        <v>1120</v>
      </c>
      <c r="H34" s="6">
        <v>1170</v>
      </c>
      <c r="I34" s="8">
        <f t="shared" si="4"/>
        <v>4.2735042735042694E-2</v>
      </c>
      <c r="L34" s="49" t="s">
        <v>61</v>
      </c>
      <c r="M34" s="49"/>
      <c r="N34" s="48" t="s">
        <v>91</v>
      </c>
      <c r="O34" s="49">
        <f t="shared" si="2"/>
        <v>1242</v>
      </c>
    </row>
    <row r="35" spans="5:15" ht="16" x14ac:dyDescent="0.2">
      <c r="E35" s="9" t="s">
        <v>10</v>
      </c>
      <c r="F35" s="9" t="s">
        <v>60</v>
      </c>
      <c r="G35" s="7">
        <f t="shared" si="3"/>
        <v>292</v>
      </c>
      <c r="H35" s="6">
        <v>279</v>
      </c>
      <c r="I35" s="8">
        <f t="shared" si="4"/>
        <v>-4.6594982078853153E-2</v>
      </c>
      <c r="L35" s="49" t="s">
        <v>64</v>
      </c>
      <c r="M35" s="49"/>
      <c r="N35" s="48" t="s">
        <v>82</v>
      </c>
      <c r="O35" s="49">
        <f t="shared" si="2"/>
        <v>387</v>
      </c>
    </row>
    <row r="36" spans="5:15" ht="16" x14ac:dyDescent="0.2">
      <c r="E36" s="9" t="s">
        <v>3</v>
      </c>
      <c r="F36" s="9" t="s">
        <v>61</v>
      </c>
      <c r="G36" s="7">
        <f t="shared" si="3"/>
        <v>1304</v>
      </c>
      <c r="H36" s="40">
        <v>1242</v>
      </c>
      <c r="I36" s="8">
        <f t="shared" si="4"/>
        <v>-4.9919484702093397E-2</v>
      </c>
      <c r="L36" s="49" t="s">
        <v>56</v>
      </c>
      <c r="M36" s="49"/>
      <c r="N36" s="48" t="s">
        <v>92</v>
      </c>
      <c r="O36" s="49">
        <f t="shared" si="2"/>
        <v>1128</v>
      </c>
    </row>
    <row r="37" spans="5:15" ht="16" x14ac:dyDescent="0.2">
      <c r="E37" s="9" t="s">
        <v>48</v>
      </c>
      <c r="F37" s="9" t="s">
        <v>66</v>
      </c>
      <c r="G37" s="7">
        <f t="shared" si="3"/>
        <v>388</v>
      </c>
      <c r="H37" s="40">
        <v>384</v>
      </c>
      <c r="I37" s="8">
        <f t="shared" si="4"/>
        <v>-1.0416666666666741E-2</v>
      </c>
      <c r="L37" s="49" t="s">
        <v>67</v>
      </c>
      <c r="M37" s="49"/>
      <c r="N37" s="48" t="s">
        <v>75</v>
      </c>
      <c r="O37" s="49">
        <f t="shared" si="2"/>
        <v>384</v>
      </c>
    </row>
    <row r="38" spans="5:15" ht="16" x14ac:dyDescent="0.2">
      <c r="E38" s="9" t="s">
        <v>47</v>
      </c>
      <c r="F38" s="9" t="s">
        <v>67</v>
      </c>
      <c r="G38" s="7">
        <f t="shared" si="3"/>
        <v>388</v>
      </c>
      <c r="H38" s="40">
        <v>384</v>
      </c>
      <c r="I38" s="8">
        <f t="shared" si="4"/>
        <v>-1.0416666666666741E-2</v>
      </c>
    </row>
    <row r="39" spans="5:15" ht="16" x14ac:dyDescent="0.2">
      <c r="E39" s="9" t="s">
        <v>49</v>
      </c>
      <c r="F39" s="9" t="s">
        <v>68</v>
      </c>
      <c r="G39" s="7">
        <f t="shared" si="3"/>
        <v>388</v>
      </c>
      <c r="H39" s="40">
        <v>387</v>
      </c>
      <c r="I39" s="8">
        <f t="shared" si="4"/>
        <v>-2.5839793281654533E-3</v>
      </c>
    </row>
    <row r="41" spans="5:15" ht="16" x14ac:dyDescent="0.2">
      <c r="E41" s="51" t="s">
        <v>93</v>
      </c>
    </row>
    <row r="45" spans="5:15" x14ac:dyDescent="0.2">
      <c r="E45" s="50" t="s">
        <v>16</v>
      </c>
      <c r="F45" s="50"/>
      <c r="G45" s="50"/>
      <c r="H45" s="50"/>
      <c r="I45" s="50"/>
    </row>
    <row r="47" spans="5:15" x14ac:dyDescent="0.2">
      <c r="E47" s="5" t="s">
        <v>11</v>
      </c>
      <c r="F47" s="5" t="s">
        <v>12</v>
      </c>
      <c r="G47" s="5" t="s">
        <v>13</v>
      </c>
      <c r="H47" s="5" t="s">
        <v>14</v>
      </c>
      <c r="I47" s="5" t="s">
        <v>15</v>
      </c>
      <c r="L47" s="49" t="s">
        <v>70</v>
      </c>
      <c r="M47" s="48" t="s">
        <v>94</v>
      </c>
      <c r="N47" s="48" t="s">
        <v>71</v>
      </c>
      <c r="O47" s="49">
        <f>N47*3</f>
        <v>702</v>
      </c>
    </row>
    <row r="48" spans="5:15" ht="16" x14ac:dyDescent="0.2">
      <c r="E48" s="9" t="s">
        <v>46</v>
      </c>
      <c r="F48" s="9" t="s">
        <v>54</v>
      </c>
      <c r="G48" s="7">
        <f>G12*4*0.9</f>
        <v>1872</v>
      </c>
      <c r="H48" s="49"/>
      <c r="I48" s="8" t="e">
        <f>1-G48/H48</f>
        <v>#DIV/0!</v>
      </c>
      <c r="L48" s="49" t="s">
        <v>72</v>
      </c>
      <c r="M48" s="48" t="s">
        <v>95</v>
      </c>
      <c r="N48" s="48" t="s">
        <v>87</v>
      </c>
      <c r="O48" s="49">
        <f t="shared" ref="O48:O57" si="5">N48*3</f>
        <v>1134</v>
      </c>
    </row>
    <row r="49" spans="5:15" ht="16" x14ac:dyDescent="0.2">
      <c r="E49" s="9" t="s">
        <v>0</v>
      </c>
      <c r="F49" s="9" t="s">
        <v>55</v>
      </c>
      <c r="G49" s="7">
        <f t="shared" ref="G49:G58" si="6">G13*4</f>
        <v>1688</v>
      </c>
      <c r="H49" s="49"/>
      <c r="I49" s="8" t="e">
        <f t="shared" ref="I49:I58" si="7">1-G49/H49</f>
        <v>#DIV/0!</v>
      </c>
      <c r="L49" s="49" t="s">
        <v>74</v>
      </c>
      <c r="M49" s="48" t="s">
        <v>96</v>
      </c>
      <c r="N49" s="48" t="s">
        <v>75</v>
      </c>
      <c r="O49" s="49">
        <f t="shared" si="5"/>
        <v>384</v>
      </c>
    </row>
    <row r="50" spans="5:15" ht="16" x14ac:dyDescent="0.2">
      <c r="E50" s="9" t="s">
        <v>8</v>
      </c>
      <c r="F50" s="9" t="s">
        <v>56</v>
      </c>
      <c r="G50" s="7">
        <f t="shared" si="6"/>
        <v>1128</v>
      </c>
      <c r="H50" s="49"/>
      <c r="I50" s="8" t="e">
        <f t="shared" si="7"/>
        <v>#DIV/0!</v>
      </c>
      <c r="L50" s="49" t="s">
        <v>60</v>
      </c>
      <c r="M50" s="48" t="s">
        <v>97</v>
      </c>
      <c r="N50" s="48" t="s">
        <v>76</v>
      </c>
      <c r="O50" s="49">
        <f t="shared" si="5"/>
        <v>279</v>
      </c>
    </row>
    <row r="51" spans="5:15" ht="16" x14ac:dyDescent="0.2">
      <c r="E51" s="9" t="s">
        <v>9</v>
      </c>
      <c r="F51" s="9" t="s">
        <v>57</v>
      </c>
      <c r="G51" s="7">
        <f t="shared" si="6"/>
        <v>1080</v>
      </c>
      <c r="H51" s="49"/>
      <c r="I51" s="4" t="e">
        <f t="shared" si="7"/>
        <v>#DIV/0!</v>
      </c>
      <c r="L51" s="49" t="s">
        <v>77</v>
      </c>
      <c r="M51" s="48" t="s">
        <v>98</v>
      </c>
      <c r="N51" s="48" t="s">
        <v>88</v>
      </c>
      <c r="O51" s="49">
        <f t="shared" si="5"/>
        <v>1170</v>
      </c>
    </row>
    <row r="52" spans="5:15" ht="16" x14ac:dyDescent="0.2">
      <c r="E52" s="9" t="s">
        <v>1</v>
      </c>
      <c r="F52" s="9" t="s">
        <v>58</v>
      </c>
      <c r="G52" s="7">
        <f t="shared" si="6"/>
        <v>700</v>
      </c>
      <c r="H52" s="49"/>
      <c r="I52" s="8" t="e">
        <f t="shared" si="7"/>
        <v>#DIV/0!</v>
      </c>
      <c r="L52" s="49" t="s">
        <v>54</v>
      </c>
      <c r="M52" s="48" t="s">
        <v>99</v>
      </c>
      <c r="N52" s="48" t="s">
        <v>89</v>
      </c>
      <c r="O52" s="49">
        <f t="shared" si="5"/>
        <v>2139</v>
      </c>
    </row>
    <row r="53" spans="5:15" ht="16" x14ac:dyDescent="0.2">
      <c r="E53" s="9" t="s">
        <v>2</v>
      </c>
      <c r="F53" s="9" t="s">
        <v>59</v>
      </c>
      <c r="G53" s="7">
        <f t="shared" si="6"/>
        <v>1120</v>
      </c>
      <c r="H53" s="49"/>
      <c r="I53" s="8" t="e">
        <f t="shared" si="7"/>
        <v>#DIV/0!</v>
      </c>
      <c r="L53" s="49" t="s">
        <v>55</v>
      </c>
      <c r="M53" s="48" t="s">
        <v>100</v>
      </c>
      <c r="N53" s="48" t="s">
        <v>90</v>
      </c>
      <c r="O53" s="49">
        <f t="shared" si="5"/>
        <v>1761</v>
      </c>
    </row>
    <row r="54" spans="5:15" ht="16" x14ac:dyDescent="0.2">
      <c r="E54" s="9" t="s">
        <v>10</v>
      </c>
      <c r="F54" s="9" t="s">
        <v>60</v>
      </c>
      <c r="G54" s="7">
        <f t="shared" si="6"/>
        <v>292</v>
      </c>
      <c r="H54" s="49">
        <v>182</v>
      </c>
      <c r="I54" s="8">
        <f t="shared" si="7"/>
        <v>-0.60439560439560447</v>
      </c>
      <c r="L54" s="49" t="s">
        <v>61</v>
      </c>
      <c r="M54" s="48" t="s">
        <v>101</v>
      </c>
      <c r="N54" s="48" t="s">
        <v>91</v>
      </c>
      <c r="O54" s="49">
        <f t="shared" si="5"/>
        <v>1242</v>
      </c>
    </row>
    <row r="55" spans="5:15" ht="16" x14ac:dyDescent="0.2">
      <c r="E55" s="9" t="s">
        <v>3</v>
      </c>
      <c r="F55" s="9" t="s">
        <v>61</v>
      </c>
      <c r="G55" s="7">
        <f t="shared" si="6"/>
        <v>1304</v>
      </c>
      <c r="H55" s="49">
        <v>1356</v>
      </c>
      <c r="I55" s="8">
        <f t="shared" si="7"/>
        <v>3.8348082595870192E-2</v>
      </c>
      <c r="L55" s="49" t="s">
        <v>64</v>
      </c>
      <c r="M55" s="48" t="s">
        <v>102</v>
      </c>
      <c r="N55" s="48" t="s">
        <v>82</v>
      </c>
      <c r="O55" s="49">
        <f t="shared" si="5"/>
        <v>387</v>
      </c>
    </row>
    <row r="56" spans="5:15" ht="16" x14ac:dyDescent="0.2">
      <c r="E56" s="9" t="s">
        <v>48</v>
      </c>
      <c r="F56" s="9" t="s">
        <v>66</v>
      </c>
      <c r="G56" s="7">
        <f t="shared" si="6"/>
        <v>388</v>
      </c>
      <c r="H56" s="48" t="s">
        <v>96</v>
      </c>
      <c r="I56" s="8">
        <f t="shared" si="7"/>
        <v>-2.5839793281654533E-3</v>
      </c>
      <c r="L56" s="49" t="s">
        <v>56</v>
      </c>
      <c r="M56" s="48" t="s">
        <v>103</v>
      </c>
      <c r="N56" s="48" t="s">
        <v>92</v>
      </c>
      <c r="O56" s="49">
        <f t="shared" si="5"/>
        <v>1128</v>
      </c>
    </row>
    <row r="57" spans="5:15" ht="16" x14ac:dyDescent="0.2">
      <c r="E57" s="9" t="s">
        <v>47</v>
      </c>
      <c r="F57" s="9" t="s">
        <v>67</v>
      </c>
      <c r="G57" s="7">
        <f t="shared" si="6"/>
        <v>388</v>
      </c>
      <c r="H57" s="49">
        <v>381</v>
      </c>
      <c r="I57" s="8">
        <f t="shared" si="7"/>
        <v>-1.8372703412073532E-2</v>
      </c>
      <c r="L57" s="49" t="s">
        <v>67</v>
      </c>
      <c r="M57" s="48" t="s">
        <v>102</v>
      </c>
      <c r="N57" s="48" t="s">
        <v>75</v>
      </c>
      <c r="O57" s="49">
        <f t="shared" si="5"/>
        <v>384</v>
      </c>
    </row>
    <row r="58" spans="5:15" ht="16" x14ac:dyDescent="0.2">
      <c r="E58" s="9" t="s">
        <v>49</v>
      </c>
      <c r="F58" s="9" t="s">
        <v>68</v>
      </c>
      <c r="G58" s="7">
        <f t="shared" si="6"/>
        <v>388</v>
      </c>
      <c r="H58" s="48" t="s">
        <v>102</v>
      </c>
      <c r="I58" s="8">
        <f t="shared" si="7"/>
        <v>-1.8372703412073532E-2</v>
      </c>
    </row>
  </sheetData>
  <mergeCells count="3">
    <mergeCell ref="E26:I26"/>
    <mergeCell ref="E45:I4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Светашев Евгений</dc:creator>
  <cp:keywords/>
  <dc:description/>
  <cp:lastModifiedBy>Microsoft Office User</cp:lastModifiedBy>
  <dcterms:created xsi:type="dcterms:W3CDTF">2015-06-05T18:19:34Z</dcterms:created>
  <dcterms:modified xsi:type="dcterms:W3CDTF">2021-09-12T15:11:07Z</dcterms:modified>
  <cp:category/>
</cp:coreProperties>
</file>