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/>
  <mc:AlternateContent xmlns:mc="http://schemas.openxmlformats.org/markup-compatibility/2006">
    <mc:Choice Requires="x15">
      <x15ac:absPath xmlns:x15ac="http://schemas.microsoft.com/office/spreadsheetml/2010/11/ac" url="/Users/evgenijsvetasev/Desktop/"/>
    </mc:Choice>
  </mc:AlternateContent>
  <xr:revisionPtr revIDLastSave="0" documentId="13_ncr:1_{5966F30C-5A0D-F94A-B9B6-24BB7A8F1D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Автоматизированный расчет" sheetId="3" r:id="rId1"/>
    <sheet name="Шаблоны соотвествие профилю" sheetId="2" r:id="rId2"/>
  </sheets>
  <calcPr calcId="191029"/>
  <pivotCaches>
    <pivotCache cacheId="59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3" l="1"/>
  <c r="Q5" i="3"/>
  <c r="Q3" i="3"/>
  <c r="Q2" i="3"/>
  <c r="Q4" i="3"/>
  <c r="P11" i="3"/>
  <c r="P12" i="3"/>
  <c r="P13" i="3"/>
  <c r="P14" i="3"/>
  <c r="W2" i="3"/>
  <c r="P3" i="3"/>
  <c r="P4" i="3"/>
  <c r="P5" i="3"/>
  <c r="P6" i="3"/>
  <c r="P7" i="3"/>
  <c r="S7" i="3"/>
  <c r="D20" i="3"/>
  <c r="E20" i="3"/>
  <c r="F20" i="3" s="1"/>
  <c r="E19" i="3"/>
  <c r="F19" i="3" s="1"/>
  <c r="D18" i="3"/>
  <c r="E18" i="3"/>
  <c r="F18" i="3" s="1"/>
  <c r="D19" i="3"/>
  <c r="D21" i="3"/>
  <c r="E21" i="3"/>
  <c r="F21" i="3" s="1"/>
  <c r="H19" i="3" l="1"/>
  <c r="H20" i="3"/>
  <c r="H21" i="3"/>
  <c r="H18" i="3"/>
  <c r="B45" i="3"/>
  <c r="F2" i="3"/>
  <c r="D8" i="3"/>
  <c r="D27" i="3"/>
  <c r="E27" i="3"/>
  <c r="F27" i="3" s="1"/>
  <c r="D22" i="3"/>
  <c r="D13" i="3"/>
  <c r="C42" i="3"/>
  <c r="C34" i="3"/>
  <c r="C43" i="3"/>
  <c r="C44" i="3"/>
  <c r="H2" i="3" l="1"/>
  <c r="D42" i="3"/>
  <c r="D34" i="3"/>
  <c r="D43" i="3"/>
  <c r="D44" i="3"/>
  <c r="H27" i="3"/>
  <c r="D14" i="3"/>
  <c r="D16" i="3"/>
  <c r="D15" i="3"/>
  <c r="D17" i="3"/>
  <c r="D28" i="3"/>
  <c r="D29" i="3"/>
  <c r="F41" i="3" l="1"/>
  <c r="V3" i="3"/>
  <c r="E8" i="3"/>
  <c r="F8" i="3" s="1"/>
  <c r="H8" i="3" s="1"/>
  <c r="P2" i="3" l="1"/>
  <c r="E22" i="3"/>
  <c r="F22" i="3" s="1"/>
  <c r="H22" i="3" s="1"/>
  <c r="D23" i="3"/>
  <c r="D26" i="3"/>
  <c r="D3" i="3"/>
  <c r="V2" i="3"/>
  <c r="S2" i="3"/>
  <c r="U2" i="3" s="1"/>
  <c r="S6" i="3"/>
  <c r="S3" i="3"/>
  <c r="U3" i="3" s="1"/>
  <c r="D10" i="3" s="1"/>
  <c r="C37" i="3"/>
  <c r="C35" i="3"/>
  <c r="E3" i="3" l="1"/>
  <c r="F3" i="3" s="1"/>
  <c r="P10" i="3"/>
  <c r="S5" i="3"/>
  <c r="U5" i="3" s="1"/>
  <c r="D24" i="3" s="1"/>
  <c r="E13" i="3"/>
  <c r="F13" i="3" s="1"/>
  <c r="H13" i="3" s="1"/>
  <c r="S4" i="3"/>
  <c r="U4" i="3" s="1"/>
  <c r="F34" i="3"/>
  <c r="H34" i="3" s="1"/>
  <c r="D35" i="3"/>
  <c r="U6" i="3"/>
  <c r="D5" i="3"/>
  <c r="F36" i="3"/>
  <c r="H36" i="3" s="1"/>
  <c r="E17" i="3"/>
  <c r="F17" i="3" s="1"/>
  <c r="D4" i="3"/>
  <c r="D12" i="3"/>
  <c r="D7" i="3"/>
  <c r="D9" i="3"/>
  <c r="D25" i="3"/>
  <c r="D11" i="3"/>
  <c r="D6" i="3"/>
  <c r="E12" i="3"/>
  <c r="F12" i="3" s="1"/>
  <c r="E7" i="3"/>
  <c r="F7" i="3" s="1"/>
  <c r="E29" i="3"/>
  <c r="F29" i="3" s="1"/>
  <c r="E25" i="3"/>
  <c r="F25" i="3" s="1"/>
  <c r="E16" i="3"/>
  <c r="F16" i="3" s="1"/>
  <c r="E11" i="3"/>
  <c r="F11" i="3" s="1"/>
  <c r="E6" i="3"/>
  <c r="F6" i="3" s="1"/>
  <c r="E28" i="3"/>
  <c r="E24" i="3"/>
  <c r="F24" i="3" s="1"/>
  <c r="E15" i="3"/>
  <c r="E10" i="3"/>
  <c r="E5" i="3"/>
  <c r="F5" i="3" s="1"/>
  <c r="H3" i="3"/>
  <c r="E26" i="3"/>
  <c r="E23" i="3"/>
  <c r="E14" i="3"/>
  <c r="F14" i="3" s="1"/>
  <c r="E9" i="3"/>
  <c r="F9" i="3" s="1"/>
  <c r="E4" i="3"/>
  <c r="F4" i="3" s="1"/>
  <c r="D37" i="3"/>
  <c r="V4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C36" i="3"/>
  <c r="C40" i="3"/>
  <c r="C41" i="3"/>
  <c r="C38" i="3"/>
  <c r="C39" i="3"/>
  <c r="F28" i="3" l="1"/>
  <c r="H28" i="3" s="1"/>
  <c r="F23" i="3"/>
  <c r="H23" i="3" s="1"/>
  <c r="F10" i="3"/>
  <c r="H10" i="3" s="1"/>
  <c r="F26" i="3"/>
  <c r="H26" i="3" s="1"/>
  <c r="F15" i="3"/>
  <c r="H15" i="3" s="1"/>
  <c r="C45" i="3"/>
  <c r="D40" i="3"/>
  <c r="F39" i="3"/>
  <c r="H39" i="3" s="1"/>
  <c r="F40" i="3"/>
  <c r="H40" i="3" s="1"/>
  <c r="D41" i="3"/>
  <c r="F35" i="3"/>
  <c r="H35" i="3" s="1"/>
  <c r="D36" i="3"/>
  <c r="F37" i="3"/>
  <c r="H37" i="3" s="1"/>
  <c r="D38" i="3"/>
  <c r="D39" i="3"/>
  <c r="F38" i="3"/>
  <c r="H38" i="3" s="1"/>
  <c r="U7" i="3"/>
  <c r="H24" i="3"/>
  <c r="H4" i="3"/>
  <c r="H5" i="3"/>
  <c r="H12" i="3"/>
  <c r="H17" i="3"/>
  <c r="H7" i="3"/>
  <c r="H29" i="3"/>
  <c r="H16" i="3"/>
  <c r="H11" i="3"/>
  <c r="H9" i="3"/>
  <c r="H6" i="3"/>
  <c r="H14" i="3"/>
  <c r="H25" i="3"/>
  <c r="V7" i="3"/>
  <c r="I40" i="2"/>
  <c r="I44" i="2"/>
  <c r="I41" i="2"/>
  <c r="I32" i="2"/>
  <c r="I31" i="2"/>
  <c r="I30" i="2"/>
  <c r="I29" i="2"/>
  <c r="I28" i="2"/>
  <c r="I27" i="2"/>
  <c r="I26" i="2"/>
  <c r="D4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P2" authorId="0" shapeId="0" xr:uid="{ABE6E0CA-ACBF-3940-A28D-C2E57720F065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F03F0F3B-3E91-2F4C-A6FB-A7E21CF8B2D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Q). Изначально считается как Duration + think time * 2 (коэф запаса времени), далее подгоняется вручную</t>
        </r>
      </text>
    </comment>
    <comment ref="R2" authorId="0" shapeId="0" xr:uid="{FC5D8282-C700-8A4D-881C-D204CFFB35E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N7" authorId="0" shapeId="0" xr:uid="{9A17B3D2-C710-2C49-999F-5AB22B015476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7" authorId="0" shapeId="0" xr:uid="{0D488850-16BC-6044-8780-09FA4EFE9BA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N14" authorId="0" shapeId="0" xr:uid="{034AE419-F11B-E04A-A049-07DA557E78C5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</commentList>
</comments>
</file>

<file path=xl/sharedStrings.xml><?xml version="1.0" encoding="utf-8"?>
<sst xmlns="http://schemas.openxmlformats.org/spreadsheetml/2006/main" count="191" uniqueCount="73">
  <si>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</si>
  <si>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</si>
  <si>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</si>
  <si>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</si>
  <si>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</si>
  <si>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</si>
  <si>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</si>
  <si>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</si>
  <si>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</si>
  <si>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</si>
  <si>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</si>
  <si>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</si>
  <si>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</si>
  <si>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</si>
  <si>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</si>
  <si>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</si>
  <si>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</si>
  <si>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</si>
  <si>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</si>
  <si>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</si>
  <si>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</si>
  <si>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</si>
  <si>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</si>
  <si>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</si>
  <si>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</si>
  <si>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</si>
  <si>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</si>
  <si>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</si>
  <si>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</si>
  <si>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</si>
  <si>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</si>
  <si>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</si>
  <si>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</si>
  <si>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</si>
  <si>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</si>
  <si>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</si>
  <si>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</si>
  <si>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</si>
  <si>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</si>
  <si>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</si>
  <si>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</si>
  <si>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</si>
  <si>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</si>
  <si>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</si>
  <si>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</si>
  <si>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</si>
  <si>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</si>
  <si>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</si>
  <si>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</si>
  <si>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</si>
  <si>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</si>
  <si>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</si>
  <si>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</si>
  <si>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</si>
  <si>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</si>
  <si>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</si>
  <si>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</si>
  <si>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</si>
  <si>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</si>
  <si>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</si>
  <si>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</si>
  <si>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</si>
  <si>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</si>
  <si>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</si>
  <si>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</si>
  <si>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</si>
  <si>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</si>
  <si>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</si>
  <si>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</si>
  <si>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</si>
  <si>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</si>
  <si>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(пусто)</t>
  </si>
  <si>
    <t>Pacing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</si>
</sst>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7" applyNumberFormat="0" applyAlignment="0" applyProtection="0"/>
    <xf numFmtId="0" fontId="18" fillId="7" borderId="8" applyNumberFormat="0" applyAlignment="0" applyProtection="0"/>
    <xf numFmtId="0" fontId="19" fillId="7" borderId="7" applyNumberFormat="0" applyAlignment="0" applyProtection="0"/>
    <xf numFmtId="0" fontId="20" fillId="0" borderId="9" applyNumberFormat="0" applyFill="0" applyAlignment="0" applyProtection="0"/>
    <xf numFmtId="0" fontId="21" fillId="8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9" fontId="25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9" fillId="0" borderId="3" xfId="4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10" fontId="10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1" fillId="0" borderId="3" xfId="42" applyBorder="1"/>
    <xf numFmtId="0" fontId="10" fillId="0" borderId="3" xfId="0" applyFont="1" applyBorder="1" applyAlignment="1">
      <alignment horizontal="left" vertical="top"/>
    </xf>
    <xf numFmtId="10" fontId="10" fillId="0" borderId="3" xfId="0" applyNumberFormat="1" applyFont="1" applyBorder="1" applyAlignment="1">
      <alignment horizontal="left" vertical="top"/>
    </xf>
    <xf numFmtId="0" fontId="9" fillId="0" borderId="3" xfId="4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26" fillId="0" borderId="0" xfId="0" applyFont="1"/>
    <xf numFmtId="1" fontId="26" fillId="0" borderId="0" xfId="0" applyNumberFormat="1" applyFont="1"/>
    <xf numFmtId="9" fontId="26" fillId="0" borderId="0" xfId="0" applyNumberFormat="1" applyFont="1"/>
    <xf numFmtId="0" fontId="0" fillId="36" borderId="3" xfId="0" applyFill="1" applyBorder="1"/>
    <xf numFmtId="0" fontId="0" fillId="37" borderId="3" xfId="0" applyFill="1" applyBorder="1"/>
    <xf numFmtId="9" fontId="0" fillId="0" borderId="3" xfId="44" applyFont="1" applyBorder="1"/>
    <xf numFmtId="9" fontId="0" fillId="38" borderId="3" xfId="44" applyFont="1" applyFill="1" applyBorder="1"/>
    <xf numFmtId="1" fontId="0" fillId="0" borderId="15" xfId="0" applyNumberFormat="1" applyBorder="1"/>
    <xf numFmtId="1" fontId="3" fillId="0" borderId="1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1" fontId="0" fillId="0" borderId="16" xfId="0" applyNumberFormat="1" applyBorder="1"/>
    <xf numFmtId="9" fontId="0" fillId="0" borderId="17" xfId="44" applyFont="1" applyBorder="1"/>
    <xf numFmtId="0" fontId="5" fillId="0" borderId="3" xfId="0" applyFont="1" applyBorder="1" applyAlignment="1">
      <alignment vertical="center" wrapText="1"/>
    </xf>
    <xf numFmtId="0" fontId="5" fillId="39" borderId="3" xfId="0" applyFont="1" applyFill="1" applyBorder="1" applyAlignment="1">
      <alignment vertical="center" wrapText="1"/>
    </xf>
    <xf numFmtId="0" fontId="3" fillId="39" borderId="3" xfId="0" applyFont="1" applyFill="1" applyBorder="1" applyAlignment="1">
      <alignment horizontal="left" vertical="center" wrapText="1"/>
    </xf>
    <xf numFmtId="0" fontId="3" fillId="39" borderId="3" xfId="0" applyFont="1" applyFill="1" applyBorder="1" applyAlignment="1">
      <alignment horizontal="center" vertical="center" wrapText="1"/>
    </xf>
    <xf numFmtId="0" fontId="4" fillId="39" borderId="3" xfId="0" applyFont="1" applyFill="1" applyBorder="1" applyAlignment="1">
      <alignment horizontal="left" vertical="center" wrapText="1"/>
    </xf>
    <xf numFmtId="0" fontId="0" fillId="40" borderId="3" xfId="0" applyFill="1" applyBorder="1"/>
    <xf numFmtId="0" fontId="0" fillId="0" borderId="3" xfId="0" applyFill="1" applyBorder="1"/>
    <xf numFmtId="0" fontId="0" fillId="36" borderId="18" xfId="0" applyFill="1" applyBorder="1"/>
    <xf numFmtId="0" fontId="0" fillId="35" borderId="18" xfId="0" applyFill="1" applyBorder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48.828296874999" createdVersion="6" refreshedVersion="7" minRefreshableVersion="3" recordCount="29" xr:uid="{849ED774-79A0-8640-B03A-801DA7FF34DA}">
  <cacheSource type="worksheet">
    <worksheetSource ref="A1:H30" sheet="Автоматизированный расчет"/>
  </cacheSource>
  <cacheFields count="8">
    <cacheField name="Script name" numFmtId="0">
      <sharedItems containsBlank="1"/>
    </cacheField>
    <cacheField name="transaction rq" numFmtId="0">
      <sharedItems containsBlank="1" count="12">
        <s v="Главная Welcome страница"/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/>
      </sharedItems>
    </cacheField>
    <cacheField name="count" numFmtId="0">
      <sharedItems containsString="0" containsBlank="1" containsNumber="1" containsInteger="1" minValue="0" maxValue="1"/>
    </cacheField>
    <cacheField name="VU" numFmtId="0">
      <sharedItems containsString="0" containsBlank="1" containsNumber="1" containsInteger="1" minValue="1" maxValue="4"/>
    </cacheField>
    <cacheField name="pacing" numFmtId="0">
      <sharedItems containsString="0" containsBlank="1" containsNumber="1" containsInteger="1" minValue="37" maxValue="97"/>
    </cacheField>
    <cacheField name="одним пользователем в минуту" numFmtId="2">
      <sharedItems containsString="0" containsBlank="1" containsNumber="1" minValue="0" maxValue="1.6216216216216217"/>
    </cacheField>
    <cacheField name="Длительность ступени" numFmtId="0">
      <sharedItems containsString="0" containsBlank="1" containsNumber="1" containsInteger="1" minValue="59" maxValue="63"/>
    </cacheField>
    <cacheField name="Итого" numFmtId="1">
      <sharedItems containsString="0" containsBlank="1" containsNumber="1" minValue="0" maxValue="175.60975609756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Покупка билета"/>
    <x v="0"/>
    <n v="1"/>
    <n v="4"/>
    <n v="82"/>
    <n v="0.73170731707317072"/>
    <n v="59"/>
    <n v="172.6829268292683"/>
  </r>
  <r>
    <s v="Покупка билета"/>
    <x v="1"/>
    <n v="1"/>
    <n v="4"/>
    <n v="82"/>
    <n v="0.73170731707317072"/>
    <n v="60"/>
    <n v="175.60975609756096"/>
  </r>
  <r>
    <s v="Покупка билета"/>
    <x v="2"/>
    <n v="1"/>
    <n v="4"/>
    <n v="82"/>
    <n v="0.73170731707317072"/>
    <n v="60"/>
    <n v="175.60975609756096"/>
  </r>
  <r>
    <s v="Покупка билета"/>
    <x v="3"/>
    <n v="1"/>
    <n v="4"/>
    <n v="82"/>
    <n v="0.73170731707317072"/>
    <n v="60"/>
    <n v="175.60975609756096"/>
  </r>
  <r>
    <s v="Покупка билета"/>
    <x v="4"/>
    <n v="1"/>
    <n v="4"/>
    <n v="82"/>
    <n v="0.73170731707317072"/>
    <n v="60"/>
    <n v="175.60975609756096"/>
  </r>
  <r>
    <s v="Покупка билета"/>
    <x v="5"/>
    <n v="1"/>
    <n v="4"/>
    <n v="82"/>
    <n v="0.73170731707317072"/>
    <n v="60"/>
    <n v="175.60975609756096"/>
  </r>
  <r>
    <s v="Удаление бронирования "/>
    <x v="0"/>
    <n v="1"/>
    <n v="1"/>
    <n v="49"/>
    <n v="1.2244897959183674"/>
    <n v="61"/>
    <n v="74.693877551020407"/>
  </r>
  <r>
    <s v="Удаление бронирования "/>
    <x v="1"/>
    <n v="1"/>
    <n v="1"/>
    <n v="49"/>
    <n v="1.2244897959183674"/>
    <n v="60"/>
    <n v="73.469387755102048"/>
  </r>
  <r>
    <s v="Удаление бронирования "/>
    <x v="5"/>
    <n v="1"/>
    <n v="1"/>
    <n v="49"/>
    <n v="1.2244897959183674"/>
    <n v="60"/>
    <n v="73.469387755102048"/>
  </r>
  <r>
    <s v="Удаление бронирования "/>
    <x v="6"/>
    <n v="1"/>
    <n v="1"/>
    <n v="49"/>
    <n v="1.2244897959183674"/>
    <n v="60"/>
    <n v="73.469387755102048"/>
  </r>
  <r>
    <s v="Удаление бронирования "/>
    <x v="7"/>
    <n v="1"/>
    <n v="1"/>
    <n v="49"/>
    <n v="1.2244897959183674"/>
    <n v="60"/>
    <n v="73.469387755102048"/>
  </r>
  <r>
    <s v="Регистрация новых пользователей"/>
    <x v="0"/>
    <n v="1"/>
    <n v="1"/>
    <n v="37"/>
    <n v="1.6216216216216217"/>
    <n v="61"/>
    <n v="98.918918918918919"/>
  </r>
  <r>
    <s v="Регистрация новых пользователей"/>
    <x v="8"/>
    <n v="1"/>
    <n v="1"/>
    <n v="37"/>
    <n v="1.6216216216216217"/>
    <n v="60"/>
    <n v="97.297297297297305"/>
  </r>
  <r>
    <s v="Регистрация новых пользователей"/>
    <x v="9"/>
    <n v="1"/>
    <n v="1"/>
    <n v="37"/>
    <n v="1.6216216216216217"/>
    <n v="60"/>
    <n v="97.297297297297305"/>
  </r>
  <r>
    <s v="Регистрация новых пользователей"/>
    <x v="10"/>
    <n v="1"/>
    <n v="1"/>
    <n v="37"/>
    <n v="1.6216216216216217"/>
    <n v="60"/>
    <n v="97.297297297297305"/>
  </r>
  <r>
    <s v="Регистрация новых пользователей"/>
    <x v="7"/>
    <n v="1"/>
    <n v="1"/>
    <n v="37"/>
    <n v="1.6216216216216217"/>
    <n v="60"/>
    <n v="97.297297297297305"/>
  </r>
  <r>
    <s v="Логин"/>
    <x v="0"/>
    <n v="1"/>
    <n v="1"/>
    <n v="97"/>
    <n v="0.61855670103092786"/>
    <n v="61"/>
    <n v="37.731958762886599"/>
  </r>
  <r>
    <s v="Логин"/>
    <x v="1"/>
    <n v="1"/>
    <n v="1"/>
    <n v="97"/>
    <n v="0.61855670103092786"/>
    <n v="62"/>
    <n v="38.350515463917525"/>
  </r>
  <r>
    <s v="Логин"/>
    <x v="2"/>
    <n v="0"/>
    <n v="1"/>
    <n v="97"/>
    <n v="0"/>
    <n v="63"/>
    <n v="0"/>
  </r>
  <r>
    <s v="Логин"/>
    <x v="7"/>
    <n v="1"/>
    <n v="1"/>
    <n v="97"/>
    <n v="0.61855670103092786"/>
    <n v="63"/>
    <n v="38.969072164948457"/>
  </r>
  <r>
    <s v="Поиск билета без покупки"/>
    <x v="0"/>
    <n v="1"/>
    <n v="2"/>
    <n v="67"/>
    <n v="0.89552238805970152"/>
    <n v="61"/>
    <n v="109.25373134328359"/>
  </r>
  <r>
    <s v="Поиск билета без покупки"/>
    <x v="1"/>
    <n v="1"/>
    <n v="2"/>
    <n v="67"/>
    <n v="0.89552238805970152"/>
    <n v="60"/>
    <n v="107.46268656716418"/>
  </r>
  <r>
    <s v="Поиск билета без покупки"/>
    <x v="2"/>
    <n v="1"/>
    <n v="2"/>
    <n v="67"/>
    <n v="0.89552238805970152"/>
    <n v="60"/>
    <n v="107.46268656716418"/>
  </r>
  <r>
    <s v="Поиск билета без покупки"/>
    <x v="3"/>
    <n v="1"/>
    <n v="2"/>
    <n v="67"/>
    <n v="0.89552238805970152"/>
    <n v="60"/>
    <n v="107.46268656716418"/>
  </r>
  <r>
    <s v="Поиск билета без покупки"/>
    <x v="7"/>
    <n v="1"/>
    <n v="2"/>
    <n v="67"/>
    <n v="0.89552238805970152"/>
    <n v="60"/>
    <n v="107.46268656716418"/>
  </r>
  <r>
    <s v="Ознакомление с путевым листом"/>
    <x v="0"/>
    <n v="1"/>
    <n v="1"/>
    <n v="82"/>
    <n v="0.73170731707317072"/>
    <n v="61"/>
    <n v="44.634146341463413"/>
  </r>
  <r>
    <s v="Ознакомление с путевым листом"/>
    <x v="1"/>
    <n v="1"/>
    <n v="1"/>
    <n v="82"/>
    <n v="0.73170731707317072"/>
    <n v="60"/>
    <n v="43.90243902439024"/>
  </r>
  <r>
    <s v="Ознакомление с путевым листом"/>
    <x v="5"/>
    <n v="1"/>
    <n v="1"/>
    <n v="82"/>
    <n v="0.73170731707317072"/>
    <n v="60"/>
    <n v="43.90243902439024"/>
  </r>
  <r>
    <m/>
    <x v="1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8241-71E6-3F4A-ACE2-C3E8BA417ED7}" name="Сводная таблица2" cacheId="59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3"/>
        <item x="7"/>
        <item x="2"/>
        <item x="4"/>
        <item x="6"/>
        <item x="5"/>
        <item x="0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X50"/>
  <sheetViews>
    <sheetView tabSelected="1" topLeftCell="I1" zoomScale="110" zoomScaleNormal="110" workbookViewId="0">
      <selection activeCell="L7" sqref="L7"/>
    </sheetView>
  </sheetViews>
  <sheetFormatPr baseColWidth="10" defaultRowHeight="15" x14ac:dyDescent="0.2"/>
  <cols>
    <col min="1" max="1" width="22.6640625" customWidth="1"/>
    <col min="2" max="2" width="31.5" bestFit="1" customWidth="1"/>
    <col min="3" max="3" width="18.1640625" customWidth="1"/>
    <col min="4" max="4" width="17.83203125" customWidth="1"/>
    <col min="7" max="7" width="18.6640625" bestFit="1" customWidth="1"/>
    <col min="8" max="8" width="17" customWidth="1"/>
    <col min="9" max="9" width="40.6640625" bestFit="1" customWidth="1"/>
    <col min="10" max="10" width="18.6640625" bestFit="1" customWidth="1"/>
    <col min="11" max="11" width="18.6640625" customWidth="1"/>
    <col min="12" max="12" width="27.5" bestFit="1" customWidth="1"/>
    <col min="13" max="13" width="35.83203125" bestFit="1" customWidth="1"/>
    <col min="19" max="19" width="44" bestFit="1" customWidth="1"/>
  </cols>
  <sheetData>
    <row r="1" spans="1:24" ht="16" thickBot="1" x14ac:dyDescent="0.25">
      <c r="A1" t="s">
        <v>37</v>
      </c>
      <c r="B1" t="s">
        <v>38</v>
      </c>
      <c r="C1" t="s">
        <v>39</v>
      </c>
      <c r="D1" t="s">
        <v>44</v>
      </c>
      <c r="E1" t="s">
        <v>54</v>
      </c>
      <c r="F1" t="s">
        <v>55</v>
      </c>
      <c r="G1" t="s">
        <v>56</v>
      </c>
      <c r="H1" t="s">
        <v>7</v>
      </c>
      <c r="I1" s="17" t="s">
        <v>40</v>
      </c>
      <c r="J1" t="s">
        <v>53</v>
      </c>
      <c r="M1" t="s">
        <v>43</v>
      </c>
      <c r="N1" t="s">
        <v>45</v>
      </c>
      <c r="O1" t="s">
        <v>46</v>
      </c>
      <c r="P1" t="s">
        <v>57</v>
      </c>
      <c r="Q1" t="s">
        <v>47</v>
      </c>
      <c r="R1" t="s">
        <v>44</v>
      </c>
      <c r="S1" t="s">
        <v>48</v>
      </c>
      <c r="T1" s="26" t="s">
        <v>49</v>
      </c>
      <c r="U1" s="26" t="s">
        <v>50</v>
      </c>
      <c r="V1" s="26" t="s">
        <v>51</v>
      </c>
      <c r="X1" t="s">
        <v>52</v>
      </c>
    </row>
    <row r="2" spans="1:24" x14ac:dyDescent="0.2">
      <c r="A2" s="43" t="s">
        <v>8</v>
      </c>
      <c r="B2" s="43" t="s">
        <v>65</v>
      </c>
      <c r="C2">
        <v>1</v>
      </c>
      <c r="D2" s="23">
        <v>4</v>
      </c>
      <c r="E2">
        <v>82</v>
      </c>
      <c r="F2" s="22">
        <f>60/E2*C2</f>
        <v>0.73170731707317072</v>
      </c>
      <c r="G2">
        <v>59</v>
      </c>
      <c r="H2" s="21">
        <f>D2*F2*G2</f>
        <v>172.6829268292683</v>
      </c>
      <c r="I2" s="18" t="s">
        <v>0</v>
      </c>
      <c r="J2" s="16">
        <v>438.79478490813494</v>
      </c>
      <c r="K2" s="16"/>
      <c r="M2" t="s">
        <v>8</v>
      </c>
      <c r="N2" s="30">
        <v>2.7090000000000001</v>
      </c>
      <c r="O2" s="30">
        <v>30</v>
      </c>
      <c r="P2" s="44">
        <f>N2+O2</f>
        <v>32.709000000000003</v>
      </c>
      <c r="Q2" s="19">
        <f>82</f>
        <v>82</v>
      </c>
      <c r="R2" s="19">
        <v>4</v>
      </c>
      <c r="S2" s="20">
        <f>60/(Q2)</f>
        <v>0.73170731707317072</v>
      </c>
      <c r="T2" s="26">
        <v>20</v>
      </c>
      <c r="U2" s="27">
        <f>ROUND(R2*S2*T2,0)</f>
        <v>59</v>
      </c>
      <c r="V2" s="28">
        <f>R2/W$2</f>
        <v>0.4</v>
      </c>
      <c r="W2">
        <f>SUM(R2:R7)</f>
        <v>10</v>
      </c>
    </row>
    <row r="3" spans="1:24" x14ac:dyDescent="0.2">
      <c r="A3" s="43" t="s">
        <v>8</v>
      </c>
      <c r="B3" s="43" t="s">
        <v>0</v>
      </c>
      <c r="C3">
        <v>1</v>
      </c>
      <c r="D3" s="24">
        <f t="shared" ref="D3:D11" si="0">VLOOKUP(A3,$M$1:$W$8,6,FALSE)</f>
        <v>4</v>
      </c>
      <c r="E3">
        <f>VLOOKUP(A3,$M$1:$W$8,5,FALSE)</f>
        <v>82</v>
      </c>
      <c r="F3" s="22">
        <f>60/E3*C3</f>
        <v>0.73170731707317072</v>
      </c>
      <c r="G3">
        <v>60</v>
      </c>
      <c r="H3" s="21">
        <f>D3*F3*G3</f>
        <v>175.60975609756096</v>
      </c>
      <c r="I3" s="18" t="s">
        <v>12</v>
      </c>
      <c r="J3" s="16">
        <v>283.07244266472514</v>
      </c>
      <c r="K3" s="16"/>
      <c r="M3" t="s">
        <v>9</v>
      </c>
      <c r="N3" s="30">
        <v>2.4620000000000002</v>
      </c>
      <c r="O3" s="30">
        <v>20</v>
      </c>
      <c r="P3" s="44">
        <f t="shared" ref="P3:P7" si="1">N3+O3</f>
        <v>22.462</v>
      </c>
      <c r="Q3" s="19">
        <f>49</f>
        <v>49</v>
      </c>
      <c r="R3" s="19">
        <v>1</v>
      </c>
      <c r="S3" s="20">
        <f t="shared" ref="S3:S5" si="2">60/(Q3)</f>
        <v>1.2244897959183674</v>
      </c>
      <c r="T3" s="26">
        <v>20</v>
      </c>
      <c r="U3" s="27">
        <f t="shared" ref="U3:U5" si="3">ROUND(R3*S3*T3,0)</f>
        <v>24</v>
      </c>
      <c r="V3" s="28">
        <f>R3/W$2</f>
        <v>0.1</v>
      </c>
    </row>
    <row r="4" spans="1:24" x14ac:dyDescent="0.2">
      <c r="A4" s="43" t="s">
        <v>8</v>
      </c>
      <c r="B4" s="43" t="s">
        <v>11</v>
      </c>
      <c r="C4">
        <v>1</v>
      </c>
      <c r="D4" s="24">
        <f t="shared" si="0"/>
        <v>4</v>
      </c>
      <c r="E4">
        <f t="shared" ref="E4:E11" si="4">VLOOKUP(A4,$M$1:$W$8,5,FALSE)</f>
        <v>82</v>
      </c>
      <c r="F4" s="22">
        <f t="shared" ref="F4:F30" si="5">60/E4*C4</f>
        <v>0.73170731707317072</v>
      </c>
      <c r="G4">
        <v>60</v>
      </c>
      <c r="H4" s="21">
        <f t="shared" ref="H4:H30" si="6">D4*F4*G4</f>
        <v>175.60975609756096</v>
      </c>
      <c r="I4" s="18" t="s">
        <v>6</v>
      </c>
      <c r="J4" s="16">
        <v>317.19844378451194</v>
      </c>
      <c r="K4" s="16"/>
      <c r="M4" t="s">
        <v>64</v>
      </c>
      <c r="N4" s="30">
        <v>1.45</v>
      </c>
      <c r="O4" s="30">
        <v>10</v>
      </c>
      <c r="P4" s="44">
        <f t="shared" si="1"/>
        <v>11.45</v>
      </c>
      <c r="Q4" s="19">
        <f>37</f>
        <v>37</v>
      </c>
      <c r="R4" s="19">
        <v>1</v>
      </c>
      <c r="S4" s="20">
        <f t="shared" si="2"/>
        <v>1.6216216216216217</v>
      </c>
      <c r="T4" s="26">
        <v>20</v>
      </c>
      <c r="U4" s="27">
        <f t="shared" si="3"/>
        <v>32</v>
      </c>
      <c r="V4" s="28">
        <f t="shared" ref="V4:V5" si="7">R4/W$2</f>
        <v>0.1</v>
      </c>
    </row>
    <row r="5" spans="1:24" x14ac:dyDescent="0.2">
      <c r="A5" s="43" t="s">
        <v>8</v>
      </c>
      <c r="B5" s="43" t="s">
        <v>12</v>
      </c>
      <c r="C5">
        <v>1</v>
      </c>
      <c r="D5" s="24">
        <f t="shared" si="0"/>
        <v>4</v>
      </c>
      <c r="E5">
        <f t="shared" si="4"/>
        <v>82</v>
      </c>
      <c r="F5" s="22">
        <f t="shared" si="5"/>
        <v>0.73170731707317072</v>
      </c>
      <c r="G5">
        <v>60</v>
      </c>
      <c r="H5" s="21">
        <f t="shared" si="6"/>
        <v>175.60975609756096</v>
      </c>
      <c r="I5" s="18" t="s">
        <v>11</v>
      </c>
      <c r="J5" s="16">
        <v>283.07244266472514</v>
      </c>
      <c r="K5" s="16"/>
      <c r="M5" t="s">
        <v>69</v>
      </c>
      <c r="N5" s="30">
        <v>1.72</v>
      </c>
      <c r="O5" s="30">
        <v>20</v>
      </c>
      <c r="P5" s="44">
        <f t="shared" si="1"/>
        <v>21.72</v>
      </c>
      <c r="Q5" s="19">
        <f>67</f>
        <v>67</v>
      </c>
      <c r="R5" s="19">
        <v>2</v>
      </c>
      <c r="S5" s="20">
        <f t="shared" si="2"/>
        <v>0.89552238805970152</v>
      </c>
      <c r="T5" s="26">
        <v>20</v>
      </c>
      <c r="U5" s="27">
        <f t="shared" si="3"/>
        <v>36</v>
      </c>
      <c r="V5" s="28">
        <f t="shared" si="7"/>
        <v>0.2</v>
      </c>
    </row>
    <row r="6" spans="1:24" x14ac:dyDescent="0.2">
      <c r="A6" s="43" t="s">
        <v>8</v>
      </c>
      <c r="B6" s="43" t="s">
        <v>3</v>
      </c>
      <c r="C6">
        <v>1</v>
      </c>
      <c r="D6" s="24">
        <f t="shared" si="0"/>
        <v>4</v>
      </c>
      <c r="E6">
        <f t="shared" si="4"/>
        <v>82</v>
      </c>
      <c r="F6" s="22">
        <f t="shared" si="5"/>
        <v>0.73170731707317072</v>
      </c>
      <c r="G6">
        <v>60</v>
      </c>
      <c r="H6" s="21">
        <f t="shared" si="6"/>
        <v>175.60975609756096</v>
      </c>
      <c r="I6" s="18" t="s">
        <v>3</v>
      </c>
      <c r="J6" s="16">
        <v>175.60975609756096</v>
      </c>
      <c r="K6" s="16"/>
      <c r="M6" t="s">
        <v>10</v>
      </c>
      <c r="N6" s="30">
        <v>2.1223000000000001</v>
      </c>
      <c r="O6" s="30">
        <v>15.0032</v>
      </c>
      <c r="P6" s="44">
        <f t="shared" si="1"/>
        <v>17.125499999999999</v>
      </c>
      <c r="Q6" s="19">
        <f>85</f>
        <v>85</v>
      </c>
      <c r="R6" s="19">
        <v>1</v>
      </c>
      <c r="S6" s="20">
        <f>60/(Q6)</f>
        <v>0.70588235294117652</v>
      </c>
      <c r="T6" s="26">
        <v>20</v>
      </c>
      <c r="U6" s="27">
        <f>ROUND(R6*S6*T6,0)</f>
        <v>14</v>
      </c>
      <c r="V6" s="28">
        <f>R6/W$2</f>
        <v>0.1</v>
      </c>
    </row>
    <row r="7" spans="1:24" ht="16" thickBot="1" x14ac:dyDescent="0.25">
      <c r="A7" s="43" t="s">
        <v>8</v>
      </c>
      <c r="B7" s="43" t="s">
        <v>4</v>
      </c>
      <c r="C7">
        <v>1</v>
      </c>
      <c r="D7" s="25">
        <f t="shared" si="0"/>
        <v>4</v>
      </c>
      <c r="E7">
        <f t="shared" si="4"/>
        <v>82</v>
      </c>
      <c r="F7" s="22">
        <f t="shared" si="5"/>
        <v>0.73170731707317072</v>
      </c>
      <c r="G7">
        <v>60</v>
      </c>
      <c r="H7" s="21">
        <f t="shared" si="6"/>
        <v>175.60975609756096</v>
      </c>
      <c r="I7" s="18" t="s">
        <v>13</v>
      </c>
      <c r="J7" s="16">
        <v>73.469387755102048</v>
      </c>
      <c r="K7" s="16"/>
      <c r="M7" t="s">
        <v>70</v>
      </c>
      <c r="N7" s="30">
        <v>2.0369999999999999</v>
      </c>
      <c r="O7" s="30">
        <v>10</v>
      </c>
      <c r="P7" s="44">
        <f t="shared" si="1"/>
        <v>12.036999999999999</v>
      </c>
      <c r="Q7" s="19">
        <v>97</v>
      </c>
      <c r="R7" s="46">
        <v>1</v>
      </c>
      <c r="S7" s="20">
        <f>60/(Q7)</f>
        <v>0.61855670103092786</v>
      </c>
      <c r="T7" s="26"/>
      <c r="U7" s="27">
        <f>SUM(U2:U6)</f>
        <v>165</v>
      </c>
      <c r="V7" s="28">
        <f>SUM(V2:V6)</f>
        <v>0.9</v>
      </c>
    </row>
    <row r="8" spans="1:24" x14ac:dyDescent="0.2">
      <c r="A8" s="43" t="s">
        <v>9</v>
      </c>
      <c r="B8" s="43" t="s">
        <v>65</v>
      </c>
      <c r="C8">
        <v>1</v>
      </c>
      <c r="D8" s="23">
        <f t="shared" ref="D8" si="8">VLOOKUP(A8,$M$1:$W$8,6,FALSE)</f>
        <v>1</v>
      </c>
      <c r="E8">
        <f t="shared" ref="E8" si="9">VLOOKUP(A8,$M$1:$W$8,5,FALSE)</f>
        <v>49</v>
      </c>
      <c r="F8" s="22">
        <f t="shared" si="5"/>
        <v>1.2244897959183674</v>
      </c>
      <c r="G8">
        <v>61</v>
      </c>
      <c r="H8" s="21">
        <f t="shared" ref="H8" si="10">D8*F8*G8</f>
        <v>74.693877551020407</v>
      </c>
      <c r="I8" s="18" t="s">
        <v>4</v>
      </c>
      <c r="J8" s="16">
        <v>292.98158287705326</v>
      </c>
      <c r="K8" s="16"/>
    </row>
    <row r="9" spans="1:24" x14ac:dyDescent="0.2">
      <c r="A9" s="43" t="s">
        <v>9</v>
      </c>
      <c r="B9" s="43" t="s">
        <v>0</v>
      </c>
      <c r="C9">
        <v>1</v>
      </c>
      <c r="D9" s="24">
        <f t="shared" si="0"/>
        <v>1</v>
      </c>
      <c r="E9">
        <f t="shared" si="4"/>
        <v>49</v>
      </c>
      <c r="F9" s="22">
        <f t="shared" si="5"/>
        <v>1.2244897959183674</v>
      </c>
      <c r="G9">
        <v>60</v>
      </c>
      <c r="H9" s="21">
        <f t="shared" si="6"/>
        <v>73.469387755102048</v>
      </c>
      <c r="I9" s="18" t="s">
        <v>65</v>
      </c>
      <c r="J9" s="16">
        <v>537.91555974684127</v>
      </c>
      <c r="K9" s="16"/>
      <c r="P9" s="49" t="s">
        <v>72</v>
      </c>
    </row>
    <row r="10" spans="1:24" x14ac:dyDescent="0.2">
      <c r="A10" s="43" t="s">
        <v>9</v>
      </c>
      <c r="B10" s="43" t="s">
        <v>4</v>
      </c>
      <c r="C10">
        <v>1</v>
      </c>
      <c r="D10" s="24">
        <f t="shared" si="0"/>
        <v>1</v>
      </c>
      <c r="E10">
        <f t="shared" si="4"/>
        <v>49</v>
      </c>
      <c r="F10" s="22">
        <f t="shared" si="5"/>
        <v>1.2244897959183674</v>
      </c>
      <c r="G10">
        <v>60</v>
      </c>
      <c r="H10" s="21">
        <f t="shared" si="6"/>
        <v>73.469387755102048</v>
      </c>
      <c r="I10" s="18" t="s">
        <v>67</v>
      </c>
      <c r="J10" s="16">
        <v>97.297297297297305</v>
      </c>
      <c r="N10" s="30">
        <v>2.7090000000000001</v>
      </c>
      <c r="P10" s="30">
        <f>P2*2</f>
        <v>65.418000000000006</v>
      </c>
    </row>
    <row r="11" spans="1:24" x14ac:dyDescent="0.2">
      <c r="A11" s="43" t="s">
        <v>9</v>
      </c>
      <c r="B11" s="43" t="s">
        <v>13</v>
      </c>
      <c r="C11">
        <v>1</v>
      </c>
      <c r="D11" s="24">
        <f t="shared" si="0"/>
        <v>1</v>
      </c>
      <c r="E11">
        <f t="shared" si="4"/>
        <v>49</v>
      </c>
      <c r="F11" s="22">
        <f t="shared" si="5"/>
        <v>1.2244897959183674</v>
      </c>
      <c r="G11">
        <v>60</v>
      </c>
      <c r="H11" s="21">
        <f t="shared" si="6"/>
        <v>73.469387755102048</v>
      </c>
      <c r="I11" s="18" t="s">
        <v>66</v>
      </c>
      <c r="J11" s="16">
        <v>97.297297297297305</v>
      </c>
      <c r="N11" s="30">
        <v>2.4620000000000002</v>
      </c>
      <c r="P11" s="30">
        <f t="shared" ref="P11:P14" si="11">P3*2</f>
        <v>44.923999999999999</v>
      </c>
    </row>
    <row r="12" spans="1:24" ht="16" thickBot="1" x14ac:dyDescent="0.25">
      <c r="A12" s="43" t="s">
        <v>9</v>
      </c>
      <c r="B12" s="43" t="s">
        <v>6</v>
      </c>
      <c r="C12">
        <v>1</v>
      </c>
      <c r="D12" s="25">
        <f t="shared" ref="D12:D30" si="12">VLOOKUP(A12,$M$1:$W$8,6,FALSE)</f>
        <v>1</v>
      </c>
      <c r="E12">
        <f t="shared" ref="E12:E30" si="13">VLOOKUP(A12,$M$1:$W$8,5,FALSE)</f>
        <v>49</v>
      </c>
      <c r="F12" s="22">
        <f t="shared" si="5"/>
        <v>1.2244897959183674</v>
      </c>
      <c r="G12">
        <v>60</v>
      </c>
      <c r="H12" s="21">
        <f t="shared" si="6"/>
        <v>73.469387755102048</v>
      </c>
      <c r="I12" s="18" t="s">
        <v>68</v>
      </c>
      <c r="J12" s="16">
        <v>97.297297297297305</v>
      </c>
      <c r="N12" s="30">
        <v>1.45</v>
      </c>
      <c r="P12" s="30">
        <f t="shared" si="11"/>
        <v>22.9</v>
      </c>
    </row>
    <row r="13" spans="1:24" x14ac:dyDescent="0.2">
      <c r="A13" s="43" t="s">
        <v>64</v>
      </c>
      <c r="B13" s="43" t="s">
        <v>65</v>
      </c>
      <c r="C13">
        <v>1</v>
      </c>
      <c r="D13" s="23">
        <f t="shared" si="12"/>
        <v>1</v>
      </c>
      <c r="E13">
        <f t="shared" si="13"/>
        <v>37</v>
      </c>
      <c r="F13" s="22">
        <f t="shared" si="5"/>
        <v>1.6216216216216217</v>
      </c>
      <c r="G13">
        <v>61</v>
      </c>
      <c r="H13" s="21">
        <f t="shared" ref="H13" si="14">D13*F13*G13</f>
        <v>98.918918918918919</v>
      </c>
      <c r="I13" s="18" t="s">
        <v>71</v>
      </c>
      <c r="J13" s="16"/>
      <c r="N13" s="30">
        <v>1.72</v>
      </c>
      <c r="P13" s="30">
        <f t="shared" si="11"/>
        <v>43.44</v>
      </c>
    </row>
    <row r="14" spans="1:24" x14ac:dyDescent="0.2">
      <c r="A14" s="43" t="s">
        <v>64</v>
      </c>
      <c r="B14" s="43" t="s">
        <v>67</v>
      </c>
      <c r="C14">
        <v>1</v>
      </c>
      <c r="D14" s="24">
        <f t="shared" si="12"/>
        <v>1</v>
      </c>
      <c r="E14">
        <f t="shared" si="13"/>
        <v>37</v>
      </c>
      <c r="F14" s="22">
        <f t="shared" si="5"/>
        <v>1.6216216216216217</v>
      </c>
      <c r="G14">
        <v>60</v>
      </c>
      <c r="H14" s="21">
        <f t="shared" si="6"/>
        <v>97.297297297297305</v>
      </c>
      <c r="I14" s="18" t="s">
        <v>41</v>
      </c>
      <c r="J14" s="16">
        <v>2694.0062923905475</v>
      </c>
      <c r="N14" s="30">
        <v>1.0369999999999999</v>
      </c>
      <c r="P14" s="30">
        <f t="shared" si="11"/>
        <v>34.250999999999998</v>
      </c>
    </row>
    <row r="15" spans="1:24" x14ac:dyDescent="0.2">
      <c r="A15" s="43" t="s">
        <v>64</v>
      </c>
      <c r="B15" s="43" t="s">
        <v>66</v>
      </c>
      <c r="C15">
        <v>1</v>
      </c>
      <c r="D15" s="24">
        <f t="shared" si="12"/>
        <v>1</v>
      </c>
      <c r="E15">
        <f t="shared" si="13"/>
        <v>37</v>
      </c>
      <c r="F15" s="22">
        <f t="shared" si="5"/>
        <v>1.6216216216216217</v>
      </c>
      <c r="G15">
        <v>60</v>
      </c>
      <c r="H15" s="21">
        <f t="shared" si="6"/>
        <v>97.297297297297305</v>
      </c>
    </row>
    <row r="16" spans="1:24" x14ac:dyDescent="0.2">
      <c r="A16" s="43" t="s">
        <v>64</v>
      </c>
      <c r="B16" s="43" t="s">
        <v>68</v>
      </c>
      <c r="C16">
        <v>1</v>
      </c>
      <c r="D16" s="24">
        <f t="shared" si="12"/>
        <v>1</v>
      </c>
      <c r="E16">
        <f t="shared" si="13"/>
        <v>37</v>
      </c>
      <c r="F16" s="22">
        <f t="shared" si="5"/>
        <v>1.6216216216216217</v>
      </c>
      <c r="G16">
        <v>60</v>
      </c>
      <c r="H16" s="21">
        <f t="shared" si="6"/>
        <v>97.297297297297305</v>
      </c>
    </row>
    <row r="17" spans="1:8" ht="16" thickBot="1" x14ac:dyDescent="0.25">
      <c r="A17" s="43" t="s">
        <v>64</v>
      </c>
      <c r="B17" s="43" t="s">
        <v>6</v>
      </c>
      <c r="C17">
        <v>1</v>
      </c>
      <c r="D17" s="25">
        <f t="shared" si="12"/>
        <v>1</v>
      </c>
      <c r="E17">
        <f t="shared" si="13"/>
        <v>37</v>
      </c>
      <c r="F17" s="22">
        <f t="shared" si="5"/>
        <v>1.6216216216216217</v>
      </c>
      <c r="G17">
        <v>60</v>
      </c>
      <c r="H17" s="21">
        <f>D17*F17*G17</f>
        <v>97.297297297297305</v>
      </c>
    </row>
    <row r="18" spans="1:8" ht="16" thickBot="1" x14ac:dyDescent="0.25">
      <c r="A18" s="43" t="s">
        <v>70</v>
      </c>
      <c r="B18" s="43" t="s">
        <v>65</v>
      </c>
      <c r="C18">
        <v>1</v>
      </c>
      <c r="D18" s="25">
        <f t="shared" ref="D18:D21" si="15">VLOOKUP(A18,$M$1:$W$8,6,FALSE)</f>
        <v>1</v>
      </c>
      <c r="E18">
        <f t="shared" ref="E18:E21" si="16">VLOOKUP(A18,$M$1:$W$8,5,FALSE)</f>
        <v>97</v>
      </c>
      <c r="F18" s="22">
        <f t="shared" ref="F18:F21" si="17">60/E18*C18</f>
        <v>0.61855670103092786</v>
      </c>
      <c r="G18">
        <v>61</v>
      </c>
      <c r="H18" s="21">
        <f t="shared" ref="H18:H21" si="18">D18*F18*G18</f>
        <v>37.731958762886599</v>
      </c>
    </row>
    <row r="19" spans="1:8" ht="16" thickBot="1" x14ac:dyDescent="0.25">
      <c r="A19" s="43" t="s">
        <v>70</v>
      </c>
      <c r="B19" s="43" t="s">
        <v>0</v>
      </c>
      <c r="C19">
        <v>1</v>
      </c>
      <c r="D19" s="25">
        <f t="shared" si="15"/>
        <v>1</v>
      </c>
      <c r="E19">
        <f t="shared" si="16"/>
        <v>97</v>
      </c>
      <c r="F19" s="22">
        <f t="shared" si="17"/>
        <v>0.61855670103092786</v>
      </c>
      <c r="G19">
        <v>62</v>
      </c>
      <c r="H19" s="21">
        <f t="shared" si="18"/>
        <v>38.350515463917525</v>
      </c>
    </row>
    <row r="20" spans="1:8" ht="16" thickBot="1" x14ac:dyDescent="0.25">
      <c r="A20" s="43" t="s">
        <v>70</v>
      </c>
      <c r="B20" s="43" t="s">
        <v>11</v>
      </c>
      <c r="C20">
        <v>0</v>
      </c>
      <c r="D20" s="25">
        <f t="shared" ref="D20" si="19">VLOOKUP(A20,$M$1:$W$8,6,FALSE)</f>
        <v>1</v>
      </c>
      <c r="E20">
        <f t="shared" ref="E20" si="20">VLOOKUP(A20,$M$1:$W$8,5,FALSE)</f>
        <v>97</v>
      </c>
      <c r="F20" s="22">
        <f t="shared" ref="F20" si="21">60/E20*C20</f>
        <v>0</v>
      </c>
      <c r="G20">
        <v>63</v>
      </c>
      <c r="H20" s="21">
        <f t="shared" ref="H20" si="22">D20*F20*G20</f>
        <v>0</v>
      </c>
    </row>
    <row r="21" spans="1:8" ht="16" thickBot="1" x14ac:dyDescent="0.25">
      <c r="A21" s="43" t="s">
        <v>70</v>
      </c>
      <c r="B21" s="43" t="s">
        <v>6</v>
      </c>
      <c r="C21">
        <v>1</v>
      </c>
      <c r="D21" s="25">
        <f t="shared" si="15"/>
        <v>1</v>
      </c>
      <c r="E21">
        <f t="shared" si="16"/>
        <v>97</v>
      </c>
      <c r="F21" s="22">
        <f t="shared" si="17"/>
        <v>0.61855670103092786</v>
      </c>
      <c r="G21">
        <v>63</v>
      </c>
      <c r="H21" s="21">
        <f t="shared" si="18"/>
        <v>38.969072164948457</v>
      </c>
    </row>
    <row r="22" spans="1:8" x14ac:dyDescent="0.2">
      <c r="A22" s="43" t="s">
        <v>69</v>
      </c>
      <c r="B22" s="43" t="s">
        <v>65</v>
      </c>
      <c r="C22">
        <v>1</v>
      </c>
      <c r="D22" s="23">
        <f t="shared" si="12"/>
        <v>2</v>
      </c>
      <c r="E22">
        <f t="shared" si="13"/>
        <v>67</v>
      </c>
      <c r="F22" s="22">
        <f t="shared" si="5"/>
        <v>0.89552238805970152</v>
      </c>
      <c r="G22">
        <v>61</v>
      </c>
      <c r="H22" s="21">
        <f>D22*F22*G22</f>
        <v>109.25373134328359</v>
      </c>
    </row>
    <row r="23" spans="1:8" x14ac:dyDescent="0.2">
      <c r="A23" s="43" t="s">
        <v>69</v>
      </c>
      <c r="B23" s="43" t="s">
        <v>0</v>
      </c>
      <c r="C23">
        <v>1</v>
      </c>
      <c r="D23" s="24">
        <f t="shared" si="12"/>
        <v>2</v>
      </c>
      <c r="E23">
        <f t="shared" si="13"/>
        <v>67</v>
      </c>
      <c r="F23" s="22">
        <f t="shared" si="5"/>
        <v>0.89552238805970152</v>
      </c>
      <c r="G23">
        <v>60</v>
      </c>
      <c r="H23" s="21">
        <f t="shared" si="6"/>
        <v>107.46268656716418</v>
      </c>
    </row>
    <row r="24" spans="1:8" x14ac:dyDescent="0.2">
      <c r="A24" s="43" t="s">
        <v>69</v>
      </c>
      <c r="B24" s="43" t="s">
        <v>11</v>
      </c>
      <c r="C24">
        <v>1</v>
      </c>
      <c r="D24" s="24">
        <f t="shared" si="12"/>
        <v>2</v>
      </c>
      <c r="E24">
        <f t="shared" si="13"/>
        <v>67</v>
      </c>
      <c r="F24" s="22">
        <f t="shared" si="5"/>
        <v>0.89552238805970152</v>
      </c>
      <c r="G24">
        <v>60</v>
      </c>
      <c r="H24" s="21">
        <f t="shared" si="6"/>
        <v>107.46268656716418</v>
      </c>
    </row>
    <row r="25" spans="1:8" x14ac:dyDescent="0.2">
      <c r="A25" s="43" t="s">
        <v>69</v>
      </c>
      <c r="B25" s="43" t="s">
        <v>12</v>
      </c>
      <c r="C25">
        <v>1</v>
      </c>
      <c r="D25" s="24">
        <f t="shared" si="12"/>
        <v>2</v>
      </c>
      <c r="E25">
        <f t="shared" si="13"/>
        <v>67</v>
      </c>
      <c r="F25" s="22">
        <f t="shared" si="5"/>
        <v>0.89552238805970152</v>
      </c>
      <c r="G25">
        <v>60</v>
      </c>
      <c r="H25" s="21">
        <f t="shared" si="6"/>
        <v>107.46268656716418</v>
      </c>
    </row>
    <row r="26" spans="1:8" ht="16" thickBot="1" x14ac:dyDescent="0.25">
      <c r="A26" s="43" t="s">
        <v>69</v>
      </c>
      <c r="B26" s="43" t="s">
        <v>6</v>
      </c>
      <c r="C26">
        <v>1</v>
      </c>
      <c r="D26" s="24">
        <f t="shared" si="12"/>
        <v>2</v>
      </c>
      <c r="E26">
        <f t="shared" si="13"/>
        <v>67</v>
      </c>
      <c r="F26" s="22">
        <f t="shared" si="5"/>
        <v>0.89552238805970152</v>
      </c>
      <c r="G26">
        <v>60</v>
      </c>
      <c r="H26" s="21">
        <f t="shared" si="6"/>
        <v>107.46268656716418</v>
      </c>
    </row>
    <row r="27" spans="1:8" x14ac:dyDescent="0.2">
      <c r="A27" s="43" t="s">
        <v>10</v>
      </c>
      <c r="B27" s="43" t="s">
        <v>65</v>
      </c>
      <c r="C27">
        <v>1</v>
      </c>
      <c r="D27" s="23">
        <f t="shared" si="12"/>
        <v>1</v>
      </c>
      <c r="E27">
        <f t="shared" si="13"/>
        <v>85</v>
      </c>
      <c r="F27" s="22">
        <f t="shared" si="5"/>
        <v>0.70588235294117652</v>
      </c>
      <c r="G27">
        <v>61</v>
      </c>
      <c r="H27" s="21">
        <f t="shared" ref="H27" si="23">D27*F27*G27</f>
        <v>43.058823529411768</v>
      </c>
    </row>
    <row r="28" spans="1:8" x14ac:dyDescent="0.2">
      <c r="A28" s="43" t="s">
        <v>10</v>
      </c>
      <c r="B28" s="43" t="s">
        <v>0</v>
      </c>
      <c r="C28">
        <v>1</v>
      </c>
      <c r="D28" s="24">
        <f t="shared" si="12"/>
        <v>1</v>
      </c>
      <c r="E28">
        <f t="shared" si="13"/>
        <v>85</v>
      </c>
      <c r="F28" s="22">
        <f t="shared" si="5"/>
        <v>0.70588235294117652</v>
      </c>
      <c r="G28">
        <v>60</v>
      </c>
      <c r="H28" s="21">
        <f t="shared" si="6"/>
        <v>42.352941176470594</v>
      </c>
    </row>
    <row r="29" spans="1:8" x14ac:dyDescent="0.2">
      <c r="A29" s="43" t="s">
        <v>10</v>
      </c>
      <c r="B29" s="43" t="s">
        <v>4</v>
      </c>
      <c r="C29">
        <v>1</v>
      </c>
      <c r="D29" s="24">
        <f t="shared" si="12"/>
        <v>1</v>
      </c>
      <c r="E29">
        <f t="shared" si="13"/>
        <v>85</v>
      </c>
      <c r="F29" s="22">
        <f t="shared" si="5"/>
        <v>0.70588235294117652</v>
      </c>
      <c r="G29">
        <v>60</v>
      </c>
      <c r="H29" s="21">
        <f t="shared" si="6"/>
        <v>42.352941176470594</v>
      </c>
    </row>
    <row r="30" spans="1:8" ht="16" thickBot="1" x14ac:dyDescent="0.25">
      <c r="A30" s="43"/>
      <c r="B30" s="43"/>
      <c r="D30" s="25"/>
      <c r="F30" s="22"/>
      <c r="H30" s="21"/>
    </row>
    <row r="33" spans="1:8" ht="120" x14ac:dyDescent="0.25">
      <c r="A33" s="39" t="s">
        <v>42</v>
      </c>
      <c r="B33" s="39" t="s">
        <v>61</v>
      </c>
      <c r="C33" s="38" t="s">
        <v>59</v>
      </c>
      <c r="D33" s="38" t="s">
        <v>60</v>
      </c>
      <c r="E33" s="35"/>
      <c r="F33" s="38" t="s">
        <v>58</v>
      </c>
      <c r="G33" s="38" t="s">
        <v>62</v>
      </c>
      <c r="H33" s="38" t="s">
        <v>63</v>
      </c>
    </row>
    <row r="34" spans="1:8" ht="40" x14ac:dyDescent="0.2">
      <c r="A34" s="39" t="s">
        <v>65</v>
      </c>
      <c r="B34" s="41">
        <v>520</v>
      </c>
      <c r="C34" s="36">
        <f t="shared" ref="C34:C42" si="24">GETPIVOTDATA("Итого",$I$1,"transaction rq",A34)</f>
        <v>537.91555974684127</v>
      </c>
      <c r="D34" s="37">
        <f t="shared" ref="D34:D42" si="25">1-B34/C34</f>
        <v>3.3305524300640932E-2</v>
      </c>
      <c r="F34" s="29">
        <f>C35/3</f>
        <v>146.26492830271164</v>
      </c>
      <c r="G34" s="29">
        <v>63</v>
      </c>
      <c r="H34" s="32">
        <f t="shared" ref="H34:H40" si="26">1-F34/G34</f>
        <v>-1.3216655286144703</v>
      </c>
    </row>
    <row r="35" spans="1:8" ht="19" x14ac:dyDescent="0.2">
      <c r="A35" s="40" t="s">
        <v>0</v>
      </c>
      <c r="B35" s="41">
        <v>422</v>
      </c>
      <c r="C35" s="36">
        <f t="shared" si="24"/>
        <v>438.79478490813494</v>
      </c>
      <c r="D35" s="37">
        <f t="shared" si="25"/>
        <v>3.8274805184047578E-2</v>
      </c>
      <c r="F35" s="29">
        <f t="shared" ref="F35:F41" si="27">C36/6</f>
        <v>47.178740444120855</v>
      </c>
      <c r="G35" s="29">
        <v>42</v>
      </c>
      <c r="H35" s="32">
        <f t="shared" si="26"/>
        <v>-0.12330334390763942</v>
      </c>
    </row>
    <row r="36" spans="1:8" ht="38" x14ac:dyDescent="0.2">
      <c r="A36" s="40" t="s">
        <v>11</v>
      </c>
      <c r="B36" s="41">
        <v>282</v>
      </c>
      <c r="C36" s="33">
        <f t="shared" si="24"/>
        <v>283.07244266472514</v>
      </c>
      <c r="D36" s="31">
        <f t="shared" si="25"/>
        <v>3.788580246913531E-3</v>
      </c>
      <c r="F36" s="29">
        <f t="shared" si="27"/>
        <v>47.178740444120855</v>
      </c>
      <c r="G36" s="29">
        <v>42</v>
      </c>
      <c r="H36" s="32">
        <f t="shared" si="26"/>
        <v>-0.12330334390763942</v>
      </c>
    </row>
    <row r="37" spans="1:8" ht="38" x14ac:dyDescent="0.2">
      <c r="A37" s="40" t="s">
        <v>12</v>
      </c>
      <c r="B37" s="41">
        <v>270</v>
      </c>
      <c r="C37" s="33">
        <f t="shared" si="24"/>
        <v>283.07244266472514</v>
      </c>
      <c r="D37" s="31">
        <f t="shared" si="25"/>
        <v>4.6180555555555558E-2</v>
      </c>
      <c r="F37" s="29">
        <f t="shared" si="27"/>
        <v>29.268292682926827</v>
      </c>
      <c r="G37" s="29">
        <v>27</v>
      </c>
      <c r="H37" s="32">
        <f t="shared" si="26"/>
        <v>-8.4010840108400986E-2</v>
      </c>
    </row>
    <row r="38" spans="1:8" ht="19" x14ac:dyDescent="0.2">
      <c r="A38" s="40" t="s">
        <v>3</v>
      </c>
      <c r="B38" s="41">
        <v>175</v>
      </c>
      <c r="C38" s="33">
        <f t="shared" si="24"/>
        <v>175.60975609756096</v>
      </c>
      <c r="D38" s="31">
        <f t="shared" si="25"/>
        <v>3.4722222222220989E-3</v>
      </c>
      <c r="F38" s="29">
        <f t="shared" si="27"/>
        <v>48.830263812842212</v>
      </c>
      <c r="G38" s="29">
        <v>29</v>
      </c>
      <c r="H38" s="32">
        <f t="shared" si="26"/>
        <v>-0.6838022004428348</v>
      </c>
    </row>
    <row r="39" spans="1:8" ht="19" x14ac:dyDescent="0.2">
      <c r="A39" s="40" t="s">
        <v>4</v>
      </c>
      <c r="B39" s="41">
        <v>280</v>
      </c>
      <c r="C39" s="33">
        <f t="shared" si="24"/>
        <v>292.98158287705326</v>
      </c>
      <c r="D39" s="31">
        <f t="shared" si="25"/>
        <v>4.430852871219837E-2</v>
      </c>
      <c r="F39" s="29">
        <f t="shared" si="27"/>
        <v>12.244897959183675</v>
      </c>
      <c r="G39" s="29">
        <v>13</v>
      </c>
      <c r="H39" s="32">
        <f t="shared" si="26"/>
        <v>5.8084772370486593E-2</v>
      </c>
    </row>
    <row r="40" spans="1:8" ht="38" x14ac:dyDescent="0.2">
      <c r="A40" s="40" t="s">
        <v>13</v>
      </c>
      <c r="B40" s="41">
        <v>73</v>
      </c>
      <c r="C40" s="33">
        <f t="shared" si="24"/>
        <v>73.469387755102048</v>
      </c>
      <c r="D40" s="31">
        <f t="shared" si="25"/>
        <v>6.3888888888889994E-3</v>
      </c>
      <c r="F40" s="29">
        <f t="shared" si="27"/>
        <v>52.866407297418654</v>
      </c>
      <c r="G40" s="29">
        <v>56</v>
      </c>
      <c r="H40" s="32">
        <f t="shared" si="26"/>
        <v>5.5957012546095419E-2</v>
      </c>
    </row>
    <row r="41" spans="1:8" ht="19" x14ac:dyDescent="0.2">
      <c r="A41" s="40" t="s">
        <v>6</v>
      </c>
      <c r="B41" s="41">
        <v>326</v>
      </c>
      <c r="C41" s="33">
        <f t="shared" si="24"/>
        <v>317.19844378451194</v>
      </c>
      <c r="D41" s="31">
        <f t="shared" si="25"/>
        <v>-2.7747791289503887E-2</v>
      </c>
      <c r="E41" s="1"/>
      <c r="F41" s="45">
        <f t="shared" si="27"/>
        <v>16.216216216216218</v>
      </c>
    </row>
    <row r="42" spans="1:8" ht="38" x14ac:dyDescent="0.2">
      <c r="A42" s="40" t="s">
        <v>67</v>
      </c>
      <c r="B42" s="41">
        <v>97</v>
      </c>
      <c r="C42" s="33">
        <f t="shared" si="24"/>
        <v>97.297297297297305</v>
      </c>
      <c r="D42" s="31">
        <f t="shared" si="25"/>
        <v>3.0555555555555891E-3</v>
      </c>
    </row>
    <row r="43" spans="1:8" ht="38" x14ac:dyDescent="0.2">
      <c r="A43" s="40" t="s">
        <v>66</v>
      </c>
      <c r="B43" s="41">
        <v>97</v>
      </c>
      <c r="C43" s="33">
        <f t="shared" ref="C43:C44" si="28">GETPIVOTDATA("Итого",$I$1,"transaction rq",A43)</f>
        <v>97.297297297297305</v>
      </c>
      <c r="D43" s="31">
        <f t="shared" ref="D43:D44" si="29">1-B43/C43</f>
        <v>3.0555555555555891E-3</v>
      </c>
    </row>
    <row r="44" spans="1:8" ht="57" x14ac:dyDescent="0.2">
      <c r="A44" s="40" t="s">
        <v>68</v>
      </c>
      <c r="B44" s="41">
        <v>97</v>
      </c>
      <c r="C44" s="33">
        <f t="shared" si="28"/>
        <v>97.297297297297305</v>
      </c>
      <c r="D44" s="31">
        <f t="shared" si="29"/>
        <v>3.0555555555555891E-3</v>
      </c>
    </row>
    <row r="45" spans="1:8" ht="19" x14ac:dyDescent="0.2">
      <c r="A45" s="42" t="s">
        <v>7</v>
      </c>
      <c r="B45" s="41">
        <f>SUM(B34:B44)</f>
        <v>2639</v>
      </c>
      <c r="C45" s="34">
        <f>SUM(C34:C44)</f>
        <v>2694.0062923905471</v>
      </c>
      <c r="D45" s="31">
        <f>1-B45/C45</f>
        <v>2.0418026693522218E-2</v>
      </c>
    </row>
    <row r="48" spans="1:8" x14ac:dyDescent="0.2">
      <c r="A48" s="48"/>
      <c r="B48" s="48"/>
      <c r="C48" s="48"/>
    </row>
    <row r="49" spans="1:3" x14ac:dyDescent="0.2">
      <c r="A49" s="48"/>
      <c r="B49" s="48"/>
      <c r="C49" s="48"/>
    </row>
    <row r="50" spans="1:3" x14ac:dyDescent="0.2">
      <c r="A50" s="48"/>
      <c r="B50" s="48"/>
      <c r="C50" s="48"/>
    </row>
  </sheetData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opLeftCell="A25" zoomScale="111" workbookViewId="0">
      <selection activeCell="H38" sqref="H38"/>
    </sheetView>
  </sheetViews>
  <sheetFormatPr baseColWidth="10" defaultColWidth="8.83203125" defaultRowHeight="15" x14ac:dyDescent="0.2"/>
  <cols>
    <col min="2" max="2" width="4.5" customWidth="1"/>
    <col min="3" max="4" width="9.1640625" hidden="1" customWidth="1"/>
    <col min="5" max="5" width="20.5" customWidth="1"/>
    <col min="6" max="6" width="18.83203125" customWidth="1"/>
    <col min="7" max="7" width="15.33203125" customWidth="1"/>
    <col min="8" max="8" width="15.1640625" customWidth="1"/>
    <col min="9" max="9" width="14" customWidth="1"/>
    <col min="11" max="11" width="1.5" customWidth="1"/>
    <col min="12" max="12" width="40.33203125" customWidth="1"/>
    <col min="13" max="13" width="6" bestFit="1" customWidth="1"/>
    <col min="14" max="14" width="4.1640625" bestFit="1" customWidth="1"/>
    <col min="15" max="15" width="5" bestFit="1" customWidth="1"/>
    <col min="16" max="16" width="14.1640625" bestFit="1" customWidth="1"/>
    <col min="17" max="17" width="19.5" bestFit="1" customWidth="1"/>
  </cols>
  <sheetData>
    <row r="9" spans="5:9" x14ac:dyDescent="0.2">
      <c r="E9" s="47" t="s">
        <v>33</v>
      </c>
      <c r="F9" s="47"/>
      <c r="G9" s="47"/>
      <c r="H9" s="47"/>
      <c r="I9" s="47"/>
    </row>
    <row r="11" spans="5:9" ht="30" x14ac:dyDescent="0.2"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</row>
    <row r="12" spans="5:9" ht="17" x14ac:dyDescent="0.2">
      <c r="E12" s="3" t="s">
        <v>0</v>
      </c>
      <c r="F12" s="4" t="s">
        <v>24</v>
      </c>
      <c r="G12" s="5">
        <v>368</v>
      </c>
      <c r="H12" s="4">
        <f>121*3</f>
        <v>363</v>
      </c>
      <c r="I12" s="6">
        <f>1-G12/H12</f>
        <v>-1.377410468319562E-2</v>
      </c>
    </row>
    <row r="13" spans="5:9" ht="34" x14ac:dyDescent="0.2">
      <c r="E13" s="3" t="s">
        <v>1</v>
      </c>
      <c r="F13" s="4" t="s">
        <v>23</v>
      </c>
      <c r="G13" s="5">
        <v>251</v>
      </c>
      <c r="H13" s="4">
        <f>82*3</f>
        <v>246</v>
      </c>
      <c r="I13" s="6">
        <f t="shared" ref="I13:I18" si="0">1-G13/H13</f>
        <v>-2.0325203252032464E-2</v>
      </c>
    </row>
    <row r="14" spans="5:9" ht="34" x14ac:dyDescent="0.2">
      <c r="E14" s="3" t="s">
        <v>2</v>
      </c>
      <c r="F14" s="4" t="s">
        <v>26</v>
      </c>
      <c r="G14" s="5">
        <v>251</v>
      </c>
      <c r="H14" s="4">
        <f>82*3</f>
        <v>246</v>
      </c>
      <c r="I14" s="6">
        <f t="shared" si="0"/>
        <v>-2.0325203252032464E-2</v>
      </c>
    </row>
    <row r="15" spans="5:9" ht="17" x14ac:dyDescent="0.2">
      <c r="E15" s="3" t="s">
        <v>3</v>
      </c>
      <c r="F15" s="4" t="s">
        <v>19</v>
      </c>
      <c r="G15" s="5">
        <v>175</v>
      </c>
      <c r="H15" s="4">
        <f>56*3</f>
        <v>168</v>
      </c>
      <c r="I15" s="7">
        <f t="shared" si="0"/>
        <v>-4.1666666666666741E-2</v>
      </c>
    </row>
    <row r="16" spans="5:9" ht="34" x14ac:dyDescent="0.2">
      <c r="E16" s="3" t="s">
        <v>20</v>
      </c>
      <c r="F16" s="4" t="s">
        <v>22</v>
      </c>
      <c r="G16" s="5">
        <v>159</v>
      </c>
      <c r="H16" s="5">
        <f>56*3</f>
        <v>168</v>
      </c>
      <c r="I16" s="6">
        <f t="shared" si="0"/>
        <v>5.3571428571428603E-2</v>
      </c>
    </row>
    <row r="17" spans="5:9" ht="51" x14ac:dyDescent="0.2">
      <c r="E17" s="3" t="s">
        <v>5</v>
      </c>
      <c r="F17" s="4" t="s">
        <v>21</v>
      </c>
      <c r="G17" s="5">
        <v>73</v>
      </c>
      <c r="H17" s="4">
        <f>25*3</f>
        <v>75</v>
      </c>
      <c r="I17" s="6">
        <f t="shared" si="0"/>
        <v>2.6666666666666616E-2</v>
      </c>
    </row>
    <row r="18" spans="5:9" ht="17" x14ac:dyDescent="0.2">
      <c r="E18" s="3" t="s">
        <v>6</v>
      </c>
      <c r="F18" s="4" t="s">
        <v>25</v>
      </c>
      <c r="G18" s="5">
        <v>326</v>
      </c>
      <c r="H18" s="4">
        <f>104*3</f>
        <v>312</v>
      </c>
      <c r="I18" s="6">
        <f t="shared" si="0"/>
        <v>-4.4871794871794934E-2</v>
      </c>
    </row>
    <row r="23" spans="5:9" x14ac:dyDescent="0.2">
      <c r="E23" s="47" t="s">
        <v>31</v>
      </c>
      <c r="F23" s="47"/>
      <c r="G23" s="47"/>
      <c r="H23" s="47"/>
      <c r="I23" s="47"/>
    </row>
    <row r="25" spans="5:9" x14ac:dyDescent="0.2">
      <c r="E25" s="9" t="s">
        <v>14</v>
      </c>
      <c r="F25" s="9" t="s">
        <v>15</v>
      </c>
      <c r="G25" s="9" t="s">
        <v>16</v>
      </c>
      <c r="H25" s="9" t="s">
        <v>17</v>
      </c>
      <c r="I25" s="9" t="s">
        <v>18</v>
      </c>
    </row>
    <row r="26" spans="5:9" ht="16" x14ac:dyDescent="0.2">
      <c r="E26" s="14" t="s">
        <v>0</v>
      </c>
      <c r="F26" s="13" t="s">
        <v>24</v>
      </c>
      <c r="G26" s="11">
        <f>5*368</f>
        <v>1840</v>
      </c>
      <c r="H26" s="10">
        <f>721*3</f>
        <v>2163</v>
      </c>
      <c r="I26" s="12">
        <f>1-G26/H26</f>
        <v>0.14932963476652794</v>
      </c>
    </row>
    <row r="27" spans="5:9" ht="16" x14ac:dyDescent="0.2">
      <c r="E27" s="14" t="s">
        <v>1</v>
      </c>
      <c r="F27" s="13" t="s">
        <v>23</v>
      </c>
      <c r="G27" s="11">
        <f>5*251</f>
        <v>1255</v>
      </c>
      <c r="H27" s="10">
        <f>3*464</f>
        <v>1392</v>
      </c>
      <c r="I27" s="12">
        <f t="shared" ref="I27:I32" si="1">1-G27/H27</f>
        <v>9.8419540229885083E-2</v>
      </c>
    </row>
    <row r="28" spans="5:9" ht="16" x14ac:dyDescent="0.2">
      <c r="E28" s="14" t="s">
        <v>2</v>
      </c>
      <c r="F28" s="13" t="s">
        <v>26</v>
      </c>
      <c r="G28" s="11">
        <f>5*251</f>
        <v>1255</v>
      </c>
      <c r="H28" s="10">
        <f>3*462</f>
        <v>1386</v>
      </c>
      <c r="I28" s="12">
        <f t="shared" si="1"/>
        <v>9.4516594516594554E-2</v>
      </c>
    </row>
    <row r="29" spans="5:9" ht="16" x14ac:dyDescent="0.2">
      <c r="E29" s="14" t="s">
        <v>3</v>
      </c>
      <c r="F29" s="13" t="s">
        <v>19</v>
      </c>
      <c r="G29" s="11">
        <f>5*175</f>
        <v>875</v>
      </c>
      <c r="H29" s="10">
        <f>3*314</f>
        <v>942</v>
      </c>
      <c r="I29" s="8">
        <f t="shared" si="1"/>
        <v>7.1125265392781301E-2</v>
      </c>
    </row>
    <row r="30" spans="5:9" ht="16" x14ac:dyDescent="0.2">
      <c r="E30" s="14" t="s">
        <v>20</v>
      </c>
      <c r="F30" s="13" t="s">
        <v>22</v>
      </c>
      <c r="G30" s="11">
        <f>5*159</f>
        <v>795</v>
      </c>
      <c r="H30" s="10">
        <f>3*330</f>
        <v>990</v>
      </c>
      <c r="I30" s="12">
        <f t="shared" si="1"/>
        <v>0.19696969696969702</v>
      </c>
    </row>
    <row r="31" spans="5:9" ht="16" x14ac:dyDescent="0.2">
      <c r="E31" s="14" t="s">
        <v>5</v>
      </c>
      <c r="F31" s="13" t="s">
        <v>21</v>
      </c>
      <c r="G31" s="11">
        <f>5*73</f>
        <v>365</v>
      </c>
      <c r="H31" s="10">
        <f>3*141</f>
        <v>423</v>
      </c>
      <c r="I31" s="12">
        <f t="shared" si="1"/>
        <v>0.13711583924349879</v>
      </c>
    </row>
    <row r="32" spans="5:9" ht="16" x14ac:dyDescent="0.2">
      <c r="E32" s="14" t="s">
        <v>6</v>
      </c>
      <c r="F32" s="13" t="s">
        <v>25</v>
      </c>
      <c r="G32" s="11">
        <f>5*326</f>
        <v>1630</v>
      </c>
      <c r="H32" s="10">
        <f>3*599</f>
        <v>1797</v>
      </c>
      <c r="I32" s="12">
        <f t="shared" si="1"/>
        <v>9.2932665553700611E-2</v>
      </c>
    </row>
    <row r="35" spans="5:15" x14ac:dyDescent="0.2">
      <c r="E35" s="47" t="s">
        <v>32</v>
      </c>
      <c r="F35" s="47"/>
      <c r="G35" s="47"/>
      <c r="H35" s="47"/>
      <c r="I35" s="47"/>
    </row>
    <row r="37" spans="5:15" x14ac:dyDescent="0.2">
      <c r="E37" s="9" t="s">
        <v>14</v>
      </c>
      <c r="F37" s="9" t="s">
        <v>15</v>
      </c>
      <c r="G37" s="9" t="s">
        <v>16</v>
      </c>
      <c r="H37" s="9" t="s">
        <v>17</v>
      </c>
      <c r="I37" s="9" t="s">
        <v>18</v>
      </c>
      <c r="L37" s="15" t="s">
        <v>27</v>
      </c>
      <c r="M37" s="15" t="s">
        <v>28</v>
      </c>
      <c r="N37" s="15" t="s">
        <v>29</v>
      </c>
      <c r="O37" s="15" t="s">
        <v>30</v>
      </c>
    </row>
    <row r="38" spans="5:15" ht="16" x14ac:dyDescent="0.2">
      <c r="E38" s="14" t="s">
        <v>0</v>
      </c>
      <c r="F38" s="13" t="s">
        <v>24</v>
      </c>
      <c r="G38" s="11">
        <f>5*368</f>
        <v>1840</v>
      </c>
      <c r="H38" s="10">
        <v>2109</v>
      </c>
      <c r="I38" s="12">
        <f>1-G38/H38</f>
        <v>0.12754860123281175</v>
      </c>
      <c r="L38" s="15" t="s">
        <v>21</v>
      </c>
      <c r="M38" s="15">
        <v>377</v>
      </c>
      <c r="N38" s="15">
        <v>27</v>
      </c>
      <c r="O38" s="15">
        <v>0</v>
      </c>
    </row>
    <row r="39" spans="5:15" ht="16" x14ac:dyDescent="0.2">
      <c r="E39" s="14" t="s">
        <v>1</v>
      </c>
      <c r="F39" s="13" t="s">
        <v>23</v>
      </c>
      <c r="G39" s="11">
        <f>5*251</f>
        <v>1255</v>
      </c>
      <c r="H39" s="15">
        <v>1315</v>
      </c>
      <c r="I39" s="12">
        <f t="shared" ref="I39:I44" si="2">1-G39/H39</f>
        <v>4.5627376425855459E-2</v>
      </c>
      <c r="L39" s="15" t="s">
        <v>22</v>
      </c>
      <c r="M39" s="15">
        <v>998</v>
      </c>
      <c r="N39" s="15">
        <v>1</v>
      </c>
      <c r="O39" s="15">
        <v>0</v>
      </c>
    </row>
    <row r="40" spans="5:15" ht="16" x14ac:dyDescent="0.2">
      <c r="E40" s="14" t="s">
        <v>2</v>
      </c>
      <c r="F40" s="13" t="s">
        <v>26</v>
      </c>
      <c r="G40" s="11">
        <f>5*251</f>
        <v>1255</v>
      </c>
      <c r="H40" s="10">
        <v>1315</v>
      </c>
      <c r="I40" s="12">
        <f t="shared" si="2"/>
        <v>4.5627376425855459E-2</v>
      </c>
      <c r="L40" s="15" t="s">
        <v>23</v>
      </c>
      <c r="M40" s="15" t="s">
        <v>34</v>
      </c>
      <c r="N40" s="15">
        <v>0</v>
      </c>
      <c r="O40" s="15">
        <v>0</v>
      </c>
    </row>
    <row r="41" spans="5:15" ht="16" x14ac:dyDescent="0.2">
      <c r="E41" s="14" t="s">
        <v>3</v>
      </c>
      <c r="F41" s="13" t="s">
        <v>19</v>
      </c>
      <c r="G41" s="11">
        <f>5*175</f>
        <v>875</v>
      </c>
      <c r="H41" s="15">
        <v>924</v>
      </c>
      <c r="I41" s="8">
        <f t="shared" si="2"/>
        <v>5.3030303030302983E-2</v>
      </c>
      <c r="L41" s="15" t="s">
        <v>24</v>
      </c>
      <c r="M41" s="15" t="s">
        <v>35</v>
      </c>
      <c r="N41" s="15">
        <v>139</v>
      </c>
      <c r="O41" s="15">
        <v>0</v>
      </c>
    </row>
    <row r="42" spans="5:15" ht="16" x14ac:dyDescent="0.2">
      <c r="E42" s="14" t="s">
        <v>20</v>
      </c>
      <c r="F42" s="13" t="s">
        <v>22</v>
      </c>
      <c r="G42" s="11">
        <f>5*159</f>
        <v>795</v>
      </c>
      <c r="H42" s="15">
        <v>998</v>
      </c>
      <c r="I42" s="12">
        <f t="shared" si="2"/>
        <v>0.20340681362725455</v>
      </c>
      <c r="L42" s="15" t="s">
        <v>25</v>
      </c>
      <c r="M42" s="15" t="s">
        <v>36</v>
      </c>
      <c r="N42" s="15">
        <v>1</v>
      </c>
      <c r="O42" s="15">
        <v>0</v>
      </c>
    </row>
    <row r="43" spans="5:15" ht="16" x14ac:dyDescent="0.2">
      <c r="E43" s="14" t="s">
        <v>5</v>
      </c>
      <c r="F43" s="13" t="s">
        <v>21</v>
      </c>
      <c r="G43" s="11">
        <f>5*73</f>
        <v>365</v>
      </c>
      <c r="H43" s="15">
        <v>404</v>
      </c>
      <c r="I43" s="12">
        <f t="shared" si="2"/>
        <v>9.6534653465346509E-2</v>
      </c>
      <c r="L43" s="15" t="s">
        <v>19</v>
      </c>
      <c r="M43" s="15">
        <v>924</v>
      </c>
      <c r="N43" s="15">
        <v>0</v>
      </c>
      <c r="O43" s="15">
        <v>0</v>
      </c>
    </row>
    <row r="44" spans="5:15" ht="16" x14ac:dyDescent="0.2">
      <c r="E44" s="14" t="s">
        <v>6</v>
      </c>
      <c r="F44" s="13" t="s">
        <v>25</v>
      </c>
      <c r="G44" s="11">
        <f>5*326</f>
        <v>1630</v>
      </c>
      <c r="H44" s="10">
        <v>1675</v>
      </c>
      <c r="I44" s="12">
        <f t="shared" si="2"/>
        <v>2.68656716417911E-2</v>
      </c>
      <c r="L44" s="15" t="s">
        <v>26</v>
      </c>
      <c r="M44" s="15" t="s">
        <v>34</v>
      </c>
      <c r="N44" s="15">
        <v>0</v>
      </c>
      <c r="O44" s="15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Шаблоны соотвествие профилю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Светашев Евгений</dc:creator>
  <cp:keywords/>
  <dc:description/>
  <cp:lastModifiedBy>Microsoft Office User</cp:lastModifiedBy>
  <dcterms:created xsi:type="dcterms:W3CDTF">2015-06-05T18:19:34Z</dcterms:created>
  <dcterms:modified xsi:type="dcterms:W3CDTF">2021-09-09T22:08:19Z</dcterms:modified>
  <cp:category/>
</cp:coreProperties>
</file>