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480" yWindow="495" windowWidth="19875" windowHeight="7650" tabRatio="845"/>
  </bookViews>
  <sheets>
    <sheet name="calc" sheetId="6" r:id="rId1"/>
    <sheet name="Klvl" sheetId="33" r:id="rId2"/>
    <sheet name="Ktb" sheetId="34" r:id="rId3"/>
    <sheet name="Kab" sheetId="36" r:id="rId4"/>
    <sheet name="Krt" sheetId="37" r:id="rId5"/>
    <sheet name="Kra" sheetId="38" r:id="rId6"/>
    <sheet name="Ean" sheetId="40" r:id="rId7"/>
    <sheet name="Eb" sheetId="41" r:id="rId8"/>
    <sheet name="Ebn" sheetId="43" r:id="rId9"/>
    <sheet name="Eb2" sheetId="49" r:id="rId10"/>
    <sheet name="Ebn2" sheetId="50" r:id="rId11"/>
    <sheet name="F1" sheetId="47" r:id="rId12"/>
    <sheet name="F2" sheetId="48" r:id="rId13"/>
    <sheet name="F3" sheetId="51" r:id="rId14"/>
    <sheet name="F4" sheetId="52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A2" i="6" l="1"/>
  <c r="AD2" i="40" l="1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A2" i="40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2" i="38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AD2" i="36"/>
  <c r="AC2" i="36"/>
  <c r="AB2" i="36"/>
  <c r="AA2" i="36"/>
  <c r="Z2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A2" i="36"/>
  <c r="AD2" i="34"/>
  <c r="AC2" i="34"/>
  <c r="AB2" i="34"/>
  <c r="AA2" i="34"/>
  <c r="Z2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A2" i="34"/>
  <c r="AD2" i="33"/>
  <c r="AC2" i="33"/>
  <c r="AB2" i="33"/>
  <c r="AA2" i="33"/>
  <c r="Z2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A2" i="33"/>
  <c r="G2" i="41" l="1"/>
  <c r="G2" i="43" s="1"/>
  <c r="L2" i="6" s="1"/>
  <c r="G2" i="49"/>
  <c r="G2" i="50" s="1"/>
  <c r="O2" i="41"/>
  <c r="O2" i="43" s="1"/>
  <c r="T2" i="6" s="1"/>
  <c r="O2" i="49"/>
  <c r="O2" i="50" s="1"/>
  <c r="F2" i="41"/>
  <c r="F2" i="43" s="1"/>
  <c r="K2" i="6" s="1"/>
  <c r="F2" i="49"/>
  <c r="F2" i="50" s="1"/>
  <c r="N2" i="41"/>
  <c r="N2" i="43" s="1"/>
  <c r="S2" i="6" s="1"/>
  <c r="N2" i="49"/>
  <c r="N2" i="50" s="1"/>
  <c r="E2" i="41"/>
  <c r="E2" i="43" s="1"/>
  <c r="J2" i="6" s="1"/>
  <c r="E2" i="49"/>
  <c r="E2" i="50" s="1"/>
  <c r="C2" i="41"/>
  <c r="C2" i="43" s="1"/>
  <c r="H2" i="6" s="1"/>
  <c r="C2" i="49"/>
  <c r="C2" i="50" s="1"/>
  <c r="K2" i="41"/>
  <c r="K2" i="43" s="1"/>
  <c r="P2" i="6" s="1"/>
  <c r="K2" i="49"/>
  <c r="K2" i="50" s="1"/>
  <c r="B2" i="41"/>
  <c r="B2" i="43" s="1"/>
  <c r="G2" i="6" s="1"/>
  <c r="B2" i="49"/>
  <c r="B2" i="50" s="1"/>
  <c r="J2" i="41"/>
  <c r="J2" i="43" s="1"/>
  <c r="O2" i="6" s="1"/>
  <c r="J2" i="49"/>
  <c r="J2" i="50" s="1"/>
  <c r="R2" i="41"/>
  <c r="R2" i="43" s="1"/>
  <c r="W2" i="6" s="1"/>
  <c r="R2" i="49"/>
  <c r="R2" i="50" s="1"/>
  <c r="Z2" i="41"/>
  <c r="Z2" i="43" s="1"/>
  <c r="AE2" i="6" s="1"/>
  <c r="Z2" i="49"/>
  <c r="Z2" i="50" s="1"/>
  <c r="S2" i="41"/>
  <c r="S2" i="43" s="1"/>
  <c r="X2" i="6" s="1"/>
  <c r="S2" i="49"/>
  <c r="S2" i="50" s="1"/>
  <c r="AA2" i="41"/>
  <c r="AA2" i="43" s="1"/>
  <c r="AF2" i="6" s="1"/>
  <c r="AA2" i="49"/>
  <c r="AA2" i="50" s="1"/>
  <c r="A2" i="41"/>
  <c r="A2" i="43" s="1"/>
  <c r="F2" i="6" s="1"/>
  <c r="A2" i="49"/>
  <c r="A2" i="50" s="1"/>
  <c r="I2" i="41"/>
  <c r="I2" i="43" s="1"/>
  <c r="N2" i="6" s="1"/>
  <c r="I2" i="49"/>
  <c r="I2" i="50" s="1"/>
  <c r="Q2" i="41"/>
  <c r="Q2" i="43" s="1"/>
  <c r="V2" i="6" s="1"/>
  <c r="Q2" i="49"/>
  <c r="Q2" i="50" s="1"/>
  <c r="H2" i="41"/>
  <c r="H2" i="43" s="1"/>
  <c r="M2" i="6" s="1"/>
  <c r="H2" i="49"/>
  <c r="H2" i="50" s="1"/>
  <c r="P2" i="41"/>
  <c r="P2" i="43" s="1"/>
  <c r="U2" i="6" s="1"/>
  <c r="P2" i="49"/>
  <c r="P2" i="50" s="1"/>
  <c r="V2" i="41"/>
  <c r="V2" i="43" s="1"/>
  <c r="AA2" i="6" s="1"/>
  <c r="V2" i="49"/>
  <c r="V2" i="50" s="1"/>
  <c r="M2" i="41"/>
  <c r="M2" i="43" s="1"/>
  <c r="R2" i="6" s="1"/>
  <c r="M2" i="49"/>
  <c r="M2" i="50" s="1"/>
  <c r="D2" i="41"/>
  <c r="D2" i="43" s="1"/>
  <c r="I2" i="6" s="1"/>
  <c r="D2" i="49"/>
  <c r="D2" i="50" s="1"/>
  <c r="L2" i="41"/>
  <c r="L2" i="43" s="1"/>
  <c r="Q2" i="6" s="1"/>
  <c r="L2" i="49"/>
  <c r="L2" i="50" s="1"/>
  <c r="W2" i="41"/>
  <c r="W2" i="43" s="1"/>
  <c r="AB2" i="6" s="1"/>
  <c r="W2" i="49"/>
  <c r="W2" i="50" s="1"/>
  <c r="U2" i="41"/>
  <c r="U2" i="43" s="1"/>
  <c r="Z2" i="6" s="1"/>
  <c r="U2" i="49"/>
  <c r="U2" i="50" s="1"/>
  <c r="T2" i="41"/>
  <c r="T2" i="43" s="1"/>
  <c r="Y2" i="6" s="1"/>
  <c r="T2" i="49"/>
  <c r="T2" i="50" s="1"/>
  <c r="AB2" i="41"/>
  <c r="AB2" i="43" s="1"/>
  <c r="AG2" i="6" s="1"/>
  <c r="AB2" i="49"/>
  <c r="AB2" i="50" s="1"/>
  <c r="Y2" i="41"/>
  <c r="Y2" i="43" s="1"/>
  <c r="AD2" i="6" s="1"/>
  <c r="Y2" i="49"/>
  <c r="Y2" i="50" s="1"/>
  <c r="X2" i="41"/>
  <c r="X2" i="49"/>
  <c r="X2" i="50" s="1"/>
  <c r="AD2" i="41"/>
  <c r="AD2" i="49"/>
  <c r="AD2" i="50" s="1"/>
  <c r="AC2" i="41"/>
  <c r="AC2" i="49"/>
  <c r="AC2" i="50" s="1"/>
  <c r="AD2" i="43" l="1"/>
  <c r="AI2" i="6" s="1"/>
  <c r="X2" i="43"/>
  <c r="AC2" i="6" s="1"/>
  <c r="AC2" i="43"/>
  <c r="AH2" i="6" s="1"/>
  <c r="B2" i="52"/>
  <c r="A2" i="52"/>
  <c r="A2" i="51"/>
  <c r="A2" i="48"/>
  <c r="B2" i="48"/>
  <c r="A2" i="47"/>
  <c r="C2" i="52" l="1"/>
  <c r="D2" i="52" s="1"/>
  <c r="C2" i="48"/>
  <c r="D2" i="48" s="1"/>
  <c r="B2" i="47"/>
  <c r="B2" i="51"/>
  <c r="C2" i="51" s="1"/>
  <c r="D2" i="51" s="1"/>
  <c r="C2" i="47" l="1"/>
  <c r="E2" i="6" l="1"/>
  <c r="D2" i="6"/>
  <c r="D2" i="47"/>
  <c r="B2" i="6" s="1"/>
  <c r="C2" i="6"/>
</calcChain>
</file>

<file path=xl/sharedStrings.xml><?xml version="1.0" encoding="utf-8"?>
<sst xmlns="http://schemas.openxmlformats.org/spreadsheetml/2006/main" count="351" uniqueCount="40">
  <si>
    <t>F1</t>
  </si>
  <si>
    <t>F2</t>
  </si>
  <si>
    <t>F3</t>
  </si>
  <si>
    <t>F4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</si>
  <si>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</si>
  <si>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</si>
  <si>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</si>
  <si>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</si>
  <si>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</si>
  <si>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</si>
  <si>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</si>
  <si>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</si>
  <si>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</si>
  <si>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</si>
  <si>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</si>
  <si>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</si>
  <si>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</si>
  <si>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</si>
  <si>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</si>
  <si>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</si>
  <si>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</si>
  <si>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</si>
  <si>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</si>
  <si>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</si>
  <si>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</si>
  <si>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</si>
  <si>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</si>
  <si>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</si>
  <si>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</si>
  <si>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</si>
  <si>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</si>
  <si>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</si>
  <si>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</si>
  <si>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</si>
  <si>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Ea</t>
  </si>
  <si>
    <t>Ee</t>
  </si>
  <si>
    <t>Wa</t>
  </si>
  <si>
    <t>P</t>
  </si>
  <si>
    <t>Ebn a1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</si>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</sst>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NumberFormat="1" applyFill="1"/>
    <xf numFmtId="164" fontId="0" fillId="0" borderId="10" xfId="0" applyNumberFormat="1" applyBorder="1"/>
    <xf numFmtId="164" fontId="0" fillId="0" borderId="0" xfId="0" applyNumberFormat="1"/>
    <xf numFmtId="164" fontId="16" fillId="0" borderId="11" xfId="0" applyNumberFormat="1" applyFont="1" applyBorder="1" applyAlignment="1">
      <alignment horizontal="left"/>
    </xf>
    <xf numFmtId="164" fontId="16" fillId="0" borderId="12" xfId="0" applyNumberFormat="1" applyFont="1" applyBorder="1" applyAlignment="1">
      <alignment horizontal="left"/>
    </xf>
    <xf numFmtId="164" fontId="16" fillId="0" borderId="13" xfId="0" applyNumberFormat="1" applyFont="1" applyBorder="1" applyAlignment="1">
      <alignment horizontal="left"/>
    </xf>
    <xf numFmtId="0" fontId="16" fillId="0" borderId="0" xfId="0" applyFont="1" applyAlignment="1">
      <alignment horizontal="left"/>
    </xf>
    <xf numFmtId="1" fontId="16" fillId="0" borderId="14" xfId="0" applyNumberFormat="1" applyFont="1" applyBorder="1" applyAlignment="1">
      <alignment horizontal="left"/>
    </xf>
    <xf numFmtId="1" fontId="16" fillId="0" borderId="15" xfId="0" applyNumberFormat="1" applyFont="1" applyBorder="1" applyAlignment="1">
      <alignment horizontal="left"/>
    </xf>
    <xf numFmtId="1" fontId="16" fillId="0" borderId="16" xfId="0" applyNumberFormat="1" applyFont="1" applyBorder="1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81"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players"/>
      <sheetName val="pos"/>
      <sheetName val="Ba"/>
      <sheetName val="Wa"/>
      <sheetName val="Ra"/>
      <sheetName val="lvl"/>
      <sheetName val="avglvl"/>
      <sheetName val="Tmin"/>
      <sheetName val="Tmax"/>
      <sheetName val="T"/>
      <sheetName val="Bt"/>
      <sheetName val="Wt"/>
      <sheetName val="Rt"/>
      <sheetName val="AvgW"/>
      <sheetName val="wn"/>
      <sheetName val="xwn"/>
      <sheetName val="teff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2" name="final" displayName="final" ref="A1:AI2" totalsRowShown="0" headerRowDxfId="380" tableBorderDxfId="379">
  <autoFilter ref="A1:AI2"/>
  <tableColumns count="35">
    <tableColumn id="1" name="DRAW" dataDxfId="378">
      <calculatedColumnFormula>[1]!results[[#This Row],[draw]]</calculatedColumnFormula>
    </tableColumn>
    <tableColumn id="35" name="F1" dataDxfId="377">
      <calculatedColumnFormula>F_1[[#This Row],[P]]</calculatedColumnFormula>
    </tableColumn>
    <tableColumn id="2" name="F2" dataDxfId="376">
      <calculatedColumnFormula>F_2[[#This Row],[P]]</calculatedColumnFormula>
    </tableColumn>
    <tableColumn id="3" name="F3" dataDxfId="375">
      <calculatedColumnFormula>F_3[[#This Row],[P]]</calculatedColumnFormula>
    </tableColumn>
    <tableColumn id="4" name="F4" dataDxfId="374">
      <calculatedColumnFormula>F_4[[#This Row],[P]]</calculatedColumnFormula>
    </tableColumn>
    <tableColumn id="5" name="Ebn a1" dataDxfId="373">
      <calculatedColumnFormula>Ebn[[#This Row],[a1]]</calculatedColumnFormula>
    </tableColumn>
    <tableColumn id="6" name="a2" dataDxfId="372">
      <calculatedColumnFormula>Ebn[[#This Row],[a2]]</calculatedColumnFormula>
    </tableColumn>
    <tableColumn id="7" name="a3" dataDxfId="371">
      <calculatedColumnFormula>Ebn[[#This Row],[a3]]</calculatedColumnFormula>
    </tableColumn>
    <tableColumn id="8" name="a4" dataDxfId="370">
      <calculatedColumnFormula>Ebn[[#This Row],[a4]]</calculatedColumnFormula>
    </tableColumn>
    <tableColumn id="9" name="a5" dataDxfId="369">
      <calculatedColumnFormula>Ebn[[#This Row],[a5]]</calculatedColumnFormula>
    </tableColumn>
    <tableColumn id="10" name="a6" dataDxfId="368">
      <calculatedColumnFormula>Ebn[[#This Row],[a6]]</calculatedColumnFormula>
    </tableColumn>
    <tableColumn id="11" name="a7" dataDxfId="367">
      <calculatedColumnFormula>Ebn[[#This Row],[a7]]</calculatedColumnFormula>
    </tableColumn>
    <tableColumn id="12" name="a8" dataDxfId="366">
      <calculatedColumnFormula>Ebn[[#This Row],[a8]]</calculatedColumnFormula>
    </tableColumn>
    <tableColumn id="13" name="a9" dataDxfId="365">
      <calculatedColumnFormula>Ebn[[#This Row],[a9]]</calculatedColumnFormula>
    </tableColumn>
    <tableColumn id="14" name="a10" dataDxfId="364">
      <calculatedColumnFormula>Ebn[[#This Row],[a10]]</calculatedColumnFormula>
    </tableColumn>
    <tableColumn id="15" name="a11" dataDxfId="363">
      <calculatedColumnFormula>Ebn[[#This Row],[a11]]</calculatedColumnFormula>
    </tableColumn>
    <tableColumn id="16" name="a12" dataDxfId="362">
      <calculatedColumnFormula>Ebn[[#This Row],[a12]]</calculatedColumnFormula>
    </tableColumn>
    <tableColumn id="17" name="a13" dataDxfId="361">
      <calculatedColumnFormula>Ebn[[#This Row],[a13]]</calculatedColumnFormula>
    </tableColumn>
    <tableColumn id="18" name="a14" dataDxfId="360">
      <calculatedColumnFormula>Ebn[[#This Row],[a14]]</calculatedColumnFormula>
    </tableColumn>
    <tableColumn id="19" name="a15" dataDxfId="359">
      <calculatedColumnFormula>Ebn[[#This Row],[a15]]</calculatedColumnFormula>
    </tableColumn>
    <tableColumn id="20" name="e1" dataDxfId="358">
      <calculatedColumnFormula>Ebn[[#This Row],[e1]]</calculatedColumnFormula>
    </tableColumn>
    <tableColumn id="21" name="e2" dataDxfId="357">
      <calculatedColumnFormula>Ebn[[#This Row],[e2]]</calculatedColumnFormula>
    </tableColumn>
    <tableColumn id="22" name="e3" dataDxfId="356">
      <calculatedColumnFormula>Ebn[[#This Row],[e3]]</calculatedColumnFormula>
    </tableColumn>
    <tableColumn id="23" name="e4" dataDxfId="355">
      <calculatedColumnFormula>Ebn[[#This Row],[e4]]</calculatedColumnFormula>
    </tableColumn>
    <tableColumn id="24" name="e5" dataDxfId="354">
      <calculatedColumnFormula>Ebn[[#This Row],[e5]]</calculatedColumnFormula>
    </tableColumn>
    <tableColumn id="25" name="e6" dataDxfId="353">
      <calculatedColumnFormula>Ebn[[#This Row],[e6]]</calculatedColumnFormula>
    </tableColumn>
    <tableColumn id="26" name="e7" dataDxfId="352">
      <calculatedColumnFormula>Ebn[[#This Row],[e7]]</calculatedColumnFormula>
    </tableColumn>
    <tableColumn id="27" name="e8" dataDxfId="351">
      <calculatedColumnFormula>Ebn[[#This Row],[e8]]</calculatedColumnFormula>
    </tableColumn>
    <tableColumn id="28" name="e9" dataDxfId="350">
      <calculatedColumnFormula>Ebn[[#This Row],[e9]]</calculatedColumnFormula>
    </tableColumn>
    <tableColumn id="29" name="e10" dataDxfId="349">
      <calculatedColumnFormula>Ebn[[#This Row],[e10]]</calculatedColumnFormula>
    </tableColumn>
    <tableColumn id="30" name="e11" dataDxfId="348">
      <calculatedColumnFormula>Ebn[[#This Row],[e11]]</calculatedColumnFormula>
    </tableColumn>
    <tableColumn id="31" name="e12" dataDxfId="347">
      <calculatedColumnFormula>Ebn[[#This Row],[e12]]</calculatedColumnFormula>
    </tableColumn>
    <tableColumn id="32" name="e13" dataDxfId="346">
      <calculatedColumnFormula>Ebn[[#This Row],[e13]]</calculatedColumnFormula>
    </tableColumn>
    <tableColumn id="33" name="e14" dataDxfId="345">
      <calculatedColumnFormula>Ebn[[#This Row],[e14]]</calculatedColumnFormula>
    </tableColumn>
    <tableColumn id="34" name="e15" dataDxfId="344">
      <calculatedColumnFormula>Ebn[[#This Row],[e15]]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Eb_2" displayName="Eb_2" ref="A1:AD2" totalsRowShown="0" headerRowDxfId="87" dataDxfId="86">
  <autoFilter ref="A1:AD2"/>
  <tableColumns count="30">
    <tableColumn id="1" name="a1" dataDxfId="85">
      <calculatedColumnFormula>IFERROR(((Ean[[#This Row],[a1]] * Kra[[#This Row],[a1]]) * (Kra[[#This Row],[a1]] + Kab[[#This Row],[a1]])) * (Kra[[#This Row],[a1]] + 0.25 * Klvl[[#This Row],[a1]]),"")</calculatedColumnFormula>
    </tableColumn>
    <tableColumn id="2" name="a2" dataDxfId="84">
      <calculatedColumnFormula>IFERROR(((Ean[[#This Row],[a2]] * Kra[[#This Row],[a2]]) * (Kra[[#This Row],[a2]] + Kab[[#This Row],[a2]])) * (Kra[[#This Row],[a2]] + 0.25 * Klvl[[#This Row],[a2]]),"")</calculatedColumnFormula>
    </tableColumn>
    <tableColumn id="3" name="a3" dataDxfId="83">
      <calculatedColumnFormula>IFERROR(((Ean[[#This Row],[a3]] * Kra[[#This Row],[a3]]) * (Kra[[#This Row],[a3]] + Kab[[#This Row],[a3]])) * (Kra[[#This Row],[a3]] + 0.25 * Klvl[[#This Row],[a3]]),"")</calculatedColumnFormula>
    </tableColumn>
    <tableColumn id="4" name="a4" dataDxfId="82">
      <calculatedColumnFormula>IFERROR(((Ean[[#This Row],[a4]] * Kra[[#This Row],[a4]]) * (Kra[[#This Row],[a4]] + Kab[[#This Row],[a4]])) * (Kra[[#This Row],[a4]] + 0.25 * Klvl[[#This Row],[a4]]),"")</calculatedColumnFormula>
    </tableColumn>
    <tableColumn id="5" name="a5" dataDxfId="81">
      <calculatedColumnFormula>IFERROR(((Ean[[#This Row],[a5]] * Kra[[#This Row],[a5]]) * (Kra[[#This Row],[a5]] + Kab[[#This Row],[a5]])) * (Kra[[#This Row],[a5]] + 0.25 * Klvl[[#This Row],[a5]]),"")</calculatedColumnFormula>
    </tableColumn>
    <tableColumn id="6" name="a6" dataDxfId="80">
      <calculatedColumnFormula>IFERROR(((Ean[[#This Row],[a6]] * Kra[[#This Row],[a6]]) * (Kra[[#This Row],[a6]] + Kab[[#This Row],[a6]])) * (Kra[[#This Row],[a6]] + 0.25 * Klvl[[#This Row],[a6]]),"")</calculatedColumnFormula>
    </tableColumn>
    <tableColumn id="7" name="a7" dataDxfId="79">
      <calculatedColumnFormula>IFERROR(((Ean[[#This Row],[a7]] * Kra[[#This Row],[a7]]) * (Kra[[#This Row],[a7]] + Kab[[#This Row],[a7]])) * (Kra[[#This Row],[a7]] + 0.25 * Klvl[[#This Row],[a7]]),"")</calculatedColumnFormula>
    </tableColumn>
    <tableColumn id="8" name="a8" dataDxfId="78">
      <calculatedColumnFormula>IFERROR(((Ean[[#This Row],[a8]] * Kra[[#This Row],[a8]]) * (Kra[[#This Row],[a8]] + Kab[[#This Row],[a8]])) * (Kra[[#This Row],[a8]] + 0.25 * Klvl[[#This Row],[a8]]),"")</calculatedColumnFormula>
    </tableColumn>
    <tableColumn id="9" name="a9" dataDxfId="77">
      <calculatedColumnFormula>IFERROR(((Ean[[#This Row],[a9]] * Kra[[#This Row],[a9]]) * (Kra[[#This Row],[a9]] + Kab[[#This Row],[a9]])) * (Kra[[#This Row],[a9]] + 0.25 * Klvl[[#This Row],[a9]]),"")</calculatedColumnFormula>
    </tableColumn>
    <tableColumn id="10" name="a10" dataDxfId="76">
      <calculatedColumnFormula>IFERROR(((Ean[[#This Row],[a10]] * Kra[[#This Row],[a10]]) * (Kra[[#This Row],[a10]] + Kab[[#This Row],[a10]])) * (Kra[[#This Row],[a10]] + 0.25 * Klvl[[#This Row],[a10]]),"")</calculatedColumnFormula>
    </tableColumn>
    <tableColumn id="11" name="a11" dataDxfId="75">
      <calculatedColumnFormula>IFERROR(((Ean[[#This Row],[a11]] * Kra[[#This Row],[a11]]) * (Kra[[#This Row],[a11]] + Kab[[#This Row],[a11]])) * (Kra[[#This Row],[a11]] + 0.25 * Klvl[[#This Row],[a11]]),"")</calculatedColumnFormula>
    </tableColumn>
    <tableColumn id="12" name="a12" dataDxfId="74">
      <calculatedColumnFormula>IFERROR(((Ean[[#This Row],[a12]] * Kra[[#This Row],[a12]]) * (Kra[[#This Row],[a12]] + Kab[[#This Row],[a12]])) * (Kra[[#This Row],[a12]] + 0.25 * Klvl[[#This Row],[a12]]),"")</calculatedColumnFormula>
    </tableColumn>
    <tableColumn id="13" name="a13" dataDxfId="73">
      <calculatedColumnFormula>IFERROR(((Ean[[#This Row],[a13]] * Kra[[#This Row],[a13]]) * (Kra[[#This Row],[a13]] + Kab[[#This Row],[a13]])) * (Kra[[#This Row],[a13]] + 0.25 * Klvl[[#This Row],[a13]]),"")</calculatedColumnFormula>
    </tableColumn>
    <tableColumn id="14" name="a14" dataDxfId="72">
      <calculatedColumnFormula>IFERROR(((Ean[[#This Row],[a14]] * Kra[[#This Row],[a14]]) * (Kra[[#This Row],[a14]] + Kab[[#This Row],[a14]])) * (Kra[[#This Row],[a14]] + 0.25 * Klvl[[#This Row],[a14]]),"")</calculatedColumnFormula>
    </tableColumn>
    <tableColumn id="15" name="a15" dataDxfId="71">
      <calculatedColumnFormula>IFERROR(((Ean[[#This Row],[a15]] * Kra[[#This Row],[a15]]) * (Kra[[#This Row],[a15]] + Kab[[#This Row],[a15]])) * (Kra[[#This Row],[a15]] + 0.25 * Klvl[[#This Row],[a15]]),"")</calculatedColumnFormula>
    </tableColumn>
    <tableColumn id="17" name="e1" dataDxfId="70">
      <calculatedColumnFormula>IFERROR(((Ean[[#This Row],[e1]] * Kra[[#This Row],[e1]]) * (Kra[[#This Row],[e1]] + Kab[[#This Row],[e1]])) * (Kra[[#This Row],[e1]] + 0.25 * Klvl[[#This Row],[e1]]),"")</calculatedColumnFormula>
    </tableColumn>
    <tableColumn id="18" name="e2" dataDxfId="69">
      <calculatedColumnFormula>IFERROR(((Ean[[#This Row],[e2]] * Kra[[#This Row],[e2]]) * (Kra[[#This Row],[e2]] + Kab[[#This Row],[e2]])) * (Kra[[#This Row],[e2]] + 0.25 * Klvl[[#This Row],[e2]]),"")</calculatedColumnFormula>
    </tableColumn>
    <tableColumn id="19" name="e3" dataDxfId="68">
      <calculatedColumnFormula>IFERROR(((Ean[[#This Row],[e3]] * Kra[[#This Row],[e3]]) * (Kra[[#This Row],[e3]] + Kab[[#This Row],[e3]])) * (Kra[[#This Row],[e3]] + 0.25 * Klvl[[#This Row],[e3]]),"")</calculatedColumnFormula>
    </tableColumn>
    <tableColumn id="20" name="e4" dataDxfId="67">
      <calculatedColumnFormula>IFERROR(((Ean[[#This Row],[e4]] * Kra[[#This Row],[e4]]) * (Kra[[#This Row],[e4]] + Kab[[#This Row],[e4]])) * (Kra[[#This Row],[e4]] + 0.25 * Klvl[[#This Row],[e4]]),"")</calculatedColumnFormula>
    </tableColumn>
    <tableColumn id="21" name="e5" dataDxfId="66">
      <calculatedColumnFormula>IFERROR(((Ean[[#This Row],[e5]] * Kra[[#This Row],[e5]]) * (Kra[[#This Row],[e5]] + Kab[[#This Row],[e5]])) * (Kra[[#This Row],[e5]] + 0.25 * Klvl[[#This Row],[e5]]),"")</calculatedColumnFormula>
    </tableColumn>
    <tableColumn id="22" name="e6" dataDxfId="65">
      <calculatedColumnFormula>IFERROR(((Ean[[#This Row],[e6]] * Kra[[#This Row],[e6]]) * (Kra[[#This Row],[e6]] + Kab[[#This Row],[e6]])) * (Kra[[#This Row],[e6]] + 0.25 * Klvl[[#This Row],[e6]]),"")</calculatedColumnFormula>
    </tableColumn>
    <tableColumn id="23" name="e7" dataDxfId="64">
      <calculatedColumnFormula>IFERROR(((Ean[[#This Row],[e7]] * Kra[[#This Row],[e7]]) * (Kra[[#This Row],[e7]] + Kab[[#This Row],[e7]])) * (Kra[[#This Row],[e7]] + 0.25 * Klvl[[#This Row],[e7]]),"")</calculatedColumnFormula>
    </tableColumn>
    <tableColumn id="24" name="e8" dataDxfId="63">
      <calculatedColumnFormula>IFERROR(((Ean[[#This Row],[e8]] * Kra[[#This Row],[e8]]) * (Kra[[#This Row],[e8]] + Kab[[#This Row],[e8]])) * (Kra[[#This Row],[e8]] + 0.25 * Klvl[[#This Row],[e8]]),"")</calculatedColumnFormula>
    </tableColumn>
    <tableColumn id="25" name="e9" dataDxfId="62">
      <calculatedColumnFormula>IFERROR(((Ean[[#This Row],[e9]] * Kra[[#This Row],[e9]]) * (Kra[[#This Row],[e9]] + Kab[[#This Row],[e9]])) * (Kra[[#This Row],[e9]] + 0.25 * Klvl[[#This Row],[e9]]),"")</calculatedColumnFormula>
    </tableColumn>
    <tableColumn id="26" name="e10" dataDxfId="61">
      <calculatedColumnFormula>IFERROR(((Ean[[#This Row],[e10]] * Kra[[#This Row],[e10]]) * (Kra[[#This Row],[e10]] + Kab[[#This Row],[e10]])) * (Kra[[#This Row],[e10]] + 0.25 * Klvl[[#This Row],[e10]]),"")</calculatedColumnFormula>
    </tableColumn>
    <tableColumn id="27" name="e11" dataDxfId="60">
      <calculatedColumnFormula>IFERROR(((Ean[[#This Row],[e11]] * Kra[[#This Row],[e11]]) * (Kra[[#This Row],[e11]] + Kab[[#This Row],[e11]])) * (Kra[[#This Row],[e11]] + 0.25 * Klvl[[#This Row],[e11]]),"")</calculatedColumnFormula>
    </tableColumn>
    <tableColumn id="28" name="e12" dataDxfId="59">
      <calculatedColumnFormula>IFERROR(((Ean[[#This Row],[e12]] * Kra[[#This Row],[e12]]) * (Kra[[#This Row],[e12]] + Kab[[#This Row],[e12]])) * (Kra[[#This Row],[e12]] + 0.25 * Klvl[[#This Row],[e12]]),"")</calculatedColumnFormula>
    </tableColumn>
    <tableColumn id="29" name="e13" dataDxfId="58">
      <calculatedColumnFormula>IFERROR(((Ean[[#This Row],[e13]] * Kra[[#This Row],[e13]]) * (Kra[[#This Row],[e13]] + Kab[[#This Row],[e13]])) * (Kra[[#This Row],[e13]] + 0.25 * Klvl[[#This Row],[e13]]),"")</calculatedColumnFormula>
    </tableColumn>
    <tableColumn id="30" name="e14" dataDxfId="57">
      <calculatedColumnFormula>IFERROR(((Ean[[#This Row],[e14]] * Kra[[#This Row],[e14]]) * (Kra[[#This Row],[e14]] + Kab[[#This Row],[e14]])) * (Kra[[#This Row],[e14]] + 0.25 * Klvl[[#This Row],[e14]]),"")</calculatedColumnFormula>
    </tableColumn>
    <tableColumn id="31" name="e15" dataDxfId="56">
      <calculatedColumnFormula>IFERROR(((Ean[[#This Row],[e15]] * Kra[[#This Row],[e15]]) * (Kra[[#This Row],[e15]] + Kab[[#This Row],[e15]])) * (Kra[[#This Row],[e15]] + 0.25 * Klvl[[#This Row],[e15]]),"")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Ebn_2" displayName="Ebn_2" ref="A1:AD2" totalsRowShown="0" headerRowDxfId="55" dataDxfId="54">
  <autoFilter ref="A1:AD2"/>
  <tableColumns count="30">
    <tableColumn id="1" name="a1" dataDxfId="53">
      <calculatedColumnFormula>IFERROR(IF(Eb_2[[#This Row],[a1]]="","",MIN(300,Eb_2[[#This Row],[a1]])),"")</calculatedColumnFormula>
    </tableColumn>
    <tableColumn id="2" name="a2" dataDxfId="52">
      <calculatedColumnFormula>IFERROR(IF(Eb_2[[#This Row],[a2]]="","",MIN(300,Eb_2[[#This Row],[a2]])),"")</calculatedColumnFormula>
    </tableColumn>
    <tableColumn id="3" name="a3" dataDxfId="51">
      <calculatedColumnFormula>IFERROR(IF(Eb_2[[#This Row],[a3]]="","",MIN(300,Eb_2[[#This Row],[a3]])),"")</calculatedColumnFormula>
    </tableColumn>
    <tableColumn id="4" name="a4" dataDxfId="50">
      <calculatedColumnFormula>IFERROR(IF(Eb_2[[#This Row],[a4]]="","",MIN(300,Eb_2[[#This Row],[a4]])),"")</calculatedColumnFormula>
    </tableColumn>
    <tableColumn id="5" name="a5" dataDxfId="49">
      <calculatedColumnFormula>IFERROR(IF(Eb_2[[#This Row],[a5]]="","",MIN(300,Eb_2[[#This Row],[a5]])),"")</calculatedColumnFormula>
    </tableColumn>
    <tableColumn id="6" name="a6" dataDxfId="48">
      <calculatedColumnFormula>IFERROR(IF(Eb_2[[#This Row],[a6]]="","",MIN(300,Eb_2[[#This Row],[a6]])),"")</calculatedColumnFormula>
    </tableColumn>
    <tableColumn id="7" name="a7" dataDxfId="47">
      <calculatedColumnFormula>IFERROR(IF(Eb_2[[#This Row],[a7]]="","",MIN(300,Eb_2[[#This Row],[a7]])),"")</calculatedColumnFormula>
    </tableColumn>
    <tableColumn id="8" name="a8" dataDxfId="46">
      <calculatedColumnFormula>IFERROR(IF(Eb_2[[#This Row],[a8]]="","",MIN(300,Eb_2[[#This Row],[a8]])),"")</calculatedColumnFormula>
    </tableColumn>
    <tableColumn id="9" name="a9" dataDxfId="45">
      <calculatedColumnFormula>IFERROR(IF(Eb_2[[#This Row],[a9]]="","",MIN(300,Eb_2[[#This Row],[a9]])),"")</calculatedColumnFormula>
    </tableColumn>
    <tableColumn id="10" name="a10" dataDxfId="44">
      <calculatedColumnFormula>IFERROR(IF(Eb_2[[#This Row],[a10]]="","",MIN(300,Eb_2[[#This Row],[a10]])),"")</calculatedColumnFormula>
    </tableColumn>
    <tableColumn id="11" name="a11" dataDxfId="43">
      <calculatedColumnFormula>IFERROR(IF(Eb_2[[#This Row],[a11]]="","",MIN(300,Eb_2[[#This Row],[a11]])),"")</calculatedColumnFormula>
    </tableColumn>
    <tableColumn id="12" name="a12" dataDxfId="42">
      <calculatedColumnFormula>IFERROR(IF(Eb_2[[#This Row],[a12]]="","",MIN(300,Eb_2[[#This Row],[a12]])),"")</calculatedColumnFormula>
    </tableColumn>
    <tableColumn id="13" name="a13" dataDxfId="41">
      <calculatedColumnFormula>IFERROR(IF(Eb_2[[#This Row],[a13]]="","",MIN(300,Eb_2[[#This Row],[a13]])),"")</calculatedColumnFormula>
    </tableColumn>
    <tableColumn id="14" name="a14" dataDxfId="40">
      <calculatedColumnFormula>IFERROR(IF(Eb_2[[#This Row],[a14]]="","",MIN(300,Eb_2[[#This Row],[a14]])),"")</calculatedColumnFormula>
    </tableColumn>
    <tableColumn id="15" name="a15" dataDxfId="39">
      <calculatedColumnFormula>IFERROR(IF(Eb_2[[#This Row],[a15]]="","",MIN(300,Eb_2[[#This Row],[a15]])),"")</calculatedColumnFormula>
    </tableColumn>
    <tableColumn id="17" name="e1" dataDxfId="38">
      <calculatedColumnFormula>IFERROR(IF(Eb_2[[#This Row],[e1]]="","",MIN(300,Eb_2[[#This Row],[e1]])),"")</calculatedColumnFormula>
    </tableColumn>
    <tableColumn id="18" name="e2" dataDxfId="37">
      <calculatedColumnFormula>IFERROR(IF(Eb_2[[#This Row],[e2]]="","",MIN(300,Eb_2[[#This Row],[e2]])),"")</calculatedColumnFormula>
    </tableColumn>
    <tableColumn id="19" name="e3" dataDxfId="36">
      <calculatedColumnFormula>IFERROR(IF(Eb_2[[#This Row],[e3]]="","",MIN(300,Eb_2[[#This Row],[e3]])),"")</calculatedColumnFormula>
    </tableColumn>
    <tableColumn id="20" name="e4" dataDxfId="35">
      <calculatedColumnFormula>IFERROR(IF(Eb_2[[#This Row],[e4]]="","",MIN(300,Eb_2[[#This Row],[e4]])),"")</calculatedColumnFormula>
    </tableColumn>
    <tableColumn id="21" name="e5" dataDxfId="34">
      <calculatedColumnFormula>IFERROR(IF(Eb_2[[#This Row],[e5]]="","",MIN(300,Eb_2[[#This Row],[e5]])),"")</calculatedColumnFormula>
    </tableColumn>
    <tableColumn id="22" name="e6" dataDxfId="33">
      <calculatedColumnFormula>IFERROR(IF(Eb_2[[#This Row],[e6]]="","",MIN(300,Eb_2[[#This Row],[e6]])),"")</calculatedColumnFormula>
    </tableColumn>
    <tableColumn id="23" name="e7" dataDxfId="32">
      <calculatedColumnFormula>IFERROR(IF(Eb_2[[#This Row],[e7]]="","",MIN(300,Eb_2[[#This Row],[e7]])),"")</calculatedColumnFormula>
    </tableColumn>
    <tableColumn id="24" name="e8" dataDxfId="31">
      <calculatedColumnFormula>IFERROR(IF(Eb_2[[#This Row],[e8]]="","",MIN(300,Eb_2[[#This Row],[e8]])),"")</calculatedColumnFormula>
    </tableColumn>
    <tableColumn id="25" name="e9" dataDxfId="30">
      <calculatedColumnFormula>IFERROR(IF(Eb_2[[#This Row],[e9]]="","",MIN(300,Eb_2[[#This Row],[e9]])),"")</calculatedColumnFormula>
    </tableColumn>
    <tableColumn id="26" name="e10" dataDxfId="29">
      <calculatedColumnFormula>IFERROR(IF(Eb_2[[#This Row],[e10]]="","",MIN(300,Eb_2[[#This Row],[e10]])),"")</calculatedColumnFormula>
    </tableColumn>
    <tableColumn id="27" name="e11" dataDxfId="28">
      <calculatedColumnFormula>IFERROR(IF(Eb_2[[#This Row],[e11]]="","",MIN(300,Eb_2[[#This Row],[e11]])),"")</calculatedColumnFormula>
    </tableColumn>
    <tableColumn id="28" name="e12" dataDxfId="27">
      <calculatedColumnFormula>IFERROR(IF(Eb_2[[#This Row],[e12]]="","",MIN(300,Eb_2[[#This Row],[e12]])),"")</calculatedColumnFormula>
    </tableColumn>
    <tableColumn id="29" name="e13" dataDxfId="26">
      <calculatedColumnFormula>IFERROR(IF(Eb_2[[#This Row],[e13]]="","",MIN(300,Eb_2[[#This Row],[e13]])),"")</calculatedColumnFormula>
    </tableColumn>
    <tableColumn id="30" name="e14" dataDxfId="25">
      <calculatedColumnFormula>IFERROR(IF(Eb_2[[#This Row],[e14]]="","",MIN(300,Eb_2[[#This Row],[e14]])),"")</calculatedColumnFormula>
    </tableColumn>
    <tableColumn id="31" name="e15" dataDxfId="24">
      <calculatedColumnFormula>IFERROR(IF(Eb_2[[#This Row],[e15]]="","",MIN(300,Eb_2[[#This Row],[e15]])),"")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F_1" displayName="F_1" ref="A1:D2" totalsRowShown="0" headerRowDxfId="23" dataDxfId="22">
  <autoFilter ref="A1:D2"/>
  <tableColumns count="4">
    <tableColumn id="1" name="Ea" dataDxfId="21">
      <calculatedColumnFormula>SUM(Ebn[[#This Row],[a1]:[a15]])</calculatedColumnFormula>
    </tableColumn>
    <tableColumn id="2" name="Ee" dataDxfId="20">
      <calculatedColumnFormula>SUM(Ebn[[#This Row],[e1]:[e15]])</calculatedColumnFormula>
    </tableColumn>
    <tableColumn id="3" name="Wa" dataDxfId="19">
      <calculatedColumnFormula>IFERROR(ROUND((0.5 + (F_1[[#This Row],[Ea]] / (F_1[[#This Row],[Ea]] + F_1[[#This Row],[Ee]]) - 0.5) * 1.5) * 100,1),"")</calculatedColumnFormula>
    </tableColumn>
    <tableColumn id="5" name="P" dataDxfId="18">
      <calculatedColumnFormula>IF(F_1[[#This Row],[Wa]]="","",MAX(5,MIN(95,F_1[[#This Row],[Wa]])))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F_2" displayName="F_2" ref="A1:D2" totalsRowShown="0" headerRowDxfId="17" dataDxfId="16">
  <autoFilter ref="A1:D2"/>
  <tableColumns count="4">
    <tableColumn id="1" name="Ea" dataDxfId="15">
      <calculatedColumnFormula>SUM(Ebn_2[[#This Row],[a1]:[a15]])</calculatedColumnFormula>
    </tableColumn>
    <tableColumn id="2" name="Ee" dataDxfId="14">
      <calculatedColumnFormula>SUM(Ebn_2[[#This Row],[e1]:[e15]])</calculatedColumnFormula>
    </tableColumn>
    <tableColumn id="3" name="Wa" dataDxfId="13">
      <calculatedColumnFormula>IFERROR(ROUND((0.5 + (F_2[[#This Row],[Ea]] / (F_2[[#This Row],[Ea]] + F_2[[#This Row],[Ee]]) - 0.5) * 1.5) * 100,1),"")</calculatedColumnFormula>
    </tableColumn>
    <tableColumn id="5" name="P" dataDxfId="12">
      <calculatedColumnFormula>IF(F_2[[#This Row],[Wa]]="","",MAX(5,MIN(95,F_2[[#This Row],[Wa]])))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9" name="F_3" displayName="F_3" ref="A1:D2" totalsRowShown="0" headerRowDxfId="11" dataDxfId="10">
  <autoFilter ref="A1:D2"/>
  <tableColumns count="4">
    <tableColumn id="1" name="Ea" dataDxfId="9">
      <calculatedColumnFormula>SUM(Ebn[[#This Row],[a1]:[a15]])</calculatedColumnFormula>
    </tableColumn>
    <tableColumn id="2" name="Ee" dataDxfId="8">
      <calculatedColumnFormula>SUM(Ebn[[#This Row],[e1]:[e15]])</calculatedColumnFormula>
    </tableColumn>
    <tableColumn id="3" name="Wa" dataDxfId="7">
      <calculatedColumnFormula>IFERROR(ROUND((0.5 + (F_3[[#This Row],[Ea]] / (F_3[[#This Row],[Ea]] + F_3[[#This Row],[Ee]]) - 0.5) * 1.5) * 100,1),"")</calculatedColumnFormula>
    </tableColumn>
    <tableColumn id="5" name="P" dataDxfId="6">
      <calculatedColumnFormula>IF(F_3[[#This Row],[Wa]]="","",MAX(5,MIN(95,F_3[[#This Row],[Wa]])))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F_4" displayName="F_4" ref="A1:D2" totalsRowShown="0" headerRowDxfId="5" dataDxfId="4">
  <autoFilter ref="A1:D2"/>
  <tableColumns count="4">
    <tableColumn id="1" name="Ea" dataDxfId="3">
      <calculatedColumnFormula>SUM(Ebn_2[[#This Row],[a1]:[a15]])</calculatedColumnFormula>
    </tableColumn>
    <tableColumn id="2" name="Ee" dataDxfId="2">
      <calculatedColumnFormula>SUM(Ebn_2[[#This Row],[e1]:[e15]])</calculatedColumnFormula>
    </tableColumn>
    <tableColumn id="3" name="Wa" dataDxfId="1">
      <calculatedColumnFormula>IFERROR(ROUND((0.5 + (F_4[[#This Row],[Ea]] / (F_4[[#This Row],[Ea]] + F_4[[#This Row],[Ee]]) - 0.5) * 1.5) * 100,1),"")</calculatedColumnFormula>
    </tableColumn>
    <tableColumn id="5" name="P" dataDxfId="0">
      <calculatedColumnFormula>IF(F_4[[#This Row],[Wa]]="","",MAX(5,MIN(95,F_4[[#This Row],[Wa]])))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Klvl" displayName="Klvl" ref="A1:AD2" totalsRowShown="0" headerRowDxfId="343" dataDxfId="342">
  <autoFilter ref="A1:AD2"/>
  <tableColumns count="30">
    <tableColumn id="1" name="a1" dataDxfId="341">
      <calculatedColumnFormula>IFERROR(([1]!Tmin[[#This Row],[a1]] + [1]!Tmax[[#This Row],[a1]])/2 - [1]!T[#This Row],"")</calculatedColumnFormula>
    </tableColumn>
    <tableColumn id="2" name="a2" dataDxfId="340">
      <calculatedColumnFormula>IFERROR(([1]!Tmin[[#This Row],[a2]] + [1]!Tmax[[#This Row],[a2]])/2 - [1]!T[#This Row],"")</calculatedColumnFormula>
    </tableColumn>
    <tableColumn id="3" name="a3" dataDxfId="339">
      <calculatedColumnFormula>IFERROR(([1]!Tmin[[#This Row],[a3]] + [1]!Tmax[[#This Row],[a3]])/2 - [1]!T[#This Row],"")</calculatedColumnFormula>
    </tableColumn>
    <tableColumn id="4" name="a4" dataDxfId="338">
      <calculatedColumnFormula>IFERROR(([1]!Tmin[[#This Row],[a4]] + [1]!Tmax[[#This Row],[a4]])/2 - [1]!T[#This Row],"")</calculatedColumnFormula>
    </tableColumn>
    <tableColumn id="5" name="a5" dataDxfId="337">
      <calculatedColumnFormula>IFERROR(([1]!Tmin[[#This Row],[a5]] + [1]!Tmax[[#This Row],[a5]])/2 - [1]!T[#This Row],"")</calculatedColumnFormula>
    </tableColumn>
    <tableColumn id="6" name="a6" dataDxfId="336">
      <calculatedColumnFormula>IFERROR(([1]!Tmin[[#This Row],[a6]] + [1]!Tmax[[#This Row],[a6]])/2 - [1]!T[#This Row],"")</calculatedColumnFormula>
    </tableColumn>
    <tableColumn id="7" name="a7" dataDxfId="335">
      <calculatedColumnFormula>IFERROR(([1]!Tmin[[#This Row],[a7]] + [1]!Tmax[[#This Row],[a7]])/2 - [1]!T[#This Row],"")</calculatedColumnFormula>
    </tableColumn>
    <tableColumn id="8" name="a8" dataDxfId="334">
      <calculatedColumnFormula>IFERROR(([1]!Tmin[[#This Row],[a8]] + [1]!Tmax[[#This Row],[a8]])/2 - [1]!T[#This Row],"")</calculatedColumnFormula>
    </tableColumn>
    <tableColumn id="9" name="a9" dataDxfId="333">
      <calculatedColumnFormula>IFERROR(([1]!Tmin[[#This Row],[a9]] + [1]!Tmax[[#This Row],[a9]])/2 - [1]!T[#This Row],"")</calculatedColumnFormula>
    </tableColumn>
    <tableColumn id="10" name="a10" dataDxfId="332">
      <calculatedColumnFormula>IFERROR(([1]!Tmin[[#This Row],[a10]] + [1]!Tmax[[#This Row],[a10]])/2 - [1]!T[#This Row],"")</calculatedColumnFormula>
    </tableColumn>
    <tableColumn id="11" name="a11" dataDxfId="331">
      <calculatedColumnFormula>IFERROR(([1]!Tmin[[#This Row],[a11]] + [1]!Tmax[[#This Row],[a11]])/2 - [1]!T[#This Row],"")</calculatedColumnFormula>
    </tableColumn>
    <tableColumn id="12" name="a12" dataDxfId="330">
      <calculatedColumnFormula>IFERROR(([1]!Tmin[[#This Row],[a12]] + [1]!Tmax[[#This Row],[a12]])/2 - [1]!T[#This Row],"")</calculatedColumnFormula>
    </tableColumn>
    <tableColumn id="13" name="a13" dataDxfId="329">
      <calculatedColumnFormula>IFERROR(([1]!Tmin[[#This Row],[a13]] + [1]!Tmax[[#This Row],[a13]])/2 - [1]!T[#This Row],"")</calculatedColumnFormula>
    </tableColumn>
    <tableColumn id="14" name="a14" dataDxfId="328">
      <calculatedColumnFormula>IFERROR(([1]!Tmin[[#This Row],[a14]] + [1]!Tmax[[#This Row],[a14]])/2 - [1]!T[#This Row],"")</calculatedColumnFormula>
    </tableColumn>
    <tableColumn id="15" name="a15" dataDxfId="327">
      <calculatedColumnFormula>IFERROR(([1]!Tmin[[#This Row],[a15]] + [1]!Tmax[[#This Row],[a15]])/2 - [1]!T[#This Row],"")</calculatedColumnFormula>
    </tableColumn>
    <tableColumn id="17" name="e1" dataDxfId="326">
      <calculatedColumnFormula>IFERROR(([1]!Tmin[[#This Row],[e1]] + [1]!Tmax[[#This Row],[e1]])/2 - [1]!T[#This Row],"")</calculatedColumnFormula>
    </tableColumn>
    <tableColumn id="18" name="e2" dataDxfId="325">
      <calculatedColumnFormula>IFERROR(([1]!Tmin[[#This Row],[e2]] + [1]!Tmax[[#This Row],[e2]])/2 - [1]!T[#This Row],"")</calculatedColumnFormula>
    </tableColumn>
    <tableColumn id="19" name="e3" dataDxfId="324">
      <calculatedColumnFormula>IFERROR(([1]!Tmin[[#This Row],[e3]] + [1]!Tmax[[#This Row],[e3]])/2 - [1]!T[#This Row],"")</calculatedColumnFormula>
    </tableColumn>
    <tableColumn id="20" name="e4" dataDxfId="323">
      <calculatedColumnFormula>IFERROR(([1]!Tmin[[#This Row],[e4]] + [1]!Tmax[[#This Row],[e4]])/2 - [1]!T[#This Row],"")</calculatedColumnFormula>
    </tableColumn>
    <tableColumn id="21" name="e5" dataDxfId="322">
      <calculatedColumnFormula>IFERROR(([1]!Tmin[[#This Row],[e5]] + [1]!Tmax[[#This Row],[e5]])/2 - [1]!T[#This Row],"")</calculatedColumnFormula>
    </tableColumn>
    <tableColumn id="22" name="e6" dataDxfId="321">
      <calculatedColumnFormula>IFERROR(([1]!Tmin[[#This Row],[e6]] + [1]!Tmax[[#This Row],[e6]])/2 - [1]!T[#This Row],"")</calculatedColumnFormula>
    </tableColumn>
    <tableColumn id="23" name="e7" dataDxfId="320">
      <calculatedColumnFormula>IFERROR(([1]!Tmin[[#This Row],[e7]] + [1]!Tmax[[#This Row],[e7]])/2 - [1]!T[#This Row],"")</calculatedColumnFormula>
    </tableColumn>
    <tableColumn id="24" name="e8" dataDxfId="319">
      <calculatedColumnFormula>IFERROR(([1]!Tmin[[#This Row],[e8]] + [1]!Tmax[[#This Row],[e8]])/2 - [1]!T[#This Row],"")</calculatedColumnFormula>
    </tableColumn>
    <tableColumn id="25" name="e9" dataDxfId="318">
      <calculatedColumnFormula>IFERROR(([1]!Tmin[[#This Row],[e9]] + [1]!Tmax[[#This Row],[e9]])/2 - [1]!T[#This Row],"")</calculatedColumnFormula>
    </tableColumn>
    <tableColumn id="26" name="e10" dataDxfId="317">
      <calculatedColumnFormula>IFERROR(([1]!Tmin[[#This Row],[e10]] + [1]!Tmax[[#This Row],[e10]])/2 - [1]!T[#This Row],"")</calculatedColumnFormula>
    </tableColumn>
    <tableColumn id="27" name="e11" dataDxfId="316">
      <calculatedColumnFormula>IFERROR(([1]!Tmin[[#This Row],[e11]] + [1]!Tmax[[#This Row],[e11]])/2 - [1]!T[#This Row],"")</calculatedColumnFormula>
    </tableColumn>
    <tableColumn id="28" name="e12" dataDxfId="315">
      <calculatedColumnFormula>IFERROR(([1]!Tmin[[#This Row],[e12]] + [1]!Tmax[[#This Row],[e12]])/2 - [1]!T[#This Row],"")</calculatedColumnFormula>
    </tableColumn>
    <tableColumn id="29" name="e13" dataDxfId="314">
      <calculatedColumnFormula>IFERROR(([1]!Tmin[[#This Row],[e13]] + [1]!Tmax[[#This Row],[e13]])/2 - [1]!T[#This Row],"")</calculatedColumnFormula>
    </tableColumn>
    <tableColumn id="30" name="e14" dataDxfId="313">
      <calculatedColumnFormula>IFERROR(([1]!Tmin[[#This Row],[e14]] + [1]!Tmax[[#This Row],[e14]])/2 - [1]!T[#This Row],"")</calculatedColumnFormula>
    </tableColumn>
    <tableColumn id="31" name="e15" dataDxfId="312">
      <calculatedColumnFormula>IFERROR(([1]!Tmin[[#This Row],[e15]] + [1]!Tmax[[#This Row],[e15]])/2 - [1]!T[#This Row],"")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Ktb" displayName="Ktb" ref="A1:AD2" totalsRowShown="0" headerRowDxfId="311" dataDxfId="310">
  <autoFilter ref="A1:AD2"/>
  <tableColumns count="30">
    <tableColumn id="1" name="a1" dataDxfId="309">
      <calculatedColumnFormula>IFERROR(IF([1]!Bt[[#This Row],[a1]]&lt;=50,0,
IF([1]!Bt[[#This Row],[a1]]&lt;=500,([1]!Bt[[#This Row],[a1]]-50)/1000,
IF([1]!Bt[[#This Row],[a1]]&lt;=1000,0.45+([1]!Bt[[#This Row],[a1]]-500)/2000,
IF([1]!Bt[[#This Row],[a1]]&lt;=2000,0.7+([1]!Bt[[#This Row],[a1]]-1000)/4000,
0.95+([1]!Bt[[#This Row],[a1]]-2000)/8000)))),"")</calculatedColumnFormula>
    </tableColumn>
    <tableColumn id="2" name="a2" dataDxfId="308">
      <calculatedColumnFormula>IFERROR(IF([1]!Bt[[#This Row],[a2]]&lt;=50,0,
IF([1]!Bt[[#This Row],[a2]]&lt;=500,([1]!Bt[[#This Row],[a2]]-50)/1000,
IF([1]!Bt[[#This Row],[a2]]&lt;=1000,0.45+([1]!Bt[[#This Row],[a2]]-500)/2000,
IF([1]!Bt[[#This Row],[a2]]&lt;=2000,0.7+([1]!Bt[[#This Row],[a2]]-1000)/4000,
0.95+([1]!Bt[[#This Row],[a2]]-2000)/8000)))),"")</calculatedColumnFormula>
    </tableColumn>
    <tableColumn id="3" name="a3" dataDxfId="307">
      <calculatedColumnFormula>IFERROR(IF([1]!Bt[[#This Row],[a3]]&lt;=50,0,
IF([1]!Bt[[#This Row],[a3]]&lt;=500,([1]!Bt[[#This Row],[a3]]-50)/1000,
IF([1]!Bt[[#This Row],[a3]]&lt;=1000,0.45+([1]!Bt[[#This Row],[a3]]-500)/2000,
IF([1]!Bt[[#This Row],[a3]]&lt;=2000,0.7+([1]!Bt[[#This Row],[a3]]-1000)/4000,
0.95+([1]!Bt[[#This Row],[a3]]-2000)/8000)))),"")</calculatedColumnFormula>
    </tableColumn>
    <tableColumn id="4" name="a4" dataDxfId="306">
      <calculatedColumnFormula>IFERROR(IF([1]!Bt[[#This Row],[a4]]&lt;=50,0,
IF([1]!Bt[[#This Row],[a4]]&lt;=500,([1]!Bt[[#This Row],[a4]]-50)/1000,
IF([1]!Bt[[#This Row],[a4]]&lt;=1000,0.45+([1]!Bt[[#This Row],[a4]]-500)/2000,
IF([1]!Bt[[#This Row],[a4]]&lt;=2000,0.7+([1]!Bt[[#This Row],[a4]]-1000)/4000,
0.95+([1]!Bt[[#This Row],[a4]]-2000)/8000)))),"")</calculatedColumnFormula>
    </tableColumn>
    <tableColumn id="5" name="a5" dataDxfId="305">
      <calculatedColumnFormula>IFERROR(IF([1]!Bt[[#This Row],[a5]]&lt;=50,0,
IF([1]!Bt[[#This Row],[a5]]&lt;=500,([1]!Bt[[#This Row],[a5]]-50)/1000,
IF([1]!Bt[[#This Row],[a5]]&lt;=1000,0.45+([1]!Bt[[#This Row],[a5]]-500)/2000,
IF([1]!Bt[[#This Row],[a5]]&lt;=2000,0.7+([1]!Bt[[#This Row],[a5]]-1000)/4000,
0.95+([1]!Bt[[#This Row],[a5]]-2000)/8000)))),"")</calculatedColumnFormula>
    </tableColumn>
    <tableColumn id="6" name="a6" dataDxfId="304">
      <calculatedColumnFormula>IFERROR(IF([1]!Bt[[#This Row],[a6]]&lt;=50,0,
IF([1]!Bt[[#This Row],[a6]]&lt;=500,([1]!Bt[[#This Row],[a6]]-50)/1000,
IF([1]!Bt[[#This Row],[a6]]&lt;=1000,0.45+([1]!Bt[[#This Row],[a6]]-500)/2000,
IF([1]!Bt[[#This Row],[a6]]&lt;=2000,0.7+([1]!Bt[[#This Row],[a6]]-1000)/4000,
0.95+([1]!Bt[[#This Row],[a6]]-2000)/8000)))),"")</calculatedColumnFormula>
    </tableColumn>
    <tableColumn id="7" name="a7" dataDxfId="303">
      <calculatedColumnFormula>IFERROR(IF([1]!Bt[[#This Row],[a7]]&lt;=50,0,
IF([1]!Bt[[#This Row],[a7]]&lt;=500,([1]!Bt[[#This Row],[a7]]-50)/1000,
IF([1]!Bt[[#This Row],[a7]]&lt;=1000,0.45+([1]!Bt[[#This Row],[a7]]-500)/2000,
IF([1]!Bt[[#This Row],[a7]]&lt;=2000,0.7+([1]!Bt[[#This Row],[a7]]-1000)/4000,
0.95+([1]!Bt[[#This Row],[a7]]-2000)/8000)))),"")</calculatedColumnFormula>
    </tableColumn>
    <tableColumn id="8" name="a8" dataDxfId="302">
      <calculatedColumnFormula>IFERROR(IF([1]!Bt[[#This Row],[a8]]&lt;=50,0,
IF([1]!Bt[[#This Row],[a8]]&lt;=500,([1]!Bt[[#This Row],[a8]]-50)/1000,
IF([1]!Bt[[#This Row],[a8]]&lt;=1000,0.45+([1]!Bt[[#This Row],[a8]]-500)/2000,
IF([1]!Bt[[#This Row],[a8]]&lt;=2000,0.7+([1]!Bt[[#This Row],[a8]]-1000)/4000,
0.95+([1]!Bt[[#This Row],[a8]]-2000)/8000)))),"")</calculatedColumnFormula>
    </tableColumn>
    <tableColumn id="9" name="a9" dataDxfId="301">
      <calculatedColumnFormula>IFERROR(IF([1]!Bt[[#This Row],[a9]]&lt;=50,0,
IF([1]!Bt[[#This Row],[a9]]&lt;=500,([1]!Bt[[#This Row],[a9]]-50)/1000,
IF([1]!Bt[[#This Row],[a9]]&lt;=1000,0.45+([1]!Bt[[#This Row],[a9]]-500)/2000,
IF([1]!Bt[[#This Row],[a9]]&lt;=2000,0.7+([1]!Bt[[#This Row],[a9]]-1000)/4000,
0.95+([1]!Bt[[#This Row],[a9]]-2000)/8000)))),"")</calculatedColumnFormula>
    </tableColumn>
    <tableColumn id="10" name="a10" dataDxfId="300">
      <calculatedColumnFormula>IFERROR(IF([1]!Bt[[#This Row],[a10]]&lt;=50,0,
IF([1]!Bt[[#This Row],[a10]]&lt;=500,([1]!Bt[[#This Row],[a10]]-50)/1000,
IF([1]!Bt[[#This Row],[a10]]&lt;=1000,0.45+([1]!Bt[[#This Row],[a10]]-500)/2000,
IF([1]!Bt[[#This Row],[a10]]&lt;=2000,0.7+([1]!Bt[[#This Row],[a10]]-1000)/4000,
0.95+([1]!Bt[[#This Row],[a10]]-2000)/8000)))),"")</calculatedColumnFormula>
    </tableColumn>
    <tableColumn id="11" name="a11" dataDxfId="299">
      <calculatedColumnFormula>IFERROR(IF([1]!Bt[[#This Row],[a11]]&lt;=50,0,
IF([1]!Bt[[#This Row],[a11]]&lt;=500,([1]!Bt[[#This Row],[a11]]-50)/1000,
IF([1]!Bt[[#This Row],[a11]]&lt;=1000,0.45+([1]!Bt[[#This Row],[a11]]-500)/2000,
IF([1]!Bt[[#This Row],[a11]]&lt;=2000,0.7+([1]!Bt[[#This Row],[a11]]-1000)/4000,
0.95+([1]!Bt[[#This Row],[a11]]-2000)/8000)))),"")</calculatedColumnFormula>
    </tableColumn>
    <tableColumn id="12" name="a12" dataDxfId="298">
      <calculatedColumnFormula>IFERROR(IF([1]!Bt[[#This Row],[a12]]&lt;=50,0,
IF([1]!Bt[[#This Row],[a12]]&lt;=500,([1]!Bt[[#This Row],[a12]]-50)/1000,
IF([1]!Bt[[#This Row],[a12]]&lt;=1000,0.45+([1]!Bt[[#This Row],[a12]]-500)/2000,
IF([1]!Bt[[#This Row],[a12]]&lt;=2000,0.7+([1]!Bt[[#This Row],[a12]]-1000)/4000,
0.95+([1]!Bt[[#This Row],[a12]]-2000)/8000)))),"")</calculatedColumnFormula>
    </tableColumn>
    <tableColumn id="13" name="a13" dataDxfId="297">
      <calculatedColumnFormula>IFERROR(IF([1]!Bt[[#This Row],[a13]]&lt;=50,0,
IF([1]!Bt[[#This Row],[a13]]&lt;=500,([1]!Bt[[#This Row],[a13]]-50)/1000,
IF([1]!Bt[[#This Row],[a13]]&lt;=1000,0.45+([1]!Bt[[#This Row],[a13]]-500)/2000,
IF([1]!Bt[[#This Row],[a13]]&lt;=2000,0.7+([1]!Bt[[#This Row],[a13]]-1000)/4000,
0.95+([1]!Bt[[#This Row],[a13]]-2000)/8000)))),"")</calculatedColumnFormula>
    </tableColumn>
    <tableColumn id="14" name="a14" dataDxfId="296">
      <calculatedColumnFormula>IFERROR(IF([1]!Bt[[#This Row],[a14]]&lt;=50,0,
IF([1]!Bt[[#This Row],[a14]]&lt;=500,([1]!Bt[[#This Row],[a14]]-50)/1000,
IF([1]!Bt[[#This Row],[a14]]&lt;=1000,0.45+([1]!Bt[[#This Row],[a14]]-500)/2000,
IF([1]!Bt[[#This Row],[a14]]&lt;=2000,0.7+([1]!Bt[[#This Row],[a14]]-1000)/4000,
0.95+([1]!Bt[[#This Row],[a14]]-2000)/8000)))),"")</calculatedColumnFormula>
    </tableColumn>
    <tableColumn id="15" name="a15" dataDxfId="295">
      <calculatedColumnFormula>IFERROR(IF([1]!Bt[[#This Row],[a15]]&lt;=50,0,
IF([1]!Bt[[#This Row],[a15]]&lt;=500,([1]!Bt[[#This Row],[a15]]-50)/1000,
IF([1]!Bt[[#This Row],[a15]]&lt;=1000,0.45+([1]!Bt[[#This Row],[a15]]-500)/2000,
IF([1]!Bt[[#This Row],[a15]]&lt;=2000,0.7+([1]!Bt[[#This Row],[a15]]-1000)/4000,
0.95+([1]!Bt[[#This Row],[a15]]-2000)/8000)))),"")</calculatedColumnFormula>
    </tableColumn>
    <tableColumn id="17" name="e1" dataDxfId="294">
      <calculatedColumnFormula>IFERROR(IF([1]!Bt[[#This Row],[e1]]&lt;=50,0,
IF([1]!Bt[[#This Row],[e1]]&lt;=500,([1]!Bt[[#This Row],[e1]]-50)/1000,
IF([1]!Bt[[#This Row],[e1]]&lt;=1000,0.45+([1]!Bt[[#This Row],[e1]]-500)/2000,
IF([1]!Bt[[#This Row],[e1]]&lt;=2000,0.7+([1]!Bt[[#This Row],[e1]]-1000)/4000,
0.95+([1]!Bt[[#This Row],[e1]]-2000)/8000)))),"")</calculatedColumnFormula>
    </tableColumn>
    <tableColumn id="18" name="e2" dataDxfId="293">
      <calculatedColumnFormula>IFERROR(IF([1]!Bt[[#This Row],[e2]]&lt;=50,0,
IF([1]!Bt[[#This Row],[e2]]&lt;=500,([1]!Bt[[#This Row],[e2]]-50)/1000,
IF([1]!Bt[[#This Row],[e2]]&lt;=1000,0.45+([1]!Bt[[#This Row],[e2]]-500)/2000,
IF([1]!Bt[[#This Row],[e2]]&lt;=2000,0.7+([1]!Bt[[#This Row],[e2]]-1000)/4000,
0.95+([1]!Bt[[#This Row],[e2]]-2000)/8000)))),"")</calculatedColumnFormula>
    </tableColumn>
    <tableColumn id="19" name="e3" dataDxfId="292">
      <calculatedColumnFormula>IFERROR(IF([1]!Bt[[#This Row],[e3]]&lt;=50,0,
IF([1]!Bt[[#This Row],[e3]]&lt;=500,([1]!Bt[[#This Row],[e3]]-50)/1000,
IF([1]!Bt[[#This Row],[e3]]&lt;=1000,0.45+([1]!Bt[[#This Row],[e3]]-500)/2000,
IF([1]!Bt[[#This Row],[e3]]&lt;=2000,0.7+([1]!Bt[[#This Row],[e3]]-1000)/4000,
0.95+([1]!Bt[[#This Row],[e3]]-2000)/8000)))),"")</calculatedColumnFormula>
    </tableColumn>
    <tableColumn id="20" name="e4" dataDxfId="291">
      <calculatedColumnFormula>IFERROR(IF([1]!Bt[[#This Row],[e4]]&lt;=50,0,
IF([1]!Bt[[#This Row],[e4]]&lt;=500,([1]!Bt[[#This Row],[e4]]-50)/1000,
IF([1]!Bt[[#This Row],[e4]]&lt;=1000,0.45+([1]!Bt[[#This Row],[e4]]-500)/2000,
IF([1]!Bt[[#This Row],[e4]]&lt;=2000,0.7+([1]!Bt[[#This Row],[e4]]-1000)/4000,
0.95+([1]!Bt[[#This Row],[e4]]-2000)/8000)))),"")</calculatedColumnFormula>
    </tableColumn>
    <tableColumn id="21" name="e5" dataDxfId="290">
      <calculatedColumnFormula>IFERROR(IF([1]!Bt[[#This Row],[e5]]&lt;=50,0,
IF([1]!Bt[[#This Row],[e5]]&lt;=500,([1]!Bt[[#This Row],[e5]]-50)/1000,
IF([1]!Bt[[#This Row],[e5]]&lt;=1000,0.45+([1]!Bt[[#This Row],[e5]]-500)/2000,
IF([1]!Bt[[#This Row],[e5]]&lt;=2000,0.7+([1]!Bt[[#This Row],[e5]]-1000)/4000,
0.95+([1]!Bt[[#This Row],[e5]]-2000)/8000)))),"")</calculatedColumnFormula>
    </tableColumn>
    <tableColumn id="22" name="e6" dataDxfId="289">
      <calculatedColumnFormula>IFERROR(IF([1]!Bt[[#This Row],[e6]]&lt;=50,0,
IF([1]!Bt[[#This Row],[e6]]&lt;=500,([1]!Bt[[#This Row],[e6]]-50)/1000,
IF([1]!Bt[[#This Row],[e6]]&lt;=1000,0.45+([1]!Bt[[#This Row],[e6]]-500)/2000,
IF([1]!Bt[[#This Row],[e6]]&lt;=2000,0.7+([1]!Bt[[#This Row],[e6]]-1000)/4000,
0.95+([1]!Bt[[#This Row],[e6]]-2000)/8000)))),"")</calculatedColumnFormula>
    </tableColumn>
    <tableColumn id="23" name="e7" dataDxfId="288">
      <calculatedColumnFormula>IFERROR(IF([1]!Bt[[#This Row],[e7]]&lt;=50,0,
IF([1]!Bt[[#This Row],[e7]]&lt;=500,([1]!Bt[[#This Row],[e7]]-50)/1000,
IF([1]!Bt[[#This Row],[e7]]&lt;=1000,0.45+([1]!Bt[[#This Row],[e7]]-500)/2000,
IF([1]!Bt[[#This Row],[e7]]&lt;=2000,0.7+([1]!Bt[[#This Row],[e7]]-1000)/4000,
0.95+([1]!Bt[[#This Row],[e7]]-2000)/8000)))),"")</calculatedColumnFormula>
    </tableColumn>
    <tableColumn id="24" name="e8" dataDxfId="287">
      <calculatedColumnFormula>IFERROR(IF([1]!Bt[[#This Row],[e8]]&lt;=50,0,
IF([1]!Bt[[#This Row],[e8]]&lt;=500,([1]!Bt[[#This Row],[e8]]-50)/1000,
IF([1]!Bt[[#This Row],[e8]]&lt;=1000,0.45+([1]!Bt[[#This Row],[e8]]-500)/2000,
IF([1]!Bt[[#This Row],[e8]]&lt;=2000,0.7+([1]!Bt[[#This Row],[e8]]-1000)/4000,
0.95+([1]!Bt[[#This Row],[e8]]-2000)/8000)))),"")</calculatedColumnFormula>
    </tableColumn>
    <tableColumn id="25" name="e9" dataDxfId="286">
      <calculatedColumnFormula>IFERROR(IF([1]!Bt[[#This Row],[e9]]&lt;=50,0,
IF([1]!Bt[[#This Row],[e9]]&lt;=500,([1]!Bt[[#This Row],[e9]]-50)/1000,
IF([1]!Bt[[#This Row],[e9]]&lt;=1000,0.45+([1]!Bt[[#This Row],[e9]]-500)/2000,
IF([1]!Bt[[#This Row],[e9]]&lt;=2000,0.7+([1]!Bt[[#This Row],[e9]]-1000)/4000,
0.95+([1]!Bt[[#This Row],[e9]]-2000)/8000)))),"")</calculatedColumnFormula>
    </tableColumn>
    <tableColumn id="26" name="e10" dataDxfId="285">
      <calculatedColumnFormula>IFERROR(IF([1]!Bt[[#This Row],[e10]]&lt;=50,0,
IF([1]!Bt[[#This Row],[e10]]&lt;=500,([1]!Bt[[#This Row],[e10]]-50)/1000,
IF([1]!Bt[[#This Row],[e10]]&lt;=1000,0.45+([1]!Bt[[#This Row],[e10]]-500)/2000,
IF([1]!Bt[[#This Row],[e10]]&lt;=2000,0.7+([1]!Bt[[#This Row],[e10]]-1000)/4000,
0.95+([1]!Bt[[#This Row],[e10]]-2000)/8000)))),"")</calculatedColumnFormula>
    </tableColumn>
    <tableColumn id="27" name="e11" dataDxfId="284">
      <calculatedColumnFormula>IFERROR(IF([1]!Bt[[#This Row],[e11]]&lt;=50,0,
IF([1]!Bt[[#This Row],[e11]]&lt;=500,([1]!Bt[[#This Row],[e11]]-50)/1000,
IF([1]!Bt[[#This Row],[e11]]&lt;=1000,0.45+([1]!Bt[[#This Row],[e11]]-500)/2000,
IF([1]!Bt[[#This Row],[e11]]&lt;=2000,0.7+([1]!Bt[[#This Row],[e11]]-1000)/4000,
0.95+([1]!Bt[[#This Row],[e11]]-2000)/8000)))),"")</calculatedColumnFormula>
    </tableColumn>
    <tableColumn id="28" name="e12" dataDxfId="283">
      <calculatedColumnFormula>IFERROR(IF([1]!Bt[[#This Row],[e12]]&lt;=50,0,
IF([1]!Bt[[#This Row],[e12]]&lt;=500,([1]!Bt[[#This Row],[e12]]-50)/1000,
IF([1]!Bt[[#This Row],[e12]]&lt;=1000,0.45+([1]!Bt[[#This Row],[e12]]-500)/2000,
IF([1]!Bt[[#This Row],[e12]]&lt;=2000,0.7+([1]!Bt[[#This Row],[e12]]-1000)/4000,
0.95+([1]!Bt[[#This Row],[e12]]-2000)/8000)))),"")</calculatedColumnFormula>
    </tableColumn>
    <tableColumn id="29" name="e13" dataDxfId="282">
      <calculatedColumnFormula>IFERROR(IF([1]!Bt[[#This Row],[e13]]&lt;=50,0,
IF([1]!Bt[[#This Row],[e13]]&lt;=500,([1]!Bt[[#This Row],[e13]]-50)/1000,
IF([1]!Bt[[#This Row],[e13]]&lt;=1000,0.45+([1]!Bt[[#This Row],[e13]]-500)/2000,
IF([1]!Bt[[#This Row],[e13]]&lt;=2000,0.7+([1]!Bt[[#This Row],[e13]]-1000)/4000,
0.95+([1]!Bt[[#This Row],[e13]]-2000)/8000)))),"")</calculatedColumnFormula>
    </tableColumn>
    <tableColumn id="30" name="e14" dataDxfId="281">
      <calculatedColumnFormula>IFERROR(IF([1]!Bt[[#This Row],[e14]]&lt;=50,0,
IF([1]!Bt[[#This Row],[e14]]&lt;=500,([1]!Bt[[#This Row],[e14]]-50)/1000,
IF([1]!Bt[[#This Row],[e14]]&lt;=1000,0.45+([1]!Bt[[#This Row],[e14]]-500)/2000,
IF([1]!Bt[[#This Row],[e14]]&lt;=2000,0.7+([1]!Bt[[#This Row],[e14]]-1000)/4000,
0.95+([1]!Bt[[#This Row],[e14]]-2000)/8000)))),"")</calculatedColumnFormula>
    </tableColumn>
    <tableColumn id="31" name="e15" dataDxfId="280">
      <calculatedColumnFormula>IFERROR(IF([1]!Bt[[#This Row],[e15]]&lt;=50,0,
IF([1]!Bt[[#This Row],[e15]]&lt;=500,([1]!Bt[[#This Row],[e15]]-50)/1000,
IF([1]!Bt[[#This Row],[e15]]&lt;=1000,0.45+([1]!Bt[[#This Row],[e15]]-500)/2000,
IF([1]!Bt[[#This Row],[e15]]&lt;=2000,0.7+([1]!Bt[[#This Row],[e15]]-1000)/4000,
0.95+([1]!Bt[[#This Row],[e15]]-2000)/8000)))),"")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Kab" displayName="Kab" ref="A1:AD2" totalsRowShown="0" headerRowDxfId="279" dataDxfId="278">
  <autoFilter ref="A1:AD2"/>
  <tableColumns count="30">
    <tableColumn id="1" name="a1" dataDxfId="277">
      <calculatedColumnFormula>IFERROR(IF([1]!Ba[[#This Row],[a1]]&lt;=500,0,
IF([1]!Ba[[#This Row],[a1]]&lt;=5000,([1]!Ba[[#This Row],[a1]]-500)/10000,
IF([1]!Ba[[#This Row],[a1]]&lt;=10000,0.45+([1]!Ba[[#This Row],[a1]]-5000)/20000,
IF([1]!Ba[[#This Row],[a1]]&lt;=20000,0.7+([1]!Ba[[#This Row],[a1]]-10000)/40000,
0.95+([1]!Ba[[#This Row],[a1]]-20000)/80000)))),"")</calculatedColumnFormula>
    </tableColumn>
    <tableColumn id="2" name="a2" dataDxfId="276">
      <calculatedColumnFormula>IFERROR(IF([1]!Ba[[#This Row],[a2]]&lt;=500,0,
IF([1]!Ba[[#This Row],[a2]]&lt;=5000,([1]!Ba[[#This Row],[a2]]-500)/10000,
IF([1]!Ba[[#This Row],[a2]]&lt;=10000,0.45+([1]!Ba[[#This Row],[a2]]-5000)/20000,
IF([1]!Ba[[#This Row],[a2]]&lt;=20000,0.7+([1]!Ba[[#This Row],[a2]]-10000)/40000,
0.95+([1]!Ba[[#This Row],[a2]]-20000)/80000)))),"")</calculatedColumnFormula>
    </tableColumn>
    <tableColumn id="3" name="a3" dataDxfId="275">
      <calculatedColumnFormula>IFERROR(IF([1]!Ba[[#This Row],[a3]]&lt;=500,0,
IF([1]!Ba[[#This Row],[a3]]&lt;=5000,([1]!Ba[[#This Row],[a3]]-500)/10000,
IF([1]!Ba[[#This Row],[a3]]&lt;=10000,0.45+([1]!Ba[[#This Row],[a3]]-5000)/20000,
IF([1]!Ba[[#This Row],[a3]]&lt;=20000,0.7+([1]!Ba[[#This Row],[a3]]-10000)/40000,
0.95+([1]!Ba[[#This Row],[a3]]-20000)/80000)))),"")</calculatedColumnFormula>
    </tableColumn>
    <tableColumn id="4" name="a4" dataDxfId="274">
      <calculatedColumnFormula>IFERROR(IF([1]!Ba[[#This Row],[a4]]&lt;=500,0,
IF([1]!Ba[[#This Row],[a4]]&lt;=5000,([1]!Ba[[#This Row],[a4]]-500)/10000,
IF([1]!Ba[[#This Row],[a4]]&lt;=10000,0.45+([1]!Ba[[#This Row],[a4]]-5000)/20000,
IF([1]!Ba[[#This Row],[a4]]&lt;=20000,0.7+([1]!Ba[[#This Row],[a4]]-10000)/40000,
0.95+([1]!Ba[[#This Row],[a4]]-20000)/80000)))),"")</calculatedColumnFormula>
    </tableColumn>
    <tableColumn id="5" name="a5" dataDxfId="273">
      <calculatedColumnFormula>IFERROR(IF([1]!Ba[[#This Row],[a5]]&lt;=500,0,
IF([1]!Ba[[#This Row],[a5]]&lt;=5000,([1]!Ba[[#This Row],[a5]]-500)/10000,
IF([1]!Ba[[#This Row],[a5]]&lt;=10000,0.45+([1]!Ba[[#This Row],[a5]]-5000)/20000,
IF([1]!Ba[[#This Row],[a5]]&lt;=20000,0.7+([1]!Ba[[#This Row],[a5]]-10000)/40000,
0.95+([1]!Ba[[#This Row],[a5]]-20000)/80000)))),"")</calculatedColumnFormula>
    </tableColumn>
    <tableColumn id="6" name="a6" dataDxfId="272">
      <calculatedColumnFormula>IFERROR(IF([1]!Ba[[#This Row],[a6]]&lt;=500,0,
IF([1]!Ba[[#This Row],[a6]]&lt;=5000,([1]!Ba[[#This Row],[a6]]-500)/10000,
IF([1]!Ba[[#This Row],[a6]]&lt;=10000,0.45+([1]!Ba[[#This Row],[a6]]-5000)/20000,
IF([1]!Ba[[#This Row],[a6]]&lt;=20000,0.7+([1]!Ba[[#This Row],[a6]]-10000)/40000,
0.95+([1]!Ba[[#This Row],[a6]]-20000)/80000)))),"")</calculatedColumnFormula>
    </tableColumn>
    <tableColumn id="7" name="a7" dataDxfId="271">
      <calculatedColumnFormula>IFERROR(IF([1]!Ba[[#This Row],[a7]]&lt;=500,0,
IF([1]!Ba[[#This Row],[a7]]&lt;=5000,([1]!Ba[[#This Row],[a7]]-500)/10000,
IF([1]!Ba[[#This Row],[a7]]&lt;=10000,0.45+([1]!Ba[[#This Row],[a7]]-5000)/20000,
IF([1]!Ba[[#This Row],[a7]]&lt;=20000,0.7+([1]!Ba[[#This Row],[a7]]-10000)/40000,
0.95+([1]!Ba[[#This Row],[a7]]-20000)/80000)))),"")</calculatedColumnFormula>
    </tableColumn>
    <tableColumn id="8" name="a8" dataDxfId="270">
      <calculatedColumnFormula>IFERROR(IF([1]!Ba[[#This Row],[a8]]&lt;=500,0,
IF([1]!Ba[[#This Row],[a8]]&lt;=5000,([1]!Ba[[#This Row],[a8]]-500)/10000,
IF([1]!Ba[[#This Row],[a8]]&lt;=10000,0.45+([1]!Ba[[#This Row],[a8]]-5000)/20000,
IF([1]!Ba[[#This Row],[a8]]&lt;=20000,0.7+([1]!Ba[[#This Row],[a8]]-10000)/40000,
0.95+([1]!Ba[[#This Row],[a8]]-20000)/80000)))),"")</calculatedColumnFormula>
    </tableColumn>
    <tableColumn id="9" name="a9" dataDxfId="269">
      <calculatedColumnFormula>IFERROR(IF([1]!Ba[[#This Row],[a9]]&lt;=500,0,
IF([1]!Ba[[#This Row],[a9]]&lt;=5000,([1]!Ba[[#This Row],[a9]]-500)/10000,
IF([1]!Ba[[#This Row],[a9]]&lt;=10000,0.45+([1]!Ba[[#This Row],[a9]]-5000)/20000,
IF([1]!Ba[[#This Row],[a9]]&lt;=20000,0.7+([1]!Ba[[#This Row],[a9]]-10000)/40000,
0.95+([1]!Ba[[#This Row],[a9]]-20000)/80000)))),"")</calculatedColumnFormula>
    </tableColumn>
    <tableColumn id="10" name="a10" dataDxfId="268">
      <calculatedColumnFormula>IFERROR(IF([1]!Ba[[#This Row],[a10]]&lt;=500,0,
IF([1]!Ba[[#This Row],[a10]]&lt;=5000,([1]!Ba[[#This Row],[a10]]-500)/10000,
IF([1]!Ba[[#This Row],[a10]]&lt;=10000,0.45+([1]!Ba[[#This Row],[a10]]-5000)/20000,
IF([1]!Ba[[#This Row],[a10]]&lt;=20000,0.7+([1]!Ba[[#This Row],[a10]]-10000)/40000,
0.95+([1]!Ba[[#This Row],[a10]]-20000)/80000)))),"")</calculatedColumnFormula>
    </tableColumn>
    <tableColumn id="11" name="a11" dataDxfId="267">
      <calculatedColumnFormula>IFERROR(IF([1]!Ba[[#This Row],[a11]]&lt;=500,0,
IF([1]!Ba[[#This Row],[a11]]&lt;=5000,([1]!Ba[[#This Row],[a11]]-500)/10000,
IF([1]!Ba[[#This Row],[a11]]&lt;=10000,0.45+([1]!Ba[[#This Row],[a11]]-5000)/20000,
IF([1]!Ba[[#This Row],[a11]]&lt;=20000,0.7+([1]!Ba[[#This Row],[a11]]-10000)/40000,
0.95+([1]!Ba[[#This Row],[a11]]-20000)/80000)))),"")</calculatedColumnFormula>
    </tableColumn>
    <tableColumn id="12" name="a12" dataDxfId="266">
      <calculatedColumnFormula>IFERROR(IF([1]!Ba[[#This Row],[a12]]&lt;=500,0,
IF([1]!Ba[[#This Row],[a12]]&lt;=5000,([1]!Ba[[#This Row],[a12]]-500)/10000,
IF([1]!Ba[[#This Row],[a12]]&lt;=10000,0.45+([1]!Ba[[#This Row],[a12]]-5000)/20000,
IF([1]!Ba[[#This Row],[a12]]&lt;=20000,0.7+([1]!Ba[[#This Row],[a12]]-10000)/40000,
0.95+([1]!Ba[[#This Row],[a12]]-20000)/80000)))),"")</calculatedColumnFormula>
    </tableColumn>
    <tableColumn id="13" name="a13" dataDxfId="265">
      <calculatedColumnFormula>IFERROR(IF([1]!Ba[[#This Row],[a13]]&lt;=500,0,
IF([1]!Ba[[#This Row],[a13]]&lt;=5000,([1]!Ba[[#This Row],[a13]]-500)/10000,
IF([1]!Ba[[#This Row],[a13]]&lt;=10000,0.45+([1]!Ba[[#This Row],[a13]]-5000)/20000,
IF([1]!Ba[[#This Row],[a13]]&lt;=20000,0.7+([1]!Ba[[#This Row],[a13]]-10000)/40000,
0.95+([1]!Ba[[#This Row],[a13]]-20000)/80000)))),"")</calculatedColumnFormula>
    </tableColumn>
    <tableColumn id="14" name="a14" dataDxfId="264">
      <calculatedColumnFormula>IFERROR(IF([1]!Ba[[#This Row],[a14]]&lt;=500,0,
IF([1]!Ba[[#This Row],[a14]]&lt;=5000,([1]!Ba[[#This Row],[a14]]-500)/10000,
IF([1]!Ba[[#This Row],[a14]]&lt;=10000,0.45+([1]!Ba[[#This Row],[a14]]-5000)/20000,
IF([1]!Ba[[#This Row],[a14]]&lt;=20000,0.7+([1]!Ba[[#This Row],[a14]]-10000)/40000,
0.95+([1]!Ba[[#This Row],[a14]]-20000)/80000)))),"")</calculatedColumnFormula>
    </tableColumn>
    <tableColumn id="15" name="a15" dataDxfId="263">
      <calculatedColumnFormula>IFERROR(IF([1]!Ba[[#This Row],[a15]]&lt;=500,0,
IF([1]!Ba[[#This Row],[a15]]&lt;=5000,([1]!Ba[[#This Row],[a15]]-500)/10000,
IF([1]!Ba[[#This Row],[a15]]&lt;=10000,0.45+([1]!Ba[[#This Row],[a15]]-5000)/20000,
IF([1]!Ba[[#This Row],[a15]]&lt;=20000,0.7+([1]!Ba[[#This Row],[a15]]-10000)/40000,
0.95+([1]!Ba[[#This Row],[a15]]-20000)/80000)))),"")</calculatedColumnFormula>
    </tableColumn>
    <tableColumn id="17" name="e1" dataDxfId="262">
      <calculatedColumnFormula>IFERROR(IF([1]!Ba[[#This Row],[e1]]&lt;=500,0,
IF([1]!Ba[[#This Row],[e1]]&lt;=5000,([1]!Ba[[#This Row],[e1]]-500)/10000,
IF([1]!Ba[[#This Row],[e1]]&lt;=10000,0.45+([1]!Ba[[#This Row],[e1]]-5000)/20000,
IF([1]!Ba[[#This Row],[e1]]&lt;=20000,0.7+([1]!Ba[[#This Row],[e1]]-10000)/40000,
0.95+([1]!Ba[[#This Row],[e1]]-20000)/80000)))),"")</calculatedColumnFormula>
    </tableColumn>
    <tableColumn id="18" name="e2" dataDxfId="261">
      <calculatedColumnFormula>IFERROR(IF([1]!Ba[[#This Row],[e2]]&lt;=500,0,
IF([1]!Ba[[#This Row],[e2]]&lt;=5000,([1]!Ba[[#This Row],[e2]]-500)/10000,
IF([1]!Ba[[#This Row],[e2]]&lt;=10000,0.45+([1]!Ba[[#This Row],[e2]]-5000)/20000,
IF([1]!Ba[[#This Row],[e2]]&lt;=20000,0.7+([1]!Ba[[#This Row],[e2]]-10000)/40000,
0.95+([1]!Ba[[#This Row],[e2]]-20000)/80000)))),"")</calculatedColumnFormula>
    </tableColumn>
    <tableColumn id="19" name="e3" dataDxfId="260">
      <calculatedColumnFormula>IFERROR(IF([1]!Ba[[#This Row],[e3]]&lt;=500,0,
IF([1]!Ba[[#This Row],[e3]]&lt;=5000,([1]!Ba[[#This Row],[e3]]-500)/10000,
IF([1]!Ba[[#This Row],[e3]]&lt;=10000,0.45+([1]!Ba[[#This Row],[e3]]-5000)/20000,
IF([1]!Ba[[#This Row],[e3]]&lt;=20000,0.7+([1]!Ba[[#This Row],[e3]]-10000)/40000,
0.95+([1]!Ba[[#This Row],[e3]]-20000)/80000)))),"")</calculatedColumnFormula>
    </tableColumn>
    <tableColumn id="20" name="e4" dataDxfId="259">
      <calculatedColumnFormula>IFERROR(IF([1]!Ba[[#This Row],[e4]]&lt;=500,0,
IF([1]!Ba[[#This Row],[e4]]&lt;=5000,([1]!Ba[[#This Row],[e4]]-500)/10000,
IF([1]!Ba[[#This Row],[e4]]&lt;=10000,0.45+([1]!Ba[[#This Row],[e4]]-5000)/20000,
IF([1]!Ba[[#This Row],[e4]]&lt;=20000,0.7+([1]!Ba[[#This Row],[e4]]-10000)/40000,
0.95+([1]!Ba[[#This Row],[e4]]-20000)/80000)))),"")</calculatedColumnFormula>
    </tableColumn>
    <tableColumn id="21" name="e5" dataDxfId="258">
      <calculatedColumnFormula>IFERROR(IF([1]!Ba[[#This Row],[e5]]&lt;=500,0,
IF([1]!Ba[[#This Row],[e5]]&lt;=5000,([1]!Ba[[#This Row],[e5]]-500)/10000,
IF([1]!Ba[[#This Row],[e5]]&lt;=10000,0.45+([1]!Ba[[#This Row],[e5]]-5000)/20000,
IF([1]!Ba[[#This Row],[e5]]&lt;=20000,0.7+([1]!Ba[[#This Row],[e5]]-10000)/40000,
0.95+([1]!Ba[[#This Row],[e5]]-20000)/80000)))),"")</calculatedColumnFormula>
    </tableColumn>
    <tableColumn id="22" name="e6" dataDxfId="257">
      <calculatedColumnFormula>IFERROR(IF([1]!Ba[[#This Row],[e6]]&lt;=500,0,
IF([1]!Ba[[#This Row],[e6]]&lt;=5000,([1]!Ba[[#This Row],[e6]]-500)/10000,
IF([1]!Ba[[#This Row],[e6]]&lt;=10000,0.45+([1]!Ba[[#This Row],[e6]]-5000)/20000,
IF([1]!Ba[[#This Row],[e6]]&lt;=20000,0.7+([1]!Ba[[#This Row],[e6]]-10000)/40000,
0.95+([1]!Ba[[#This Row],[e6]]-20000)/80000)))),"")</calculatedColumnFormula>
    </tableColumn>
    <tableColumn id="23" name="e7" dataDxfId="256">
      <calculatedColumnFormula>IFERROR(IF([1]!Ba[[#This Row],[e7]]&lt;=500,0,
IF([1]!Ba[[#This Row],[e7]]&lt;=5000,([1]!Ba[[#This Row],[e7]]-500)/10000,
IF([1]!Ba[[#This Row],[e7]]&lt;=10000,0.45+([1]!Ba[[#This Row],[e7]]-5000)/20000,
IF([1]!Ba[[#This Row],[e7]]&lt;=20000,0.7+([1]!Ba[[#This Row],[e7]]-10000)/40000,
0.95+([1]!Ba[[#This Row],[e7]]-20000)/80000)))),"")</calculatedColumnFormula>
    </tableColumn>
    <tableColumn id="24" name="e8" dataDxfId="255">
      <calculatedColumnFormula>IFERROR(IF([1]!Ba[[#This Row],[e8]]&lt;=500,0,
IF([1]!Ba[[#This Row],[e8]]&lt;=5000,([1]!Ba[[#This Row],[e8]]-500)/10000,
IF([1]!Ba[[#This Row],[e8]]&lt;=10000,0.45+([1]!Ba[[#This Row],[e8]]-5000)/20000,
IF([1]!Ba[[#This Row],[e8]]&lt;=20000,0.7+([1]!Ba[[#This Row],[e8]]-10000)/40000,
0.95+([1]!Ba[[#This Row],[e8]]-20000)/80000)))),"")</calculatedColumnFormula>
    </tableColumn>
    <tableColumn id="25" name="e9" dataDxfId="254">
      <calculatedColumnFormula>IFERROR(IF([1]!Ba[[#This Row],[e9]]&lt;=500,0,
IF([1]!Ba[[#This Row],[e9]]&lt;=5000,([1]!Ba[[#This Row],[e9]]-500)/10000,
IF([1]!Ba[[#This Row],[e9]]&lt;=10000,0.45+([1]!Ba[[#This Row],[e9]]-5000)/20000,
IF([1]!Ba[[#This Row],[e9]]&lt;=20000,0.7+([1]!Ba[[#This Row],[e9]]-10000)/40000,
0.95+([1]!Ba[[#This Row],[e9]]-20000)/80000)))),"")</calculatedColumnFormula>
    </tableColumn>
    <tableColumn id="26" name="e10" dataDxfId="253">
      <calculatedColumnFormula>IFERROR(IF([1]!Ba[[#This Row],[e10]]&lt;=500,0,
IF([1]!Ba[[#This Row],[e10]]&lt;=5000,([1]!Ba[[#This Row],[e10]]-500)/10000,
IF([1]!Ba[[#This Row],[e10]]&lt;=10000,0.45+([1]!Ba[[#This Row],[e10]]-5000)/20000,
IF([1]!Ba[[#This Row],[e10]]&lt;=20000,0.7+([1]!Ba[[#This Row],[e10]]-10000)/40000,
0.95+([1]!Ba[[#This Row],[e10]]-20000)/80000)))),"")</calculatedColumnFormula>
    </tableColumn>
    <tableColumn id="27" name="e11" dataDxfId="252">
      <calculatedColumnFormula>IFERROR(IF([1]!Ba[[#This Row],[e11]]&lt;=500,0,
IF([1]!Ba[[#This Row],[e11]]&lt;=5000,([1]!Ba[[#This Row],[e11]]-500)/10000,
IF([1]!Ba[[#This Row],[e11]]&lt;=10000,0.45+([1]!Ba[[#This Row],[e11]]-5000)/20000,
IF([1]!Ba[[#This Row],[e11]]&lt;=20000,0.7+([1]!Ba[[#This Row],[e11]]-10000)/40000,
0.95+([1]!Ba[[#This Row],[e11]]-20000)/80000)))),"")</calculatedColumnFormula>
    </tableColumn>
    <tableColumn id="28" name="e12" dataDxfId="251">
      <calculatedColumnFormula>IFERROR(IF([1]!Ba[[#This Row],[e12]]&lt;=500,0,
IF([1]!Ba[[#This Row],[e12]]&lt;=5000,([1]!Ba[[#This Row],[e12]]-500)/10000,
IF([1]!Ba[[#This Row],[e12]]&lt;=10000,0.45+([1]!Ba[[#This Row],[e12]]-5000)/20000,
IF([1]!Ba[[#This Row],[e12]]&lt;=20000,0.7+([1]!Ba[[#This Row],[e12]]-10000)/40000,
0.95+([1]!Ba[[#This Row],[e12]]-20000)/80000)))),"")</calculatedColumnFormula>
    </tableColumn>
    <tableColumn id="29" name="e13" dataDxfId="250">
      <calculatedColumnFormula>IFERROR(IF([1]!Ba[[#This Row],[e13]]&lt;=500,0,
IF([1]!Ba[[#This Row],[e13]]&lt;=5000,([1]!Ba[[#This Row],[e13]]-500)/10000,
IF([1]!Ba[[#This Row],[e13]]&lt;=10000,0.45+([1]!Ba[[#This Row],[e13]]-5000)/20000,
IF([1]!Ba[[#This Row],[e13]]&lt;=20000,0.7+([1]!Ba[[#This Row],[e13]]-10000)/40000,
0.95+([1]!Ba[[#This Row],[e13]]-20000)/80000)))),"")</calculatedColumnFormula>
    </tableColumn>
    <tableColumn id="30" name="e14" dataDxfId="249">
      <calculatedColumnFormula>IFERROR(IF([1]!Ba[[#This Row],[e14]]&lt;=500,0,
IF([1]!Ba[[#This Row],[e14]]&lt;=5000,([1]!Ba[[#This Row],[e14]]-500)/10000,
IF([1]!Ba[[#This Row],[e14]]&lt;=10000,0.45+([1]!Ba[[#This Row],[e14]]-5000)/20000,
IF([1]!Ba[[#This Row],[e14]]&lt;=20000,0.7+([1]!Ba[[#This Row],[e14]]-10000)/40000,
0.95+([1]!Ba[[#This Row],[e14]]-20000)/80000)))),"")</calculatedColumnFormula>
    </tableColumn>
    <tableColumn id="31" name="e15" dataDxfId="248">
      <calculatedColumnFormula>IFERROR(IF([1]!Ba[[#This Row],[e15]]&lt;=500,0,
IF([1]!Ba[[#This Row],[e15]]&lt;=5000,([1]!Ba[[#This Row],[e15]]-500)/10000,
IF([1]!Ba[[#This Row],[e15]]&lt;=10000,0.45+([1]!Ba[[#This Row],[e15]]-5000)/20000,
IF([1]!Ba[[#This Row],[e15]]&lt;=20000,0.7+([1]!Ba[[#This Row],[e15]]-10000)/40000,
0.95+([1]!Ba[[#This Row],[e15]]-20000)/80000)))),"")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Krt" displayName="Krt" ref="A1:AD2" totalsRowShown="0" headerRowDxfId="247" dataDxfId="246">
  <autoFilter ref="A1:AD2"/>
  <tableColumns count="30">
    <tableColumn id="1" name="a1" dataDxfId="245">
      <calculatedColumnFormula>IFERROR(1 + [1]!Rt[[#This Row],[a1]] - [1]!AvgW[[#This Row],[a1]],"")</calculatedColumnFormula>
    </tableColumn>
    <tableColumn id="2" name="a2" dataDxfId="244">
      <calculatedColumnFormula>IFERROR(1 + [1]!Rt[[#This Row],[a2]] - [1]!AvgW[[#This Row],[a2]],"")</calculatedColumnFormula>
    </tableColumn>
    <tableColumn id="3" name="a3" dataDxfId="243">
      <calculatedColumnFormula>IFERROR(1 + [1]!Rt[[#This Row],[a3]] - [1]!AvgW[[#This Row],[a3]],"")</calculatedColumnFormula>
    </tableColumn>
    <tableColumn id="4" name="a4" dataDxfId="242">
      <calculatedColumnFormula>IFERROR(1 + [1]!Rt[[#This Row],[a4]] - [1]!AvgW[[#This Row],[a4]],"")</calculatedColumnFormula>
    </tableColumn>
    <tableColumn id="5" name="a5" dataDxfId="241">
      <calculatedColumnFormula>IFERROR(1 + [1]!Rt[[#This Row],[a5]] - [1]!AvgW[[#This Row],[a5]],"")</calculatedColumnFormula>
    </tableColumn>
    <tableColumn id="6" name="a6" dataDxfId="240">
      <calculatedColumnFormula>IFERROR(1 + [1]!Rt[[#This Row],[a6]] - [1]!AvgW[[#This Row],[a6]],"")</calculatedColumnFormula>
    </tableColumn>
    <tableColumn id="7" name="a7" dataDxfId="239">
      <calculatedColumnFormula>IFERROR(1 + [1]!Rt[[#This Row],[a7]] - [1]!AvgW[[#This Row],[a7]],"")</calculatedColumnFormula>
    </tableColumn>
    <tableColumn id="8" name="a8" dataDxfId="238">
      <calculatedColumnFormula>IFERROR(1 + [1]!Rt[[#This Row],[a8]] - [1]!AvgW[[#This Row],[a8]],"")</calculatedColumnFormula>
    </tableColumn>
    <tableColumn id="9" name="a9" dataDxfId="237">
      <calculatedColumnFormula>IFERROR(1 + [1]!Rt[[#This Row],[a9]] - [1]!AvgW[[#This Row],[a9]],"")</calculatedColumnFormula>
    </tableColumn>
    <tableColumn id="10" name="a10" dataDxfId="236">
      <calculatedColumnFormula>IFERROR(1 + [1]!Rt[[#This Row],[a10]] - [1]!AvgW[[#This Row],[a10]],"")</calculatedColumnFormula>
    </tableColumn>
    <tableColumn id="11" name="a11" dataDxfId="235">
      <calculatedColumnFormula>IFERROR(1 + [1]!Rt[[#This Row],[a11]] - [1]!AvgW[[#This Row],[a11]],"")</calculatedColumnFormula>
    </tableColumn>
    <tableColumn id="12" name="a12" dataDxfId="234">
      <calculatedColumnFormula>IFERROR(1 + [1]!Rt[[#This Row],[a12]] - [1]!AvgW[[#This Row],[a12]],"")</calculatedColumnFormula>
    </tableColumn>
    <tableColumn id="13" name="a13" dataDxfId="233">
      <calculatedColumnFormula>IFERROR(1 + [1]!Rt[[#This Row],[a13]] - [1]!AvgW[[#This Row],[a13]],"")</calculatedColumnFormula>
    </tableColumn>
    <tableColumn id="14" name="a14" dataDxfId="232">
      <calculatedColumnFormula>IFERROR(1 + [1]!Rt[[#This Row],[a14]] - [1]!AvgW[[#This Row],[a14]],"")</calculatedColumnFormula>
    </tableColumn>
    <tableColumn id="15" name="a15" dataDxfId="231">
      <calculatedColumnFormula>IFERROR(1 + [1]!Rt[[#This Row],[a15]] - [1]!AvgW[[#This Row],[a15]],"")</calculatedColumnFormula>
    </tableColumn>
    <tableColumn id="17" name="e1" dataDxfId="230">
      <calculatedColumnFormula>IFERROR(1 + [1]!Rt[[#This Row],[e1]] - [1]!AvgW[[#This Row],[e1]],"")</calculatedColumnFormula>
    </tableColumn>
    <tableColumn id="18" name="e2" dataDxfId="229">
      <calculatedColumnFormula>IFERROR(1 + [1]!Rt[[#This Row],[e2]] - [1]!AvgW[[#This Row],[e2]],"")</calculatedColumnFormula>
    </tableColumn>
    <tableColumn id="19" name="e3" dataDxfId="228">
      <calculatedColumnFormula>IFERROR(1 + [1]!Rt[[#This Row],[e3]] - [1]!AvgW[[#This Row],[e3]],"")</calculatedColumnFormula>
    </tableColumn>
    <tableColumn id="20" name="e4" dataDxfId="227">
      <calculatedColumnFormula>IFERROR(1 + [1]!Rt[[#This Row],[e4]] - [1]!AvgW[[#This Row],[e4]],"")</calculatedColumnFormula>
    </tableColumn>
    <tableColumn id="21" name="e5" dataDxfId="226">
      <calculatedColumnFormula>IFERROR(1 + [1]!Rt[[#This Row],[e5]] - [1]!AvgW[[#This Row],[e5]],"")</calculatedColumnFormula>
    </tableColumn>
    <tableColumn id="22" name="e6" dataDxfId="225">
      <calculatedColumnFormula>IFERROR(1 + [1]!Rt[[#This Row],[e6]] - [1]!AvgW[[#This Row],[e6]],"")</calculatedColumnFormula>
    </tableColumn>
    <tableColumn id="23" name="e7" dataDxfId="224">
      <calculatedColumnFormula>IFERROR(1 + [1]!Rt[[#This Row],[e7]] - [1]!AvgW[[#This Row],[e7]],"")</calculatedColumnFormula>
    </tableColumn>
    <tableColumn id="24" name="e8" dataDxfId="223">
      <calculatedColumnFormula>IFERROR(1 + [1]!Rt[[#This Row],[e8]] - [1]!AvgW[[#This Row],[e8]],"")</calculatedColumnFormula>
    </tableColumn>
    <tableColumn id="25" name="e9" dataDxfId="222">
      <calculatedColumnFormula>IFERROR(1 + [1]!Rt[[#This Row],[e9]] - [1]!AvgW[[#This Row],[e9]],"")</calculatedColumnFormula>
    </tableColumn>
    <tableColumn id="26" name="e10" dataDxfId="221">
      <calculatedColumnFormula>IFERROR(1 + [1]!Rt[[#This Row],[e10]] - [1]!AvgW[[#This Row],[e10]],"")</calculatedColumnFormula>
    </tableColumn>
    <tableColumn id="27" name="e11" dataDxfId="220">
      <calculatedColumnFormula>IFERROR(1 + [1]!Rt[[#This Row],[e11]] - [1]!AvgW[[#This Row],[e11]],"")</calculatedColumnFormula>
    </tableColumn>
    <tableColumn id="28" name="e12" dataDxfId="219">
      <calculatedColumnFormula>IFERROR(1 + [1]!Rt[[#This Row],[e12]] - [1]!AvgW[[#This Row],[e12]],"")</calculatedColumnFormula>
    </tableColumn>
    <tableColumn id="29" name="e13" dataDxfId="218">
      <calculatedColumnFormula>IFERROR(1 + [1]!Rt[[#This Row],[e13]] - [1]!AvgW[[#This Row],[e13]],"")</calculatedColumnFormula>
    </tableColumn>
    <tableColumn id="30" name="e14" dataDxfId="217">
      <calculatedColumnFormula>IFERROR(1 + [1]!Rt[[#This Row],[e14]] - [1]!AvgW[[#This Row],[e14]],"")</calculatedColumnFormula>
    </tableColumn>
    <tableColumn id="31" name="e15" dataDxfId="216">
      <calculatedColumnFormula>IFERROR(1 + [1]!Rt[[#This Row],[e15]] - [1]!AvgW[[#This Row],[e15]],"")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Kra" displayName="Kra" ref="A1:AD2" totalsRowShown="0" headerRowDxfId="215" dataDxfId="214">
  <autoFilter ref="A1:AD2"/>
  <tableColumns count="30">
    <tableColumn id="1" name="a1" dataDxfId="213">
      <calculatedColumnFormula>IFERROR(1 + [1]!Ra[[#This Row],[a1]] - 0.485,"")</calculatedColumnFormula>
    </tableColumn>
    <tableColumn id="2" name="a2" dataDxfId="212">
      <calculatedColumnFormula>IFERROR(1 + [1]!Ra[[#This Row],[a2]] - 0.485,"")</calculatedColumnFormula>
    </tableColumn>
    <tableColumn id="3" name="a3" dataDxfId="211">
      <calculatedColumnFormula>IFERROR(1 + [1]!Ra[[#This Row],[a3]] - 0.485,"")</calculatedColumnFormula>
    </tableColumn>
    <tableColumn id="4" name="a4" dataDxfId="210">
      <calculatedColumnFormula>IFERROR(1 + [1]!Ra[[#This Row],[a4]] - 0.485,"")</calculatedColumnFormula>
    </tableColumn>
    <tableColumn id="5" name="a5" dataDxfId="209">
      <calculatedColumnFormula>IFERROR(1 + [1]!Ra[[#This Row],[a5]] - 0.485,"")</calculatedColumnFormula>
    </tableColumn>
    <tableColumn id="6" name="a6" dataDxfId="208">
      <calculatedColumnFormula>IFERROR(1 + [1]!Ra[[#This Row],[a6]] - 0.485,"")</calculatedColumnFormula>
    </tableColumn>
    <tableColumn id="7" name="a7" dataDxfId="207">
      <calculatedColumnFormula>IFERROR(1 + [1]!Ra[[#This Row],[a7]] - 0.485,"")</calculatedColumnFormula>
    </tableColumn>
    <tableColumn id="8" name="a8" dataDxfId="206">
      <calculatedColumnFormula>IFERROR(1 + [1]!Ra[[#This Row],[a8]] - 0.485,"")</calculatedColumnFormula>
    </tableColumn>
    <tableColumn id="9" name="a9" dataDxfId="205">
      <calculatedColumnFormula>IFERROR(1 + [1]!Ra[[#This Row],[a9]] - 0.485,"")</calculatedColumnFormula>
    </tableColumn>
    <tableColumn id="10" name="a10" dataDxfId="204">
      <calculatedColumnFormula>IFERROR(1 + [1]!Ra[[#This Row],[a10]] - 0.485,"")</calculatedColumnFormula>
    </tableColumn>
    <tableColumn id="11" name="a11" dataDxfId="203">
      <calculatedColumnFormula>IFERROR(1 + [1]!Ra[[#This Row],[a11]] - 0.485,"")</calculatedColumnFormula>
    </tableColumn>
    <tableColumn id="12" name="a12" dataDxfId="202">
      <calculatedColumnFormula>IFERROR(1 + [1]!Ra[[#This Row],[a12]] - 0.485,"")</calculatedColumnFormula>
    </tableColumn>
    <tableColumn id="13" name="a13" dataDxfId="201">
      <calculatedColumnFormula>IFERROR(1 + [1]!Ra[[#This Row],[a13]] - 0.485,"")</calculatedColumnFormula>
    </tableColumn>
    <tableColumn id="14" name="a14" dataDxfId="200">
      <calculatedColumnFormula>IFERROR(1 + [1]!Ra[[#This Row],[a14]] - 0.485,"")</calculatedColumnFormula>
    </tableColumn>
    <tableColumn id="15" name="a15" dataDxfId="199">
      <calculatedColumnFormula>IFERROR(1 + [1]!Ra[[#This Row],[a15]] - 0.485,"")</calculatedColumnFormula>
    </tableColumn>
    <tableColumn id="17" name="e1" dataDxfId="198">
      <calculatedColumnFormula>IFERROR(1 + [1]!Ra[[#This Row],[e1]] - 0.485,"")</calculatedColumnFormula>
    </tableColumn>
    <tableColumn id="18" name="e2" dataDxfId="197">
      <calculatedColumnFormula>IFERROR(1 + [1]!Ra[[#This Row],[e2]] - 0.485,"")</calculatedColumnFormula>
    </tableColumn>
    <tableColumn id="19" name="e3" dataDxfId="196">
      <calculatedColumnFormula>IFERROR(1 + [1]!Ra[[#This Row],[e3]] - 0.485,"")</calculatedColumnFormula>
    </tableColumn>
    <tableColumn id="20" name="e4" dataDxfId="195">
      <calculatedColumnFormula>IFERROR(1 + [1]!Ra[[#This Row],[e4]] - 0.485,"")</calculatedColumnFormula>
    </tableColumn>
    <tableColumn id="21" name="e5" dataDxfId="194">
      <calculatedColumnFormula>IFERROR(1 + [1]!Ra[[#This Row],[e5]] - 0.485,"")</calculatedColumnFormula>
    </tableColumn>
    <tableColumn id="22" name="e6" dataDxfId="193">
      <calculatedColumnFormula>IFERROR(1 + [1]!Ra[[#This Row],[e6]] - 0.485,"")</calculatedColumnFormula>
    </tableColumn>
    <tableColumn id="23" name="e7" dataDxfId="192">
      <calculatedColumnFormula>IFERROR(1 + [1]!Ra[[#This Row],[e7]] - 0.485,"")</calculatedColumnFormula>
    </tableColumn>
    <tableColumn id="24" name="e8" dataDxfId="191">
      <calculatedColumnFormula>IFERROR(1 + [1]!Ra[[#This Row],[e8]] - 0.485,"")</calculatedColumnFormula>
    </tableColumn>
    <tableColumn id="25" name="e9" dataDxfId="190">
      <calculatedColumnFormula>IFERROR(1 + [1]!Ra[[#This Row],[e9]] - 0.485,"")</calculatedColumnFormula>
    </tableColumn>
    <tableColumn id="26" name="e10" dataDxfId="189">
      <calculatedColumnFormula>IFERROR(1 + [1]!Ra[[#This Row],[e10]] - 0.485,"")</calculatedColumnFormula>
    </tableColumn>
    <tableColumn id="27" name="e11" dataDxfId="188">
      <calculatedColumnFormula>IFERROR(1 + [1]!Ra[[#This Row],[e11]] - 0.485,"")</calculatedColumnFormula>
    </tableColumn>
    <tableColumn id="28" name="e12" dataDxfId="187">
      <calculatedColumnFormula>IFERROR(1 + [1]!Ra[[#This Row],[e12]] - 0.485,"")</calculatedColumnFormula>
    </tableColumn>
    <tableColumn id="29" name="e13" dataDxfId="186">
      <calculatedColumnFormula>IFERROR(1 + [1]!Ra[[#This Row],[e13]] - 0.485,"")</calculatedColumnFormula>
    </tableColumn>
    <tableColumn id="30" name="e14" dataDxfId="185">
      <calculatedColumnFormula>IFERROR(1 + [1]!Ra[[#This Row],[e14]] - 0.485,"")</calculatedColumnFormula>
    </tableColumn>
    <tableColumn id="31" name="e15" dataDxfId="184">
      <calculatedColumnFormula>IFERROR(1 + [1]!Ra[[#This Row],[e15]] - 0.485,"")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Ean" displayName="Ean" ref="A1:AD2" totalsRowShown="0" headerRowDxfId="183" dataDxfId="182">
  <autoFilter ref="A1:AD2"/>
  <tableColumns count="30">
    <tableColumn id="1" name="a1" dataDxfId="181">
      <calculatedColumnFormula>IFERROR([1]!xwn[[#This Row],[a1]] + ([1]!xwn[[#This Row],[a1]] * (([1]!avglvl[[#This Row],[a1]]-[1]!T[#This Row]) * 0.05)),"")</calculatedColumnFormula>
    </tableColumn>
    <tableColumn id="2" name="a2" dataDxfId="180">
      <calculatedColumnFormula>IFERROR([1]!xwn[[#This Row],[a2]] + ([1]!xwn[[#This Row],[a2]] * (([1]!avglvl[[#This Row],[a2]]-[1]!T[#This Row]) * 0.05)),"")</calculatedColumnFormula>
    </tableColumn>
    <tableColumn id="3" name="a3" dataDxfId="179">
      <calculatedColumnFormula>IFERROR([1]!xwn[[#This Row],[a3]] + ([1]!xwn[[#This Row],[a3]] * (([1]!avglvl[[#This Row],[a3]]-[1]!T[#This Row]) * 0.05)),"")</calculatedColumnFormula>
    </tableColumn>
    <tableColumn id="4" name="a4" dataDxfId="178">
      <calculatedColumnFormula>IFERROR([1]!xwn[[#This Row],[a4]] + ([1]!xwn[[#This Row],[a4]] * (([1]!avglvl[[#This Row],[a4]]-[1]!T[#This Row]) * 0.05)),"")</calculatedColumnFormula>
    </tableColumn>
    <tableColumn id="5" name="a5" dataDxfId="177">
      <calculatedColumnFormula>IFERROR([1]!xwn[[#This Row],[a5]] + ([1]!xwn[[#This Row],[a5]] * (([1]!avglvl[[#This Row],[a5]]-[1]!T[#This Row]) * 0.05)),"")</calculatedColumnFormula>
    </tableColumn>
    <tableColumn id="6" name="a6" dataDxfId="176">
      <calculatedColumnFormula>IFERROR([1]!xwn[[#This Row],[a6]] + ([1]!xwn[[#This Row],[a6]] * (([1]!avglvl[[#This Row],[a6]]-[1]!T[#This Row]) * 0.05)),"")</calculatedColumnFormula>
    </tableColumn>
    <tableColumn id="7" name="a7" dataDxfId="175">
      <calculatedColumnFormula>IFERROR([1]!xwn[[#This Row],[a7]] + ([1]!xwn[[#This Row],[a7]] * (([1]!avglvl[[#This Row],[a7]]-[1]!T[#This Row]) * 0.05)),"")</calculatedColumnFormula>
    </tableColumn>
    <tableColumn id="8" name="a8" dataDxfId="174">
      <calculatedColumnFormula>IFERROR([1]!xwn[[#This Row],[a8]] + ([1]!xwn[[#This Row],[a8]] * (([1]!avglvl[[#This Row],[a8]]-[1]!T[#This Row]) * 0.05)),"")</calculatedColumnFormula>
    </tableColumn>
    <tableColumn id="9" name="a9" dataDxfId="173">
      <calculatedColumnFormula>IFERROR([1]!xwn[[#This Row],[a9]] + ([1]!xwn[[#This Row],[a9]] * (([1]!avglvl[[#This Row],[a9]]-[1]!T[#This Row]) * 0.05)),"")</calculatedColumnFormula>
    </tableColumn>
    <tableColumn id="10" name="a10" dataDxfId="172">
      <calculatedColumnFormula>IFERROR([1]!xwn[[#This Row],[a10]] + ([1]!xwn[[#This Row],[a10]] * (([1]!avglvl[[#This Row],[a10]]-[1]!T[#This Row]) * 0.05)),"")</calculatedColumnFormula>
    </tableColumn>
    <tableColumn id="11" name="a11" dataDxfId="171">
      <calculatedColumnFormula>IFERROR([1]!xwn[[#This Row],[a11]] + ([1]!xwn[[#This Row],[a11]] * (([1]!avglvl[[#This Row],[a11]]-[1]!T[#This Row]) * 0.05)),"")</calculatedColumnFormula>
    </tableColumn>
    <tableColumn id="12" name="a12" dataDxfId="170">
      <calculatedColumnFormula>IFERROR([1]!xwn[[#This Row],[a12]] + ([1]!xwn[[#This Row],[a12]] * (([1]!avglvl[[#This Row],[a12]]-[1]!T[#This Row]) * 0.05)),"")</calculatedColumnFormula>
    </tableColumn>
    <tableColumn id="13" name="a13" dataDxfId="169">
      <calculatedColumnFormula>IFERROR([1]!xwn[[#This Row],[a13]] + ([1]!xwn[[#This Row],[a13]] * (([1]!avglvl[[#This Row],[a13]]-[1]!T[#This Row]) * 0.05)),"")</calculatedColumnFormula>
    </tableColumn>
    <tableColumn id="14" name="a14" dataDxfId="168">
      <calculatedColumnFormula>IFERROR([1]!xwn[[#This Row],[a14]] + ([1]!xwn[[#This Row],[a14]] * (([1]!avglvl[[#This Row],[a14]]-[1]!T[#This Row]) * 0.05)),"")</calculatedColumnFormula>
    </tableColumn>
    <tableColumn id="15" name="a15" dataDxfId="167">
      <calculatedColumnFormula>IFERROR([1]!xwn[[#This Row],[a15]] + ([1]!xwn[[#This Row],[a15]] * (([1]!avglvl[[#This Row],[a15]]-[1]!T[#This Row]) * 0.05)),"")</calculatedColumnFormula>
    </tableColumn>
    <tableColumn id="17" name="e1" dataDxfId="166">
      <calculatedColumnFormula>IFERROR([1]!xwn[[#This Row],[e1]] + ([1]!xwn[[#This Row],[e1]] * (([1]!avglvl[[#This Row],[e1]]-[1]!T[#This Row]) * 0.05)),"")</calculatedColumnFormula>
    </tableColumn>
    <tableColumn id="18" name="e2" dataDxfId="165">
      <calculatedColumnFormula>IFERROR([1]!xwn[[#This Row],[e2]] + ([1]!xwn[[#This Row],[e2]] * (([1]!avglvl[[#This Row],[e2]]-[1]!T[#This Row]) * 0.05)),"")</calculatedColumnFormula>
    </tableColumn>
    <tableColumn id="19" name="e3" dataDxfId="164">
      <calculatedColumnFormula>IFERROR([1]!xwn[[#This Row],[e3]] + ([1]!xwn[[#This Row],[e3]] * (([1]!avglvl[[#This Row],[e3]]-[1]!T[#This Row]) * 0.05)),"")</calculatedColumnFormula>
    </tableColumn>
    <tableColumn id="20" name="e4" dataDxfId="163">
      <calculatedColumnFormula>IFERROR([1]!xwn[[#This Row],[e4]] + ([1]!xwn[[#This Row],[e4]] * (([1]!avglvl[[#This Row],[e4]]-[1]!T[#This Row]) * 0.05)),"")</calculatedColumnFormula>
    </tableColumn>
    <tableColumn id="21" name="e5" dataDxfId="162">
      <calculatedColumnFormula>IFERROR([1]!xwn[[#This Row],[e5]] + ([1]!xwn[[#This Row],[e5]] * (([1]!avglvl[[#This Row],[e5]]-[1]!T[#This Row]) * 0.05)),"")</calculatedColumnFormula>
    </tableColumn>
    <tableColumn id="22" name="e6" dataDxfId="161">
      <calculatedColumnFormula>IFERROR([1]!xwn[[#This Row],[e6]] + ([1]!xwn[[#This Row],[e6]] * (([1]!avglvl[[#This Row],[e6]]-[1]!T[#This Row]) * 0.05)),"")</calculatedColumnFormula>
    </tableColumn>
    <tableColumn id="23" name="e7" dataDxfId="160">
      <calculatedColumnFormula>IFERROR([1]!xwn[[#This Row],[e7]] + ([1]!xwn[[#This Row],[e7]] * (([1]!avglvl[[#This Row],[e7]]-[1]!T[#This Row]) * 0.05)),"")</calculatedColumnFormula>
    </tableColumn>
    <tableColumn id="24" name="e8" dataDxfId="159">
      <calculatedColumnFormula>IFERROR([1]!xwn[[#This Row],[e8]] + ([1]!xwn[[#This Row],[e8]] * (([1]!avglvl[[#This Row],[e8]]-[1]!T[#This Row]) * 0.05)),"")</calculatedColumnFormula>
    </tableColumn>
    <tableColumn id="25" name="e9" dataDxfId="158">
      <calculatedColumnFormula>IFERROR([1]!xwn[[#This Row],[e9]] + ([1]!xwn[[#This Row],[e9]] * (([1]!avglvl[[#This Row],[e9]]-[1]!T[#This Row]) * 0.05)),"")</calculatedColumnFormula>
    </tableColumn>
    <tableColumn id="26" name="e10" dataDxfId="157">
      <calculatedColumnFormula>IFERROR([1]!xwn[[#This Row],[e10]] + ([1]!xwn[[#This Row],[e10]] * (([1]!avglvl[[#This Row],[e10]]-[1]!T[#This Row]) * 0.05)),"")</calculatedColumnFormula>
    </tableColumn>
    <tableColumn id="27" name="e11" dataDxfId="156">
      <calculatedColumnFormula>IFERROR([1]!xwn[[#This Row],[e11]] + ([1]!xwn[[#This Row],[e11]] * (([1]!avglvl[[#This Row],[e11]]-[1]!T[#This Row]) * 0.05)),"")</calculatedColumnFormula>
    </tableColumn>
    <tableColumn id="28" name="e12" dataDxfId="155">
      <calculatedColumnFormula>IFERROR([1]!xwn[[#This Row],[e12]] + ([1]!xwn[[#This Row],[e12]] * (([1]!avglvl[[#This Row],[e12]]-[1]!T[#This Row]) * 0.05)),"")</calculatedColumnFormula>
    </tableColumn>
    <tableColumn id="29" name="e13" dataDxfId="154">
      <calculatedColumnFormula>IFERROR([1]!xwn[[#This Row],[e13]] + ([1]!xwn[[#This Row],[e13]] * (([1]!avglvl[[#This Row],[e13]]-[1]!T[#This Row]) * 0.05)),"")</calculatedColumnFormula>
    </tableColumn>
    <tableColumn id="30" name="e14" dataDxfId="153">
      <calculatedColumnFormula>IFERROR([1]!xwn[[#This Row],[e14]] + ([1]!xwn[[#This Row],[e14]] * (([1]!avglvl[[#This Row],[e14]]-[1]!T[#This Row]) * 0.05)),"")</calculatedColumnFormula>
    </tableColumn>
    <tableColumn id="31" name="e15" dataDxfId="152">
      <calculatedColumnFormula>IFERROR([1]!xwn[[#This Row],[e15]] + ([1]!xwn[[#This Row],[e15]] * (([1]!avglvl[[#This Row],[e15]]-[1]!T[#This Row]) * 0.05)),"")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Eb" displayName="Eb" ref="A1:AD2" totalsRowShown="0" headerRowDxfId="151" dataDxfId="150">
  <autoFilter ref="A1:AD2"/>
  <tableColumns count="30">
    <tableColumn id="1" name="a1" dataDxfId="149">
      <calculatedColumnFormula>IFERROR(IF([1]!teff[[#This Row],[a1]] &gt; 0,
(((3/5 * ([1]!teff[[#This Row],[a1]] / 20) * Krt[[#This Row],[a1]]) * (Krt[[#This Row],[a1]] + Ktb[[#This Row],[a1]])) + ((2/5 * Ean[[#This Row],[a1]] * Kra[[#This Row],[a1]]) * (Kra[[#This Row],[a1]] + Kab[[#This Row],[a1]]))) * (Kra[[#This Row],[a1]] + 0.25 * Klvl[[#This Row],[a1]]),
((Ean[[#This Row],[a1]] * Kra[[#This Row],[a1]]) * (Kra[[#This Row],[a1]] + Kab[[#This Row],[a1]])) * (Kra[[#This Row],[a1]] + 0.25 * Klvl[[#This Row],[a1]])),"")</calculatedColumnFormula>
    </tableColumn>
    <tableColumn id="2" name="a2" dataDxfId="148">
      <calculatedColumnFormula>IFERROR(IF([1]!teff[[#This Row],[a2]] &gt; 0,
(((3/5 * ([1]!teff[[#This Row],[a2]] / 20) * Krt[[#This Row],[a2]]) * (Krt[[#This Row],[a2]] + Ktb[[#This Row],[a2]])) + ((2/5 * Ean[[#This Row],[a2]] * Kra[[#This Row],[a2]]) * (Kra[[#This Row],[a2]] + Kab[[#This Row],[a2]]))) * (Kra[[#This Row],[a2]] + 0.25 * Klvl[[#This Row],[a2]]),
((Ean[[#This Row],[a2]] * Kra[[#This Row],[a2]]) * (Kra[[#This Row],[a2]] + Kab[[#This Row],[a2]])) * (Kra[[#This Row],[a2]] + 0.25 * Klvl[[#This Row],[a2]])),"")</calculatedColumnFormula>
    </tableColumn>
    <tableColumn id="3" name="a3" dataDxfId="147">
      <calculatedColumnFormula>IFERROR(IF([1]!teff[[#This Row],[a3]] &gt; 0,
(((3/5 * ([1]!teff[[#This Row],[a3]] / 20) * Krt[[#This Row],[a3]]) * (Krt[[#This Row],[a3]] + Ktb[[#This Row],[a3]])) + ((2/5 * Ean[[#This Row],[a3]] * Kra[[#This Row],[a3]]) * (Kra[[#This Row],[a3]] + Kab[[#This Row],[a3]]))) * (Kra[[#This Row],[a3]] + 0.25 * Klvl[[#This Row],[a3]]),
((Ean[[#This Row],[a3]] * Kra[[#This Row],[a3]]) * (Kra[[#This Row],[a3]] + Kab[[#This Row],[a3]])) * (Kra[[#This Row],[a3]] + 0.25 * Klvl[[#This Row],[a3]])),"")</calculatedColumnFormula>
    </tableColumn>
    <tableColumn id="4" name="a4" dataDxfId="146">
      <calculatedColumnFormula>IFERROR(IF([1]!teff[[#This Row],[a4]] &gt; 0,
(((3/5 * ([1]!teff[[#This Row],[a4]] / 20) * Krt[[#This Row],[a4]]) * (Krt[[#This Row],[a4]] + Ktb[[#This Row],[a4]])) + ((2/5 * Ean[[#This Row],[a4]] * Kra[[#This Row],[a4]]) * (Kra[[#This Row],[a4]] + Kab[[#This Row],[a4]]))) * (Kra[[#This Row],[a4]] + 0.25 * Klvl[[#This Row],[a4]]),
((Ean[[#This Row],[a4]] * Kra[[#This Row],[a4]]) * (Kra[[#This Row],[a4]] + Kab[[#This Row],[a4]])) * (Kra[[#This Row],[a4]] + 0.25 * Klvl[[#This Row],[a4]])),"")</calculatedColumnFormula>
    </tableColumn>
    <tableColumn id="5" name="a5" dataDxfId="145">
      <calculatedColumnFormula>IFERROR(IF([1]!teff[[#This Row],[a5]] &gt; 0,
(((3/5 * ([1]!teff[[#This Row],[a5]] / 20) * Krt[[#This Row],[a5]]) * (Krt[[#This Row],[a5]] + Ktb[[#This Row],[a5]])) + ((2/5 * Ean[[#This Row],[a5]] * Kra[[#This Row],[a5]]) * (Kra[[#This Row],[a5]] + Kab[[#This Row],[a5]]))) * (Kra[[#This Row],[a5]] + 0.25 * Klvl[[#This Row],[a5]]),
((Ean[[#This Row],[a5]] * Kra[[#This Row],[a5]]) * (Kra[[#This Row],[a5]] + Kab[[#This Row],[a5]])) * (Kra[[#This Row],[a5]] + 0.25 * Klvl[[#This Row],[a5]])),"")</calculatedColumnFormula>
    </tableColumn>
    <tableColumn id="6" name="a6" dataDxfId="144">
      <calculatedColumnFormula>IFERROR(IF([1]!teff[[#This Row],[a6]] &gt; 0,
(((3/5 * ([1]!teff[[#This Row],[a6]] / 20) * Krt[[#This Row],[a6]]) * (Krt[[#This Row],[a6]] + Ktb[[#This Row],[a6]])) + ((2/5 * Ean[[#This Row],[a6]] * Kra[[#This Row],[a6]]) * (Kra[[#This Row],[a6]] + Kab[[#This Row],[a6]]))) * (Kra[[#This Row],[a6]] + 0.25 * Klvl[[#This Row],[a6]]),
((Ean[[#This Row],[a6]] * Kra[[#This Row],[a6]]) * (Kra[[#This Row],[a6]] + Kab[[#This Row],[a6]])) * (Kra[[#This Row],[a6]] + 0.25 * Klvl[[#This Row],[a6]])),"")</calculatedColumnFormula>
    </tableColumn>
    <tableColumn id="7" name="a7" dataDxfId="143">
      <calculatedColumnFormula>IFERROR(IF([1]!teff[[#This Row],[a7]] &gt; 0,
(((3/5 * ([1]!teff[[#This Row],[a7]] / 20) * Krt[[#This Row],[a7]]) * (Krt[[#This Row],[a7]] + Ktb[[#This Row],[a7]])) + ((2/5 * Ean[[#This Row],[a7]] * Kra[[#This Row],[a7]]) * (Kra[[#This Row],[a7]] + Kab[[#This Row],[a7]]))) * (Kra[[#This Row],[a7]] + 0.25 * Klvl[[#This Row],[a7]]),
((Ean[[#This Row],[a7]] * Kra[[#This Row],[a7]]) * (Kra[[#This Row],[a7]] + Kab[[#This Row],[a7]])) * (Kra[[#This Row],[a7]] + 0.25 * Klvl[[#This Row],[a7]])),"")</calculatedColumnFormula>
    </tableColumn>
    <tableColumn id="8" name="a8" dataDxfId="142">
      <calculatedColumnFormula>IFERROR(IF([1]!teff[[#This Row],[a8]] &gt; 0,
(((3/5 * ([1]!teff[[#This Row],[a8]] / 20) * Krt[[#This Row],[a8]]) * (Krt[[#This Row],[a8]] + Ktb[[#This Row],[a8]])) + ((2/5 * Ean[[#This Row],[a8]] * Kra[[#This Row],[a8]]) * (Kra[[#This Row],[a8]] + Kab[[#This Row],[a8]]))) * (Kra[[#This Row],[a8]] + 0.25 * Klvl[[#This Row],[a8]]),
((Ean[[#This Row],[a8]] * Kra[[#This Row],[a8]]) * (Kra[[#This Row],[a8]] + Kab[[#This Row],[a8]])) * (Kra[[#This Row],[a8]] + 0.25 * Klvl[[#This Row],[a8]])),"")</calculatedColumnFormula>
    </tableColumn>
    <tableColumn id="9" name="a9" dataDxfId="141">
      <calculatedColumnFormula>IFERROR(IF([1]!teff[[#This Row],[a9]] &gt; 0,
(((3/5 * ([1]!teff[[#This Row],[a9]] / 20) * Krt[[#This Row],[a9]]) * (Krt[[#This Row],[a9]] + Ktb[[#This Row],[a9]])) + ((2/5 * Ean[[#This Row],[a9]] * Kra[[#This Row],[a9]]) * (Kra[[#This Row],[a9]] + Kab[[#This Row],[a9]]))) * (Kra[[#This Row],[a9]] + 0.25 * Klvl[[#This Row],[a9]]),
((Ean[[#This Row],[a9]] * Kra[[#This Row],[a9]]) * (Kra[[#This Row],[a9]] + Kab[[#This Row],[a9]])) * (Kra[[#This Row],[a9]] + 0.25 * Klvl[[#This Row],[a9]])),"")</calculatedColumnFormula>
    </tableColumn>
    <tableColumn id="10" name="a10" dataDxfId="140">
      <calculatedColumnFormula>IFERROR(IF([1]!teff[[#This Row],[a10]] &gt; 0,
(((3/5 * ([1]!teff[[#This Row],[a10]] / 20) * Krt[[#This Row],[a10]]) * (Krt[[#This Row],[a10]] + Ktb[[#This Row],[a10]])) + ((2/5 * Ean[[#This Row],[a10]] * Kra[[#This Row],[a10]]) * (Kra[[#This Row],[a10]] + Kab[[#This Row],[a10]]))) * (Kra[[#This Row],[a10]] + 0.25 * Klvl[[#This Row],[a10]]),
((Ean[[#This Row],[a10]] * Kra[[#This Row],[a10]]) * (Kra[[#This Row],[a10]] + Kab[[#This Row],[a10]])) * (Kra[[#This Row],[a10]] + 0.25 * Klvl[[#This Row],[a10]])),"")</calculatedColumnFormula>
    </tableColumn>
    <tableColumn id="11" name="a11" dataDxfId="139">
      <calculatedColumnFormula>IFERROR(IF([1]!teff[[#This Row],[a11]] &gt; 0,
(((3/5 * ([1]!teff[[#This Row],[a11]] / 20) * Krt[[#This Row],[a11]]) * (Krt[[#This Row],[a11]] + Ktb[[#This Row],[a11]])) + ((2/5 * Ean[[#This Row],[a11]] * Kra[[#This Row],[a11]]) * (Kra[[#This Row],[a11]] + Kab[[#This Row],[a11]]))) * (Kra[[#This Row],[a11]] + 0.25 * Klvl[[#This Row],[a11]]),
((Ean[[#This Row],[a11]] * Kra[[#This Row],[a11]]) * (Kra[[#This Row],[a11]] + Kab[[#This Row],[a11]])) * (Kra[[#This Row],[a11]] + 0.25 * Klvl[[#This Row],[a11]])),"")</calculatedColumnFormula>
    </tableColumn>
    <tableColumn id="12" name="a12" dataDxfId="138">
      <calculatedColumnFormula>IFERROR(IF([1]!teff[[#This Row],[a12]] &gt; 0,
(((3/5 * ([1]!teff[[#This Row],[a12]] / 20) * Krt[[#This Row],[a12]]) * (Krt[[#This Row],[a12]] + Ktb[[#This Row],[a12]])) + ((2/5 * Ean[[#This Row],[a12]] * Kra[[#This Row],[a12]]) * (Kra[[#This Row],[a12]] + Kab[[#This Row],[a12]]))) * (Kra[[#This Row],[a12]] + 0.25 * Klvl[[#This Row],[a12]]),
((Ean[[#This Row],[a12]] * Kra[[#This Row],[a12]]) * (Kra[[#This Row],[a12]] + Kab[[#This Row],[a12]])) * (Kra[[#This Row],[a12]] + 0.25 * Klvl[[#This Row],[a12]])),"")</calculatedColumnFormula>
    </tableColumn>
    <tableColumn id="13" name="a13" dataDxfId="137">
      <calculatedColumnFormula>IFERROR(IF([1]!teff[[#This Row],[a13]] &gt; 0,
(((3/5 * ([1]!teff[[#This Row],[a13]] / 20) * Krt[[#This Row],[a13]]) * (Krt[[#This Row],[a13]] + Ktb[[#This Row],[a13]])) + ((2/5 * Ean[[#This Row],[a13]] * Kra[[#This Row],[a13]]) * (Kra[[#This Row],[a13]] + Kab[[#This Row],[a13]]))) * (Kra[[#This Row],[a13]] + 0.25 * Klvl[[#This Row],[a13]]),
((Ean[[#This Row],[a13]] * Kra[[#This Row],[a13]]) * (Kra[[#This Row],[a13]] + Kab[[#This Row],[a13]])) * (Kra[[#This Row],[a13]] + 0.25 * Klvl[[#This Row],[a13]])),"")</calculatedColumnFormula>
    </tableColumn>
    <tableColumn id="14" name="a14" dataDxfId="136">
      <calculatedColumnFormula>IFERROR(IF([1]!teff[[#This Row],[a14]] &gt; 0,
(((3/5 * ([1]!teff[[#This Row],[a14]] / 20) * Krt[[#This Row],[a14]]) * (Krt[[#This Row],[a14]] + Ktb[[#This Row],[a14]])) + ((2/5 * Ean[[#This Row],[a14]] * Kra[[#This Row],[a14]]) * (Kra[[#This Row],[a14]] + Kab[[#This Row],[a14]]))) * (Kra[[#This Row],[a14]] + 0.25 * Klvl[[#This Row],[a14]]),
((Ean[[#This Row],[a14]] * Kra[[#This Row],[a14]]) * (Kra[[#This Row],[a14]] + Kab[[#This Row],[a14]])) * (Kra[[#This Row],[a14]] + 0.25 * Klvl[[#This Row],[a14]])),"")</calculatedColumnFormula>
    </tableColumn>
    <tableColumn id="15" name="a15" dataDxfId="135">
      <calculatedColumnFormula>IFERROR(IF([1]!teff[[#This Row],[a15]] &gt; 0,
(((3/5 * ([1]!teff[[#This Row],[a15]] / 20) * Krt[[#This Row],[a15]]) * (Krt[[#This Row],[a15]] + Ktb[[#This Row],[a15]])) + ((2/5 * Ean[[#This Row],[a15]] * Kra[[#This Row],[a15]]) * (Kra[[#This Row],[a15]] + Kab[[#This Row],[a15]]))) * (Kra[[#This Row],[a15]] + 0.25 * Klvl[[#This Row],[a15]]),
((Ean[[#This Row],[a15]] * Kra[[#This Row],[a15]]) * (Kra[[#This Row],[a15]] + Kab[[#This Row],[a15]])) * (Kra[[#This Row],[a15]] + 0.25 * Klvl[[#This Row],[a15]])),"")</calculatedColumnFormula>
    </tableColumn>
    <tableColumn id="17" name="e1" dataDxfId="134">
      <calculatedColumnFormula>IFERROR(IF([1]!teff[[#This Row],[e1]] &gt; 0,
(((3/5 * ([1]!teff[[#This Row],[e1]] / 20) * Krt[[#This Row],[e1]]) * (Krt[[#This Row],[e1]] + Ktb[[#This Row],[e1]])) + ((2/5 * Ean[[#This Row],[e1]] * Kra[[#This Row],[e1]]) * (Kra[[#This Row],[e1]] + Kab[[#This Row],[e1]]))) * (Kra[[#This Row],[e1]] + 0.25 * Klvl[[#This Row],[e1]]),
((Ean[[#This Row],[e1]] * Kra[[#This Row],[e1]]) * (Kra[[#This Row],[e1]] + Kab[[#This Row],[e1]])) * (Kra[[#This Row],[e1]] + 0.25 * Klvl[[#This Row],[e1]])),"")</calculatedColumnFormula>
    </tableColumn>
    <tableColumn id="18" name="e2" dataDxfId="133">
      <calculatedColumnFormula>IFERROR(IF([1]!teff[[#This Row],[e2]] &gt; 0,
(((3/5 * ([1]!teff[[#This Row],[e2]] / 20) * Krt[[#This Row],[e2]]) * (Krt[[#This Row],[e2]] + Ktb[[#This Row],[e2]])) + ((2/5 * Ean[[#This Row],[e2]] * Kra[[#This Row],[e2]]) * (Kra[[#This Row],[e2]] + Kab[[#This Row],[e2]]))) * (Kra[[#This Row],[e2]] + 0.25 * Klvl[[#This Row],[e2]]),
((Ean[[#This Row],[e2]] * Kra[[#This Row],[e2]]) * (Kra[[#This Row],[e2]] + Kab[[#This Row],[e2]])) * (Kra[[#This Row],[e2]] + 0.25 * Klvl[[#This Row],[e2]])),"")</calculatedColumnFormula>
    </tableColumn>
    <tableColumn id="19" name="e3" dataDxfId="132">
      <calculatedColumnFormula>IFERROR(IF([1]!teff[[#This Row],[e3]] &gt; 0,
(((3/5 * ([1]!teff[[#This Row],[e3]] / 20) * Krt[[#This Row],[e3]]) * (Krt[[#This Row],[e3]] + Ktb[[#This Row],[e3]])) + ((2/5 * Ean[[#This Row],[e3]] * Kra[[#This Row],[e3]]) * (Kra[[#This Row],[e3]] + Kab[[#This Row],[e3]]))) * (Kra[[#This Row],[e3]] + 0.25 * Klvl[[#This Row],[e3]]),
((Ean[[#This Row],[e3]] * Kra[[#This Row],[e3]]) * (Kra[[#This Row],[e3]] + Kab[[#This Row],[e3]])) * (Kra[[#This Row],[e3]] + 0.25 * Klvl[[#This Row],[e3]])),"")</calculatedColumnFormula>
    </tableColumn>
    <tableColumn id="20" name="e4" dataDxfId="131">
      <calculatedColumnFormula>IFERROR(IF([1]!teff[[#This Row],[e4]] &gt; 0,
(((3/5 * ([1]!teff[[#This Row],[e4]] / 20) * Krt[[#This Row],[e4]]) * (Krt[[#This Row],[e4]] + Ktb[[#This Row],[e4]])) + ((2/5 * Ean[[#This Row],[e4]] * Kra[[#This Row],[e4]]) * (Kra[[#This Row],[e4]] + Kab[[#This Row],[e4]]))) * (Kra[[#This Row],[e4]] + 0.25 * Klvl[[#This Row],[e4]]),
((Ean[[#This Row],[e4]] * Kra[[#This Row],[e4]]) * (Kra[[#This Row],[e4]] + Kab[[#This Row],[e4]])) * (Kra[[#This Row],[e4]] + 0.25 * Klvl[[#This Row],[e4]])),"")</calculatedColumnFormula>
    </tableColumn>
    <tableColumn id="21" name="e5" dataDxfId="130">
      <calculatedColumnFormula>IFERROR(IF([1]!teff[[#This Row],[e5]] &gt; 0,
(((3/5 * ([1]!teff[[#This Row],[e5]] / 20) * Krt[[#This Row],[e5]]) * (Krt[[#This Row],[e5]] + Ktb[[#This Row],[e5]])) + ((2/5 * Ean[[#This Row],[e5]] * Kra[[#This Row],[e5]]) * (Kra[[#This Row],[e5]] + Kab[[#This Row],[e5]]))) * (Kra[[#This Row],[e5]] + 0.25 * Klvl[[#This Row],[e5]]),
((Ean[[#This Row],[e5]] * Kra[[#This Row],[e5]]) * (Kra[[#This Row],[e5]] + Kab[[#This Row],[e5]])) * (Kra[[#This Row],[e5]] + 0.25 * Klvl[[#This Row],[e5]])),"")</calculatedColumnFormula>
    </tableColumn>
    <tableColumn id="22" name="e6" dataDxfId="129">
      <calculatedColumnFormula>IFERROR(IF([1]!teff[[#This Row],[e6]] &gt; 0,
(((3/5 * ([1]!teff[[#This Row],[e6]] / 20) * Krt[[#This Row],[e6]]) * (Krt[[#This Row],[e6]] + Ktb[[#This Row],[e6]])) + ((2/5 * Ean[[#This Row],[e6]] * Kra[[#This Row],[e6]]) * (Kra[[#This Row],[e6]] + Kab[[#This Row],[e6]]))) * (Kra[[#This Row],[e6]] + 0.25 * Klvl[[#This Row],[e6]]),
((Ean[[#This Row],[e6]] * Kra[[#This Row],[e6]]) * (Kra[[#This Row],[e6]] + Kab[[#This Row],[e6]])) * (Kra[[#This Row],[e6]] + 0.25 * Klvl[[#This Row],[e6]])),"")</calculatedColumnFormula>
    </tableColumn>
    <tableColumn id="23" name="e7" dataDxfId="128">
      <calculatedColumnFormula>IFERROR(IF([1]!teff[[#This Row],[e7]] &gt; 0,
(((3/5 * ([1]!teff[[#This Row],[e7]] / 20) * Krt[[#This Row],[e7]]) * (Krt[[#This Row],[e7]] + Ktb[[#This Row],[e7]])) + ((2/5 * Ean[[#This Row],[e7]] * Kra[[#This Row],[e7]]) * (Kra[[#This Row],[e7]] + Kab[[#This Row],[e7]]))) * (Kra[[#This Row],[e7]] + 0.25 * Klvl[[#This Row],[e7]]),
((Ean[[#This Row],[e7]] * Kra[[#This Row],[e7]]) * (Kra[[#This Row],[e7]] + Kab[[#This Row],[e7]])) * (Kra[[#This Row],[e7]] + 0.25 * Klvl[[#This Row],[e7]])),"")</calculatedColumnFormula>
    </tableColumn>
    <tableColumn id="24" name="e8" dataDxfId="127">
      <calculatedColumnFormula>IFERROR(IF([1]!teff[[#This Row],[e8]] &gt; 0,
(((3/5 * ([1]!teff[[#This Row],[e8]] / 20) * Krt[[#This Row],[e8]]) * (Krt[[#This Row],[e8]] + Ktb[[#This Row],[e8]])) + ((2/5 * Ean[[#This Row],[e8]] * Kra[[#This Row],[e8]]) * (Kra[[#This Row],[e8]] + Kab[[#This Row],[e8]]))) * (Kra[[#This Row],[e8]] + 0.25 * Klvl[[#This Row],[e8]]),
((Ean[[#This Row],[e8]] * Kra[[#This Row],[e8]]) * (Kra[[#This Row],[e8]] + Kab[[#This Row],[e8]])) * (Kra[[#This Row],[e8]] + 0.25 * Klvl[[#This Row],[e8]])),"")</calculatedColumnFormula>
    </tableColumn>
    <tableColumn id="25" name="e9" dataDxfId="126">
      <calculatedColumnFormula>IFERROR(IF([1]!teff[[#This Row],[e9]] &gt; 0,
(((3/5 * ([1]!teff[[#This Row],[e9]] / 20) * Krt[[#This Row],[e9]]) * (Krt[[#This Row],[e9]] + Ktb[[#This Row],[e9]])) + ((2/5 * Ean[[#This Row],[e9]] * Kra[[#This Row],[e9]]) * (Kra[[#This Row],[e9]] + Kab[[#This Row],[e9]]))) * (Kra[[#This Row],[e9]] + 0.25 * Klvl[[#This Row],[e9]]),
((Ean[[#This Row],[e9]] * Kra[[#This Row],[e9]]) * (Kra[[#This Row],[e9]] + Kab[[#This Row],[e9]])) * (Kra[[#This Row],[e9]] + 0.25 * Klvl[[#This Row],[e9]])),"")</calculatedColumnFormula>
    </tableColumn>
    <tableColumn id="26" name="e10" dataDxfId="125">
      <calculatedColumnFormula>IFERROR(IF([1]!teff[[#This Row],[e10]] &gt; 0,
(((3/5 * ([1]!teff[[#This Row],[e10]] / 20) * Krt[[#This Row],[e10]]) * (Krt[[#This Row],[e10]] + Ktb[[#This Row],[e10]])) + ((2/5 * Ean[[#This Row],[e10]] * Kra[[#This Row],[e10]]) * (Kra[[#This Row],[e10]] + Kab[[#This Row],[e10]]))) * (Kra[[#This Row],[e10]] + 0.25 * Klvl[[#This Row],[e10]]),
((Ean[[#This Row],[e10]] * Kra[[#This Row],[e10]]) * (Kra[[#This Row],[e10]] + Kab[[#This Row],[e10]])) * (Kra[[#This Row],[e10]] + 0.25 * Klvl[[#This Row],[e10]])),"")</calculatedColumnFormula>
    </tableColumn>
    <tableColumn id="27" name="e11" dataDxfId="124">
      <calculatedColumnFormula>IFERROR(IF([1]!teff[[#This Row],[e11]] &gt; 0,
(((3/5 * ([1]!teff[[#This Row],[e11]] / 20) * Krt[[#This Row],[e11]]) * (Krt[[#This Row],[e11]] + Ktb[[#This Row],[e11]])) + ((2/5 * Ean[[#This Row],[e11]] * Kra[[#This Row],[e11]]) * (Kra[[#This Row],[e11]] + Kab[[#This Row],[e11]]))) * (Kra[[#This Row],[e11]] + 0.25 * Klvl[[#This Row],[e11]]),
((Ean[[#This Row],[e11]] * Kra[[#This Row],[e11]]) * (Kra[[#This Row],[e11]] + Kab[[#This Row],[e11]])) * (Kra[[#This Row],[e11]] + 0.25 * Klvl[[#This Row],[e11]])),"")</calculatedColumnFormula>
    </tableColumn>
    <tableColumn id="28" name="e12" dataDxfId="123">
      <calculatedColumnFormula>IFERROR(IF([1]!teff[[#This Row],[e12]] &gt; 0,
(((3/5 * ([1]!teff[[#This Row],[e12]] / 20) * Krt[[#This Row],[e12]]) * (Krt[[#This Row],[e12]] + Ktb[[#This Row],[e12]])) + ((2/5 * Ean[[#This Row],[e12]] * Kra[[#This Row],[e12]]) * (Kra[[#This Row],[e12]] + Kab[[#This Row],[e12]]))) * (Kra[[#This Row],[e12]] + 0.25 * Klvl[[#This Row],[e12]]),
((Ean[[#This Row],[e12]] * Kra[[#This Row],[e12]]) * (Kra[[#This Row],[e12]] + Kab[[#This Row],[e12]])) * (Kra[[#This Row],[e12]] + 0.25 * Klvl[[#This Row],[e12]])),"")</calculatedColumnFormula>
    </tableColumn>
    <tableColumn id="29" name="e13" dataDxfId="122">
      <calculatedColumnFormula>IFERROR(IF([1]!teff[[#This Row],[e13]] &gt; 0,
(((3/5 * ([1]!teff[[#This Row],[e13]] / 20) * Krt[[#This Row],[e13]]) * (Krt[[#This Row],[e13]] + Ktb[[#This Row],[e13]])) + ((2/5 * Ean[[#This Row],[e13]] * Kra[[#This Row],[e13]]) * (Kra[[#This Row],[e13]] + Kab[[#This Row],[e13]]))) * (Kra[[#This Row],[e13]] + 0.25 * Klvl[[#This Row],[e13]]),
((Ean[[#This Row],[e13]] * Kra[[#This Row],[e13]]) * (Kra[[#This Row],[e13]] + Kab[[#This Row],[e13]])) * (Kra[[#This Row],[e13]] + 0.25 * Klvl[[#This Row],[e13]])),"")</calculatedColumnFormula>
    </tableColumn>
    <tableColumn id="30" name="e14" dataDxfId="121">
      <calculatedColumnFormula>IFERROR(IF([1]!teff[[#This Row],[e14]] &gt; 0,
(((3/5 * ([1]!teff[[#This Row],[e14]] / 20) * Krt[[#This Row],[e14]]) * (Krt[[#This Row],[e14]] + Ktb[[#This Row],[e14]])) + ((2/5 * Ean[[#This Row],[e14]] * Kra[[#This Row],[e14]]) * (Kra[[#This Row],[e14]] + Kab[[#This Row],[e14]]))) * (Kra[[#This Row],[e14]] + 0.25 * Klvl[[#This Row],[e14]]),
((Ean[[#This Row],[e14]] * Kra[[#This Row],[e14]]) * (Kra[[#This Row],[e14]] + Kab[[#This Row],[e14]])) * (Kra[[#This Row],[e14]] + 0.25 * Klvl[[#This Row],[e14]])),"")</calculatedColumnFormula>
    </tableColumn>
    <tableColumn id="31" name="e15" dataDxfId="120">
      <calculatedColumnFormula>IFERROR(IF([1]!teff[[#This Row],[e15]] &gt; 0,
(((3/5 * ([1]!teff[[#This Row],[e15]] / 20) * Krt[[#This Row],[e15]]) * (Krt[[#This Row],[e15]] + Ktb[[#This Row],[e15]])) + ((2/5 * Ean[[#This Row],[e15]] * Kra[[#This Row],[e15]]) * (Kra[[#This Row],[e15]] + Kab[[#This Row],[e15]]))) * (Kra[[#This Row],[e15]] + 0.25 * Klvl[[#This Row],[e15]]),
((Ean[[#This Row],[e15]] * Kra[[#This Row],[e15]]) * (Kra[[#This Row],[e15]] + Kab[[#This Row],[e15]])) * (Kra[[#This Row],[e15]] + 0.25 * Klvl[[#This Row],[e15]])),"")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Ebn" displayName="Ebn" ref="A1:AD2" totalsRowShown="0" headerRowDxfId="119" dataDxfId="118">
  <autoFilter ref="A1:AD2"/>
  <tableColumns count="30">
    <tableColumn id="1" name="a1" dataDxfId="117">
      <calculatedColumnFormula>IFERROR(IF(Eb[[#This Row],[a1]]="","",MIN(300,Eb[[#This Row],[a1]])),"")</calculatedColumnFormula>
    </tableColumn>
    <tableColumn id="2" name="a2" dataDxfId="116">
      <calculatedColumnFormula>IFERROR(IF(Eb[[#This Row],[a2]]="","",MIN(300,Eb[[#This Row],[a2]])),"")</calculatedColumnFormula>
    </tableColumn>
    <tableColumn id="3" name="a3" dataDxfId="115">
      <calculatedColumnFormula>IFERROR(IF(Eb[[#This Row],[a3]]="","",MIN(300,Eb[[#This Row],[a3]])),"")</calculatedColumnFormula>
    </tableColumn>
    <tableColumn id="4" name="a4" dataDxfId="114">
      <calculatedColumnFormula>IFERROR(IF(Eb[[#This Row],[a4]]="","",MIN(300,Eb[[#This Row],[a4]])),"")</calculatedColumnFormula>
    </tableColumn>
    <tableColumn id="5" name="a5" dataDxfId="113">
      <calculatedColumnFormula>IFERROR(IF(Eb[[#This Row],[a5]]="","",MIN(300,Eb[[#This Row],[a5]])),"")</calculatedColumnFormula>
    </tableColumn>
    <tableColumn id="6" name="a6" dataDxfId="112">
      <calculatedColumnFormula>IFERROR(IF(Eb[[#This Row],[a6]]="","",MIN(300,Eb[[#This Row],[a6]])),"")</calculatedColumnFormula>
    </tableColumn>
    <tableColumn id="7" name="a7" dataDxfId="111">
      <calculatedColumnFormula>IFERROR(IF(Eb[[#This Row],[a7]]="","",MIN(300,Eb[[#This Row],[a7]])),"")</calculatedColumnFormula>
    </tableColumn>
    <tableColumn id="8" name="a8" dataDxfId="110">
      <calculatedColumnFormula>IFERROR(IF(Eb[[#This Row],[a8]]="","",MIN(300,Eb[[#This Row],[a8]])),"")</calculatedColumnFormula>
    </tableColumn>
    <tableColumn id="9" name="a9" dataDxfId="109">
      <calculatedColumnFormula>IFERROR(IF(Eb[[#This Row],[a9]]="","",MIN(300,Eb[[#This Row],[a9]])),"")</calculatedColumnFormula>
    </tableColumn>
    <tableColumn id="10" name="a10" dataDxfId="108">
      <calculatedColumnFormula>IFERROR(IF(Eb[[#This Row],[a10]]="","",MIN(300,Eb[[#This Row],[a10]])),"")</calculatedColumnFormula>
    </tableColumn>
    <tableColumn id="11" name="a11" dataDxfId="107">
      <calculatedColumnFormula>IFERROR(IF(Eb[[#This Row],[a11]]="","",MIN(300,Eb[[#This Row],[a11]])),"")</calculatedColumnFormula>
    </tableColumn>
    <tableColumn id="12" name="a12" dataDxfId="106">
      <calculatedColumnFormula>IFERROR(IF(Eb[[#This Row],[a12]]="","",MIN(300,Eb[[#This Row],[a12]])),"")</calculatedColumnFormula>
    </tableColumn>
    <tableColumn id="13" name="a13" dataDxfId="105">
      <calculatedColumnFormula>IFERROR(IF(Eb[[#This Row],[a13]]="","",MIN(300,Eb[[#This Row],[a13]])),"")</calculatedColumnFormula>
    </tableColumn>
    <tableColumn id="14" name="a14" dataDxfId="104">
      <calculatedColumnFormula>IFERROR(IF(Eb[[#This Row],[a14]]="","",MIN(300,Eb[[#This Row],[a14]])),"")</calculatedColumnFormula>
    </tableColumn>
    <tableColumn id="15" name="a15" dataDxfId="103">
      <calculatedColumnFormula>IFERROR(IF(Eb[[#This Row],[a15]]="","",MIN(300,Eb[[#This Row],[a15]])),"")</calculatedColumnFormula>
    </tableColumn>
    <tableColumn id="17" name="e1" dataDxfId="102">
      <calculatedColumnFormula>IFERROR(IF(Eb[[#This Row],[e1]]="","",MIN(300,Eb[[#This Row],[e1]])),"")</calculatedColumnFormula>
    </tableColumn>
    <tableColumn id="18" name="e2" dataDxfId="101">
      <calculatedColumnFormula>IFERROR(IF(Eb[[#This Row],[e2]]="","",MIN(300,Eb[[#This Row],[e2]])),"")</calculatedColumnFormula>
    </tableColumn>
    <tableColumn id="19" name="e3" dataDxfId="100">
      <calculatedColumnFormula>IFERROR(IF(Eb[[#This Row],[e3]]="","",MIN(300,Eb[[#This Row],[e3]])),"")</calculatedColumnFormula>
    </tableColumn>
    <tableColumn id="20" name="e4" dataDxfId="99">
      <calculatedColumnFormula>IFERROR(IF(Eb[[#This Row],[e4]]="","",MIN(300,Eb[[#This Row],[e4]])),"")</calculatedColumnFormula>
    </tableColumn>
    <tableColumn id="21" name="e5" dataDxfId="98">
      <calculatedColumnFormula>IFERROR(IF(Eb[[#This Row],[e5]]="","",MIN(300,Eb[[#This Row],[e5]])),"")</calculatedColumnFormula>
    </tableColumn>
    <tableColumn id="22" name="e6" dataDxfId="97">
      <calculatedColumnFormula>IFERROR(IF(Eb[[#This Row],[e6]]="","",MIN(300,Eb[[#This Row],[e6]])),"")</calculatedColumnFormula>
    </tableColumn>
    <tableColumn id="23" name="e7" dataDxfId="96">
      <calculatedColumnFormula>IFERROR(IF(Eb[[#This Row],[e7]]="","",MIN(300,Eb[[#This Row],[e7]])),"")</calculatedColumnFormula>
    </tableColumn>
    <tableColumn id="24" name="e8" dataDxfId="95">
      <calculatedColumnFormula>IFERROR(IF(Eb[[#This Row],[e8]]="","",MIN(300,Eb[[#This Row],[e8]])),"")</calculatedColumnFormula>
    </tableColumn>
    <tableColumn id="25" name="e9" dataDxfId="94">
      <calculatedColumnFormula>IFERROR(IF(Eb[[#This Row],[e9]]="","",MIN(300,Eb[[#This Row],[e9]])),"")</calculatedColumnFormula>
    </tableColumn>
    <tableColumn id="26" name="e10" dataDxfId="93">
      <calculatedColumnFormula>IFERROR(IF(Eb[[#This Row],[e10]]="","",MIN(300,Eb[[#This Row],[e10]])),"")</calculatedColumnFormula>
    </tableColumn>
    <tableColumn id="27" name="e11" dataDxfId="92">
      <calculatedColumnFormula>IFERROR(IF(Eb[[#This Row],[e11]]="","",MIN(300,Eb[[#This Row],[e11]])),"")</calculatedColumnFormula>
    </tableColumn>
    <tableColumn id="28" name="e12" dataDxfId="91">
      <calculatedColumnFormula>IFERROR(IF(Eb[[#This Row],[e12]]="","",MIN(300,Eb[[#This Row],[e12]])),"")</calculatedColumnFormula>
    </tableColumn>
    <tableColumn id="29" name="e13" dataDxfId="90">
      <calculatedColumnFormula>IFERROR(IF(Eb[[#This Row],[e13]]="","",MIN(300,Eb[[#This Row],[e13]])),"")</calculatedColumnFormula>
    </tableColumn>
    <tableColumn id="30" name="e14" dataDxfId="89">
      <calculatedColumnFormula>IFERROR(IF(Eb[[#This Row],[e14]]="","",MIN(300,Eb[[#This Row],[e14]])),"")</calculatedColumnFormula>
    </tableColumn>
    <tableColumn id="31" name="e15" dataDxfId="88">
      <calculatedColumnFormula>IFERROR(IF(Eb[[#This Row],[e15]]="","",MIN(300,Eb[[#This Row],[e15]])),"")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abSelected="1" workbookViewId="0">
      <selection activeCell="A2" sqref="A2"/>
    </sheetView>
  </sheetViews>
  <sheetFormatPr defaultRowHeight="15" x14ac:dyDescent="0.25"/>
  <cols>
    <col min="1" max="1" width="8.7109375" style="17" customWidth="1"/>
    <col min="2" max="2" width="10.140625" style="6" customWidth="1"/>
    <col min="3" max="3" width="8.28515625" style="6" bestFit="1" customWidth="1"/>
    <col min="4" max="5" width="8.140625" style="6" bestFit="1" customWidth="1"/>
    <col min="6" max="6" width="9" style="15" bestFit="1" customWidth="1"/>
    <col min="7" max="14" width="5.28515625" style="15" bestFit="1" customWidth="1"/>
    <col min="15" max="20" width="6.28515625" style="15" bestFit="1" customWidth="1"/>
    <col min="21" max="29" width="5.42578125" style="15" bestFit="1" customWidth="1"/>
    <col min="30" max="35" width="6.42578125" style="15" bestFit="1" customWidth="1"/>
  </cols>
  <sheetData>
    <row r="1" spans="1:35" s="10" customFormat="1" ht="15.75" thickBot="1" x14ac:dyDescent="0.3">
      <c r="A1" s="7" t="s">
        <v>39</v>
      </c>
      <c r="B1" s="7" t="s">
        <v>0</v>
      </c>
      <c r="C1" s="8" t="s">
        <v>1</v>
      </c>
      <c r="D1" s="8" t="s">
        <v>2</v>
      </c>
      <c r="E1" s="9" t="s">
        <v>3</v>
      </c>
      <c r="F1" s="11" t="s">
        <v>38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3" t="s">
        <v>18</v>
      </c>
      <c r="U1" s="11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</row>
    <row r="2" spans="1:35" s="2" customFormat="1" x14ac:dyDescent="0.25">
      <c r="A2" s="16" t="e">
        <f>[1]!results[[#This Row],[draw]]</f>
        <v>#REF!</v>
      </c>
      <c r="B2" s="5" t="str">
        <f>F_1[[#This Row],[P]]</f>
        <v/>
      </c>
      <c r="C2" s="5" t="str">
        <f>F_2[[#This Row],[P]]</f>
        <v/>
      </c>
      <c r="D2" s="5" t="str">
        <f>F_3[[#This Row],[P]]</f>
        <v/>
      </c>
      <c r="E2" s="5" t="str">
        <f>F_4[[#This Row],[P]]</f>
        <v/>
      </c>
      <c r="F2" s="14" t="str">
        <f>Ebn[[#This Row],[a1]]</f>
        <v/>
      </c>
      <c r="G2" s="14" t="str">
        <f>Ebn[[#This Row],[a2]]</f>
        <v/>
      </c>
      <c r="H2" s="14" t="str">
        <f>Ebn[[#This Row],[a3]]</f>
        <v/>
      </c>
      <c r="I2" s="14" t="str">
        <f>Ebn[[#This Row],[a4]]</f>
        <v/>
      </c>
      <c r="J2" s="14" t="str">
        <f>Ebn[[#This Row],[a5]]</f>
        <v/>
      </c>
      <c r="K2" s="14" t="str">
        <f>Ebn[[#This Row],[a6]]</f>
        <v/>
      </c>
      <c r="L2" s="14" t="str">
        <f>Ebn[[#This Row],[a7]]</f>
        <v/>
      </c>
      <c r="M2" s="14" t="str">
        <f>Ebn[[#This Row],[a8]]</f>
        <v/>
      </c>
      <c r="N2" s="14" t="str">
        <f>Ebn[[#This Row],[a9]]</f>
        <v/>
      </c>
      <c r="O2" s="14" t="str">
        <f>Ebn[[#This Row],[a10]]</f>
        <v/>
      </c>
      <c r="P2" s="14" t="str">
        <f>Ebn[[#This Row],[a11]]</f>
        <v/>
      </c>
      <c r="Q2" s="14" t="str">
        <f>Ebn[[#This Row],[a12]]</f>
        <v/>
      </c>
      <c r="R2" s="14" t="str">
        <f>Ebn[[#This Row],[a13]]</f>
        <v/>
      </c>
      <c r="S2" s="14" t="str">
        <f>Ebn[[#This Row],[a14]]</f>
        <v/>
      </c>
      <c r="T2" s="14" t="str">
        <f>Ebn[[#This Row],[a15]]</f>
        <v/>
      </c>
      <c r="U2" s="14" t="str">
        <f>Ebn[[#This Row],[e1]]</f>
        <v/>
      </c>
      <c r="V2" s="14" t="str">
        <f>Ebn[[#This Row],[e2]]</f>
        <v/>
      </c>
      <c r="W2" s="14" t="str">
        <f>Ebn[[#This Row],[e3]]</f>
        <v/>
      </c>
      <c r="X2" s="14" t="str">
        <f>Ebn[[#This Row],[e4]]</f>
        <v/>
      </c>
      <c r="Y2" s="14" t="str">
        <f>Ebn[[#This Row],[e5]]</f>
        <v/>
      </c>
      <c r="Z2" s="14" t="str">
        <f>Ebn[[#This Row],[e6]]</f>
        <v/>
      </c>
      <c r="AA2" s="14" t="str">
        <f>Ebn[[#This Row],[e7]]</f>
        <v/>
      </c>
      <c r="AB2" s="14" t="str">
        <f>Ebn[[#This Row],[e8]]</f>
        <v/>
      </c>
      <c r="AC2" s="14" t="str">
        <f>Ebn[[#This Row],[e9]]</f>
        <v/>
      </c>
      <c r="AD2" s="14" t="str">
        <f>Ebn[[#This Row],[e10]]</f>
        <v/>
      </c>
      <c r="AE2" s="14" t="str">
        <f>Ebn[[#This Row],[e11]]</f>
        <v/>
      </c>
      <c r="AF2" s="14" t="str">
        <f>Ebn[[#This Row],[e12]]</f>
        <v/>
      </c>
      <c r="AG2" s="14" t="str">
        <f>Ebn[[#This Row],[e13]]</f>
        <v/>
      </c>
      <c r="AH2" s="14" t="str">
        <f>Ebn[[#This Row],[e14]]</f>
        <v/>
      </c>
      <c r="AI2" s="14" t="str">
        <f>Ebn[[#This Row],[e15]]</f>
        <v/>
      </c>
    </row>
  </sheetData>
  <conditionalFormatting sqref="B1:E1048576">
    <cfRule type="iconSet" priority="2">
      <iconSet iconSet="3Signs">
        <cfvo type="percent" val="0"/>
        <cfvo type="num" val="40"/>
        <cfvo type="num" val="50"/>
      </iconSet>
    </cfRule>
  </conditionalFormatting>
  <pageMargins left="0.7" right="0.7" top="0.75" bottom="0.75" header="0.3" footer="0.3"/>
  <pageSetup paperSize="256" orientation="portrait" horizontalDpi="203" verticalDpi="20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F0C84CA-4015-4C4A-B81C-5B7F086472A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2"/>
              <x14:cfIcon iconSet="4TrafficLights" iconId="0"/>
            </x14:iconSet>
          </x14:cfRule>
          <xm:sqref>A1:A1048576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IFERROR(((Ean[[#This Row],[a1]] * Kra[[#This Row],[a1]]) * (Kra[[#This Row],[a1]] + Kab[[#This Row],[a1]])) * (Kra[[#This Row],[a1]] + 0.25 * Klvl[[#This Row],[a1]]),"")</f>
        <v/>
      </c>
      <c r="B2" s="3" t="str">
        <f>IFERROR(((Ean[[#This Row],[a2]] * Kra[[#This Row],[a2]]) * (Kra[[#This Row],[a2]] + Kab[[#This Row],[a2]])) * (Kra[[#This Row],[a2]] + 0.25 * Klvl[[#This Row],[a2]]),"")</f>
        <v/>
      </c>
      <c r="C2" s="3" t="str">
        <f>IFERROR(((Ean[[#This Row],[a3]] * Kra[[#This Row],[a3]]) * (Kra[[#This Row],[a3]] + Kab[[#This Row],[a3]])) * (Kra[[#This Row],[a3]] + 0.25 * Klvl[[#This Row],[a3]]),"")</f>
        <v/>
      </c>
      <c r="D2" s="3" t="str">
        <f>IFERROR(((Ean[[#This Row],[a4]] * Kra[[#This Row],[a4]]) * (Kra[[#This Row],[a4]] + Kab[[#This Row],[a4]])) * (Kra[[#This Row],[a4]] + 0.25 * Klvl[[#This Row],[a4]]),"")</f>
        <v/>
      </c>
      <c r="E2" s="3" t="str">
        <f>IFERROR(((Ean[[#This Row],[a5]] * Kra[[#This Row],[a5]]) * (Kra[[#This Row],[a5]] + Kab[[#This Row],[a5]])) * (Kra[[#This Row],[a5]] + 0.25 * Klvl[[#This Row],[a5]]),"")</f>
        <v/>
      </c>
      <c r="F2" s="3" t="str">
        <f>IFERROR(((Ean[[#This Row],[a6]] * Kra[[#This Row],[a6]]) * (Kra[[#This Row],[a6]] + Kab[[#This Row],[a6]])) * (Kra[[#This Row],[a6]] + 0.25 * Klvl[[#This Row],[a6]]),"")</f>
        <v/>
      </c>
      <c r="G2" s="3" t="str">
        <f>IFERROR(((Ean[[#This Row],[a7]] * Kra[[#This Row],[a7]]) * (Kra[[#This Row],[a7]] + Kab[[#This Row],[a7]])) * (Kra[[#This Row],[a7]] + 0.25 * Klvl[[#This Row],[a7]]),"")</f>
        <v/>
      </c>
      <c r="H2" s="3" t="str">
        <f>IFERROR(((Ean[[#This Row],[a8]] * Kra[[#This Row],[a8]]) * (Kra[[#This Row],[a8]] + Kab[[#This Row],[a8]])) * (Kra[[#This Row],[a8]] + 0.25 * Klvl[[#This Row],[a8]]),"")</f>
        <v/>
      </c>
      <c r="I2" s="3" t="str">
        <f>IFERROR(((Ean[[#This Row],[a9]] * Kra[[#This Row],[a9]]) * (Kra[[#This Row],[a9]] + Kab[[#This Row],[a9]])) * (Kra[[#This Row],[a9]] + 0.25 * Klvl[[#This Row],[a9]]),"")</f>
        <v/>
      </c>
      <c r="J2" s="3" t="str">
        <f>IFERROR(((Ean[[#This Row],[a10]] * Kra[[#This Row],[a10]]) * (Kra[[#This Row],[a10]] + Kab[[#This Row],[a10]])) * (Kra[[#This Row],[a10]] + 0.25 * Klvl[[#This Row],[a10]]),"")</f>
        <v/>
      </c>
      <c r="K2" s="3" t="str">
        <f>IFERROR(((Ean[[#This Row],[a11]] * Kra[[#This Row],[a11]]) * (Kra[[#This Row],[a11]] + Kab[[#This Row],[a11]])) * (Kra[[#This Row],[a11]] + 0.25 * Klvl[[#This Row],[a11]]),"")</f>
        <v/>
      </c>
      <c r="L2" s="3" t="str">
        <f>IFERROR(((Ean[[#This Row],[a12]] * Kra[[#This Row],[a12]]) * (Kra[[#This Row],[a12]] + Kab[[#This Row],[a12]])) * (Kra[[#This Row],[a12]] + 0.25 * Klvl[[#This Row],[a12]]),"")</f>
        <v/>
      </c>
      <c r="M2" s="3" t="str">
        <f>IFERROR(((Ean[[#This Row],[a13]] * Kra[[#This Row],[a13]]) * (Kra[[#This Row],[a13]] + Kab[[#This Row],[a13]])) * (Kra[[#This Row],[a13]] + 0.25 * Klvl[[#This Row],[a13]]),"")</f>
        <v/>
      </c>
      <c r="N2" s="3" t="str">
        <f>IFERROR(((Ean[[#This Row],[a14]] * Kra[[#This Row],[a14]]) * (Kra[[#This Row],[a14]] + Kab[[#This Row],[a14]])) * (Kra[[#This Row],[a14]] + 0.25 * Klvl[[#This Row],[a14]]),"")</f>
        <v/>
      </c>
      <c r="O2" s="3" t="str">
        <f>IFERROR(((Ean[[#This Row],[a15]] * Kra[[#This Row],[a15]]) * (Kra[[#This Row],[a15]] + Kab[[#This Row],[a15]])) * (Kra[[#This Row],[a15]] + 0.25 * Klvl[[#This Row],[a15]]),"")</f>
        <v/>
      </c>
      <c r="P2" s="3" t="str">
        <f>IFERROR(((Ean[[#This Row],[e1]] * Kra[[#This Row],[e1]]) * (Kra[[#This Row],[e1]] + Kab[[#This Row],[e1]])) * (Kra[[#This Row],[e1]] + 0.25 * Klvl[[#This Row],[e1]]),"")</f>
        <v/>
      </c>
      <c r="Q2" s="3" t="str">
        <f>IFERROR(((Ean[[#This Row],[e2]] * Kra[[#This Row],[e2]]) * (Kra[[#This Row],[e2]] + Kab[[#This Row],[e2]])) * (Kra[[#This Row],[e2]] + 0.25 * Klvl[[#This Row],[e2]]),"")</f>
        <v/>
      </c>
      <c r="R2" s="3" t="str">
        <f>IFERROR(((Ean[[#This Row],[e3]] * Kra[[#This Row],[e3]]) * (Kra[[#This Row],[e3]] + Kab[[#This Row],[e3]])) * (Kra[[#This Row],[e3]] + 0.25 * Klvl[[#This Row],[e3]]),"")</f>
        <v/>
      </c>
      <c r="S2" s="3" t="str">
        <f>IFERROR(((Ean[[#This Row],[e4]] * Kra[[#This Row],[e4]]) * (Kra[[#This Row],[e4]] + Kab[[#This Row],[e4]])) * (Kra[[#This Row],[e4]] + 0.25 * Klvl[[#This Row],[e4]]),"")</f>
        <v/>
      </c>
      <c r="T2" s="3" t="str">
        <f>IFERROR(((Ean[[#This Row],[e5]] * Kra[[#This Row],[e5]]) * (Kra[[#This Row],[e5]] + Kab[[#This Row],[e5]])) * (Kra[[#This Row],[e5]] + 0.25 * Klvl[[#This Row],[e5]]),"")</f>
        <v/>
      </c>
      <c r="U2" s="3" t="str">
        <f>IFERROR(((Ean[[#This Row],[e6]] * Kra[[#This Row],[e6]]) * (Kra[[#This Row],[e6]] + Kab[[#This Row],[e6]])) * (Kra[[#This Row],[e6]] + 0.25 * Klvl[[#This Row],[e6]]),"")</f>
        <v/>
      </c>
      <c r="V2" s="3" t="str">
        <f>IFERROR(((Ean[[#This Row],[e7]] * Kra[[#This Row],[e7]]) * (Kra[[#This Row],[e7]] + Kab[[#This Row],[e7]])) * (Kra[[#This Row],[e7]] + 0.25 * Klvl[[#This Row],[e7]]),"")</f>
        <v/>
      </c>
      <c r="W2" s="3" t="str">
        <f>IFERROR(((Ean[[#This Row],[e8]] * Kra[[#This Row],[e8]]) * (Kra[[#This Row],[e8]] + Kab[[#This Row],[e8]])) * (Kra[[#This Row],[e8]] + 0.25 * Klvl[[#This Row],[e8]]),"")</f>
        <v/>
      </c>
      <c r="X2" s="3" t="str">
        <f>IFERROR(((Ean[[#This Row],[e9]] * Kra[[#This Row],[e9]]) * (Kra[[#This Row],[e9]] + Kab[[#This Row],[e9]])) * (Kra[[#This Row],[e9]] + 0.25 * Klvl[[#This Row],[e9]]),"")</f>
        <v/>
      </c>
      <c r="Y2" s="3" t="str">
        <f>IFERROR(((Ean[[#This Row],[e10]] * Kra[[#This Row],[e10]]) * (Kra[[#This Row],[e10]] + Kab[[#This Row],[e10]])) * (Kra[[#This Row],[e10]] + 0.25 * Klvl[[#This Row],[e10]]),"")</f>
        <v/>
      </c>
      <c r="Z2" s="3" t="str">
        <f>IFERROR(((Ean[[#This Row],[e11]] * Kra[[#This Row],[e11]]) * (Kra[[#This Row],[e11]] + Kab[[#This Row],[e11]])) * (Kra[[#This Row],[e11]] + 0.25 * Klvl[[#This Row],[e11]]),"")</f>
        <v/>
      </c>
      <c r="AA2" s="3" t="str">
        <f>IFERROR(((Ean[[#This Row],[e12]] * Kra[[#This Row],[e12]]) * (Kra[[#This Row],[e12]] + Kab[[#This Row],[e12]])) * (Kra[[#This Row],[e12]] + 0.25 * Klvl[[#This Row],[e12]]),"")</f>
        <v/>
      </c>
      <c r="AB2" s="3" t="str">
        <f>IFERROR(((Ean[[#This Row],[e13]] * Kra[[#This Row],[e13]]) * (Kra[[#This Row],[e13]] + Kab[[#This Row],[e13]])) * (Kra[[#This Row],[e13]] + 0.25 * Klvl[[#This Row],[e13]]),"")</f>
        <v/>
      </c>
      <c r="AC2" s="3" t="str">
        <f>IFERROR(((Ean[[#This Row],[e14]] * Kra[[#This Row],[e14]]) * (Kra[[#This Row],[e14]] + Kab[[#This Row],[e14]])) * (Kra[[#This Row],[e14]] + 0.25 * Klvl[[#This Row],[e14]]),"")</f>
        <v/>
      </c>
      <c r="AD2" s="3" t="str">
        <f>IFERROR(((Ean[[#This Row],[e15]] * Kra[[#This Row],[e15]]) * (Kra[[#This Row],[e15]] + Kab[[#This Row],[e15]])) * (Kra[[#This Row],[e15]] + 0.25 * Klvl[[#This Row],[e15]]),"")</f>
        <v/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IFERROR(IF(Eb_2[[#This Row],[a1]]="","",MIN(300,Eb_2[[#This Row],[a1]])),"")</f>
        <v/>
      </c>
      <c r="B2" s="3" t="str">
        <f>IFERROR(IF(Eb_2[[#This Row],[a2]]="","",MIN(300,Eb_2[[#This Row],[a2]])),"")</f>
        <v/>
      </c>
      <c r="C2" s="3" t="str">
        <f>IFERROR(IF(Eb_2[[#This Row],[a3]]="","",MIN(300,Eb_2[[#This Row],[a3]])),"")</f>
        <v/>
      </c>
      <c r="D2" s="3" t="str">
        <f>IFERROR(IF(Eb_2[[#This Row],[a4]]="","",MIN(300,Eb_2[[#This Row],[a4]])),"")</f>
        <v/>
      </c>
      <c r="E2" s="3" t="str">
        <f>IFERROR(IF(Eb_2[[#This Row],[a5]]="","",MIN(300,Eb_2[[#This Row],[a5]])),"")</f>
        <v/>
      </c>
      <c r="F2" s="3" t="str">
        <f>IFERROR(IF(Eb_2[[#This Row],[a6]]="","",MIN(300,Eb_2[[#This Row],[a6]])),"")</f>
        <v/>
      </c>
      <c r="G2" s="3" t="str">
        <f>IFERROR(IF(Eb_2[[#This Row],[a7]]="","",MIN(300,Eb_2[[#This Row],[a7]])),"")</f>
        <v/>
      </c>
      <c r="H2" s="3" t="str">
        <f>IFERROR(IF(Eb_2[[#This Row],[a8]]="","",MIN(300,Eb_2[[#This Row],[a8]])),"")</f>
        <v/>
      </c>
      <c r="I2" s="3" t="str">
        <f>IFERROR(IF(Eb_2[[#This Row],[a9]]="","",MIN(300,Eb_2[[#This Row],[a9]])),"")</f>
        <v/>
      </c>
      <c r="J2" s="3" t="str">
        <f>IFERROR(IF(Eb_2[[#This Row],[a10]]="","",MIN(300,Eb_2[[#This Row],[a10]])),"")</f>
        <v/>
      </c>
      <c r="K2" s="3" t="str">
        <f>IFERROR(IF(Eb_2[[#This Row],[a11]]="","",MIN(300,Eb_2[[#This Row],[a11]])),"")</f>
        <v/>
      </c>
      <c r="L2" s="3" t="str">
        <f>IFERROR(IF(Eb_2[[#This Row],[a12]]="","",MIN(300,Eb_2[[#This Row],[a12]])),"")</f>
        <v/>
      </c>
      <c r="M2" s="3" t="str">
        <f>IFERROR(IF(Eb_2[[#This Row],[a13]]="","",MIN(300,Eb_2[[#This Row],[a13]])),"")</f>
        <v/>
      </c>
      <c r="N2" s="3" t="str">
        <f>IFERROR(IF(Eb_2[[#This Row],[a14]]="","",MIN(300,Eb_2[[#This Row],[a14]])),"")</f>
        <v/>
      </c>
      <c r="O2" s="3" t="str">
        <f>IFERROR(IF(Eb_2[[#This Row],[a15]]="","",MIN(300,Eb_2[[#This Row],[a15]])),"")</f>
        <v/>
      </c>
      <c r="P2" s="3" t="str">
        <f>IFERROR(IF(Eb_2[[#This Row],[e1]]="","",MIN(300,Eb_2[[#This Row],[e1]])),"")</f>
        <v/>
      </c>
      <c r="Q2" s="3" t="str">
        <f>IFERROR(IF(Eb_2[[#This Row],[e2]]="","",MIN(300,Eb_2[[#This Row],[e2]])),"")</f>
        <v/>
      </c>
      <c r="R2" s="3" t="str">
        <f>IFERROR(IF(Eb_2[[#This Row],[e3]]="","",MIN(300,Eb_2[[#This Row],[e3]])),"")</f>
        <v/>
      </c>
      <c r="S2" s="3" t="str">
        <f>IFERROR(IF(Eb_2[[#This Row],[e4]]="","",MIN(300,Eb_2[[#This Row],[e4]])),"")</f>
        <v/>
      </c>
      <c r="T2" s="3" t="str">
        <f>IFERROR(IF(Eb_2[[#This Row],[e5]]="","",MIN(300,Eb_2[[#This Row],[e5]])),"")</f>
        <v/>
      </c>
      <c r="U2" s="3" t="str">
        <f>IFERROR(IF(Eb_2[[#This Row],[e6]]="","",MIN(300,Eb_2[[#This Row],[e6]])),"")</f>
        <v/>
      </c>
      <c r="V2" s="3" t="str">
        <f>IFERROR(IF(Eb_2[[#This Row],[e7]]="","",MIN(300,Eb_2[[#This Row],[e7]])),"")</f>
        <v/>
      </c>
      <c r="W2" s="3" t="str">
        <f>IFERROR(IF(Eb_2[[#This Row],[e8]]="","",MIN(300,Eb_2[[#This Row],[e8]])),"")</f>
        <v/>
      </c>
      <c r="X2" s="3" t="str">
        <f>IFERROR(IF(Eb_2[[#This Row],[e9]]="","",MIN(300,Eb_2[[#This Row],[e9]])),"")</f>
        <v/>
      </c>
      <c r="Y2" s="3" t="str">
        <f>IFERROR(IF(Eb_2[[#This Row],[e10]]="","",MIN(300,Eb_2[[#This Row],[e10]])),"")</f>
        <v/>
      </c>
      <c r="Z2" s="3" t="str">
        <f>IFERROR(IF(Eb_2[[#This Row],[e11]]="","",MIN(300,Eb_2[[#This Row],[e11]])),"")</f>
        <v/>
      </c>
      <c r="AA2" s="3" t="str">
        <f>IFERROR(IF(Eb_2[[#This Row],[e12]]="","",MIN(300,Eb_2[[#This Row],[e12]])),"")</f>
        <v/>
      </c>
      <c r="AB2" s="3" t="str">
        <f>IFERROR(IF(Eb_2[[#This Row],[e13]]="","",MIN(300,Eb_2[[#This Row],[e13]])),"")</f>
        <v/>
      </c>
      <c r="AC2" s="3" t="str">
        <f>IFERROR(IF(Eb_2[[#This Row],[e14]]="","",MIN(300,Eb_2[[#This Row],[e14]])),"")</f>
        <v/>
      </c>
      <c r="AD2" s="3" t="str">
        <f>IFERROR(IF(Eb_2[[#This Row],[e15]]="","",MIN(300,Eb_2[[#This Row],[e15]])),"")</f>
        <v/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SUM(Ebn[[#This Row],[a1]:[a15]])</f>
        <v>0</v>
      </c>
      <c r="B2" s="3">
        <f>SUM(Ebn[[#This Row],[e1]:[e15]])</f>
        <v>0</v>
      </c>
      <c r="C2" s="4" t="str">
        <f>IFERROR(ROUND((0.5 + (F_1[[#This Row],[Ea]] / (F_1[[#This Row],[Ea]] + F_1[[#This Row],[Ee]]) - 0.5) * 1.5) * 100,1),"")</f>
        <v/>
      </c>
      <c r="D2" s="4" t="str">
        <f>IF(F_1[[#This Row],[Wa]]="","",MAX(5,MIN(95,F_1[[#This Row],[Wa]])))</f>
        <v/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SUM(Ebn_2[[#This Row],[a1]:[a15]])</f>
        <v>0</v>
      </c>
      <c r="B2" s="3">
        <f>SUM(Ebn_2[[#This Row],[e1]:[e15]])</f>
        <v>0</v>
      </c>
      <c r="C2" s="4" t="str">
        <f>IFERROR(ROUND((0.5 + (F_2[[#This Row],[Ea]] / (F_2[[#This Row],[Ea]] + F_2[[#This Row],[Ee]]) - 0.5) * 1.5) * 100,1),"")</f>
        <v/>
      </c>
      <c r="D2" s="4" t="str">
        <f>IF(F_2[[#This Row],[Wa]]="","",MAX(5,MIN(95,F_2[[#This Row],[Wa]])))</f>
        <v/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SUM(Ebn[[#This Row],[a1]:[a15]])</f>
        <v>0</v>
      </c>
      <c r="B2" s="3">
        <f>SUM(Ebn[[#This Row],[e1]:[e15]])</f>
        <v>0</v>
      </c>
      <c r="C2" s="4" t="str">
        <f>IFERROR(ROUND((0.5 + (F_3[[#This Row],[Ea]] / (F_3[[#This Row],[Ea]] + F_3[[#This Row],[Ee]]) - 0.5) * 1.5) * 100,1),"")</f>
        <v/>
      </c>
      <c r="D2" s="4" t="str">
        <f>IF(F_3[[#This Row],[Wa]]="","",MAX(5,MIN(95,F_3[[#This Row],[Wa]])))</f>
        <v/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2" style="3" bestFit="1" customWidth="1"/>
    <col min="2" max="2" width="12" style="1" bestFit="1" customWidth="1"/>
    <col min="3" max="16384" width="9.140625" style="1"/>
  </cols>
  <sheetData>
    <row r="1" spans="1:4" x14ac:dyDescent="0.25">
      <c r="A1" s="3" t="s">
        <v>34</v>
      </c>
      <c r="B1" s="3" t="s">
        <v>35</v>
      </c>
      <c r="C1" s="3" t="s">
        <v>36</v>
      </c>
      <c r="D1" s="3" t="s">
        <v>37</v>
      </c>
    </row>
    <row r="2" spans="1:4" x14ac:dyDescent="0.25">
      <c r="A2" s="3">
        <f>SUM(Ebn_2[[#This Row],[a1]:[a15]])</f>
        <v>0</v>
      </c>
      <c r="B2" s="3">
        <f>SUM(Ebn_2[[#This Row],[e1]:[e15]])</f>
        <v>0</v>
      </c>
      <c r="C2" s="4" t="str">
        <f>IFERROR(ROUND((0.5 + (F_4[[#This Row],[Ea]] / (F_4[[#This Row],[Ea]] + F_4[[#This Row],[Ee]]) - 0.5) * 1.5) * 100,1),"")</f>
        <v/>
      </c>
      <c r="D2" s="4" t="str">
        <f>IF(F_4[[#This Row],[Wa]]="","",MAX(5,MIN(95,F_4[[#This Row],[Wa]])))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IFERROR(([1]!Tmin[[#This Row],[a1]] + [1]!Tmax[[#This Row],[a1]])/2 - [1]!T[#This Row],"")</f>
        <v/>
      </c>
      <c r="B2" s="3" t="str">
        <f>IFERROR(([1]!Tmin[[#This Row],[a2]] + [1]!Tmax[[#This Row],[a2]])/2 - [1]!T[#This Row],"")</f>
        <v/>
      </c>
      <c r="C2" s="3" t="str">
        <f>IFERROR(([1]!Tmin[[#This Row],[a3]] + [1]!Tmax[[#This Row],[a3]])/2 - [1]!T[#This Row],"")</f>
        <v/>
      </c>
      <c r="D2" s="3" t="str">
        <f>IFERROR(([1]!Tmin[[#This Row],[a4]] + [1]!Tmax[[#This Row],[a4]])/2 - [1]!T[#This Row],"")</f>
        <v/>
      </c>
      <c r="E2" s="3" t="str">
        <f>IFERROR(([1]!Tmin[[#This Row],[a5]] + [1]!Tmax[[#This Row],[a5]])/2 - [1]!T[#This Row],"")</f>
        <v/>
      </c>
      <c r="F2" s="3" t="str">
        <f>IFERROR(([1]!Tmin[[#This Row],[a6]] + [1]!Tmax[[#This Row],[a6]])/2 - [1]!T[#This Row],"")</f>
        <v/>
      </c>
      <c r="G2" s="3" t="str">
        <f>IFERROR(([1]!Tmin[[#This Row],[a7]] + [1]!Tmax[[#This Row],[a7]])/2 - [1]!T[#This Row],"")</f>
        <v/>
      </c>
      <c r="H2" s="3" t="str">
        <f>IFERROR(([1]!Tmin[[#This Row],[a8]] + [1]!Tmax[[#This Row],[a8]])/2 - [1]!T[#This Row],"")</f>
        <v/>
      </c>
      <c r="I2" s="3" t="str">
        <f>IFERROR(([1]!Tmin[[#This Row],[a9]] + [1]!Tmax[[#This Row],[a9]])/2 - [1]!T[#This Row],"")</f>
        <v/>
      </c>
      <c r="J2" s="3" t="str">
        <f>IFERROR(([1]!Tmin[[#This Row],[a10]] + [1]!Tmax[[#This Row],[a10]])/2 - [1]!T[#This Row],"")</f>
        <v/>
      </c>
      <c r="K2" s="3" t="str">
        <f>IFERROR(([1]!Tmin[[#This Row],[a11]] + [1]!Tmax[[#This Row],[a11]])/2 - [1]!T[#This Row],"")</f>
        <v/>
      </c>
      <c r="L2" s="3" t="str">
        <f>IFERROR(([1]!Tmin[[#This Row],[a12]] + [1]!Tmax[[#This Row],[a12]])/2 - [1]!T[#This Row],"")</f>
        <v/>
      </c>
      <c r="M2" s="3" t="str">
        <f>IFERROR(([1]!Tmin[[#This Row],[a13]] + [1]!Tmax[[#This Row],[a13]])/2 - [1]!T[#This Row],"")</f>
        <v/>
      </c>
      <c r="N2" s="3" t="str">
        <f>IFERROR(([1]!Tmin[[#This Row],[a14]] + [1]!Tmax[[#This Row],[a14]])/2 - [1]!T[#This Row],"")</f>
        <v/>
      </c>
      <c r="O2" s="3" t="str">
        <f>IFERROR(([1]!Tmin[[#This Row],[a15]] + [1]!Tmax[[#This Row],[a15]])/2 - [1]!T[#This Row],"")</f>
        <v/>
      </c>
      <c r="P2" s="3" t="str">
        <f>IFERROR(([1]!Tmin[[#This Row],[e1]] + [1]!Tmax[[#This Row],[e1]])/2 - [1]!T[#This Row],"")</f>
        <v/>
      </c>
      <c r="Q2" s="3" t="str">
        <f>IFERROR(([1]!Tmin[[#This Row],[e2]] + [1]!Tmax[[#This Row],[e2]])/2 - [1]!T[#This Row],"")</f>
        <v/>
      </c>
      <c r="R2" s="3" t="str">
        <f>IFERROR(([1]!Tmin[[#This Row],[e3]] + [1]!Tmax[[#This Row],[e3]])/2 - [1]!T[#This Row],"")</f>
        <v/>
      </c>
      <c r="S2" s="3" t="str">
        <f>IFERROR(([1]!Tmin[[#This Row],[e4]] + [1]!Tmax[[#This Row],[e4]])/2 - [1]!T[#This Row],"")</f>
        <v/>
      </c>
      <c r="T2" s="3" t="str">
        <f>IFERROR(([1]!Tmin[[#This Row],[e5]] + [1]!Tmax[[#This Row],[e5]])/2 - [1]!T[#This Row],"")</f>
        <v/>
      </c>
      <c r="U2" s="3" t="str">
        <f>IFERROR(([1]!Tmin[[#This Row],[e6]] + [1]!Tmax[[#This Row],[e6]])/2 - [1]!T[#This Row],"")</f>
        <v/>
      </c>
      <c r="V2" s="3" t="str">
        <f>IFERROR(([1]!Tmin[[#This Row],[e7]] + [1]!Tmax[[#This Row],[e7]])/2 - [1]!T[#This Row],"")</f>
        <v/>
      </c>
      <c r="W2" s="3" t="str">
        <f>IFERROR(([1]!Tmin[[#This Row],[e8]] + [1]!Tmax[[#This Row],[e8]])/2 - [1]!T[#This Row],"")</f>
        <v/>
      </c>
      <c r="X2" s="3" t="str">
        <f>IFERROR(([1]!Tmin[[#This Row],[e9]] + [1]!Tmax[[#This Row],[e9]])/2 - [1]!T[#This Row],"")</f>
        <v/>
      </c>
      <c r="Y2" s="3" t="str">
        <f>IFERROR(([1]!Tmin[[#This Row],[e10]] + [1]!Tmax[[#This Row],[e10]])/2 - [1]!T[#This Row],"")</f>
        <v/>
      </c>
      <c r="Z2" s="3" t="str">
        <f>IFERROR(([1]!Tmin[[#This Row],[e11]] + [1]!Tmax[[#This Row],[e11]])/2 - [1]!T[#This Row],"")</f>
        <v/>
      </c>
      <c r="AA2" s="3" t="str">
        <f>IFERROR(([1]!Tmin[[#This Row],[e12]] + [1]!Tmax[[#This Row],[e12]])/2 - [1]!T[#This Row],"")</f>
        <v/>
      </c>
      <c r="AB2" s="3" t="str">
        <f>IFERROR(([1]!Tmin[[#This Row],[e13]] + [1]!Tmax[[#This Row],[e13]])/2 - [1]!T[#This Row],"")</f>
        <v/>
      </c>
      <c r="AC2" s="3" t="str">
        <f>IFERROR(([1]!Tmin[[#This Row],[e14]] + [1]!Tmax[[#This Row],[e14]])/2 - [1]!T[#This Row],"")</f>
        <v/>
      </c>
      <c r="AD2" s="3" t="str">
        <f>IFERROR(([1]!Tmin[[#This Row],[e15]] + [1]!Tmax[[#This Row],[e15]])/2 - [1]!T[#This Row],"")</f>
        <v/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IFERROR(IF([1]!Bt[[#This Row],[a1]]&lt;=50,0,
IF([1]!Bt[[#This Row],[a1]]&lt;=500,([1]!Bt[[#This Row],[a1]]-50)/1000,
IF([1]!Bt[[#This Row],[a1]]&lt;=1000,0.45+([1]!Bt[[#This Row],[a1]]-500)/2000,
IF([1]!Bt[[#This Row],[a1]]&lt;=2000,0.7+([1]!Bt[[#This Row],[a1]]-1000)/4000,
0.95+([1]!Bt[[#This Row],[a1]]-2000)/8000)))),"")</f>
        <v/>
      </c>
      <c r="B2" s="3" t="str">
        <f>IFERROR(IF([1]!Bt[[#This Row],[a2]]&lt;=50,0,
IF([1]!Bt[[#This Row],[a2]]&lt;=500,([1]!Bt[[#This Row],[a2]]-50)/1000,
IF([1]!Bt[[#This Row],[a2]]&lt;=1000,0.45+([1]!Bt[[#This Row],[a2]]-500)/2000,
IF([1]!Bt[[#This Row],[a2]]&lt;=2000,0.7+([1]!Bt[[#This Row],[a2]]-1000)/4000,
0.95+([1]!Bt[[#This Row],[a2]]-2000)/8000)))),"")</f>
        <v/>
      </c>
      <c r="C2" s="3" t="str">
        <f>IFERROR(IF([1]!Bt[[#This Row],[a3]]&lt;=50,0,
IF([1]!Bt[[#This Row],[a3]]&lt;=500,([1]!Bt[[#This Row],[a3]]-50)/1000,
IF([1]!Bt[[#This Row],[a3]]&lt;=1000,0.45+([1]!Bt[[#This Row],[a3]]-500)/2000,
IF([1]!Bt[[#This Row],[a3]]&lt;=2000,0.7+([1]!Bt[[#This Row],[a3]]-1000)/4000,
0.95+([1]!Bt[[#This Row],[a3]]-2000)/8000)))),"")</f>
        <v/>
      </c>
      <c r="D2" s="3" t="str">
        <f>IFERROR(IF([1]!Bt[[#This Row],[a4]]&lt;=50,0,
IF([1]!Bt[[#This Row],[a4]]&lt;=500,([1]!Bt[[#This Row],[a4]]-50)/1000,
IF([1]!Bt[[#This Row],[a4]]&lt;=1000,0.45+([1]!Bt[[#This Row],[a4]]-500)/2000,
IF([1]!Bt[[#This Row],[a4]]&lt;=2000,0.7+([1]!Bt[[#This Row],[a4]]-1000)/4000,
0.95+([1]!Bt[[#This Row],[a4]]-2000)/8000)))),"")</f>
        <v/>
      </c>
      <c r="E2" s="3" t="str">
        <f>IFERROR(IF([1]!Bt[[#This Row],[a5]]&lt;=50,0,
IF([1]!Bt[[#This Row],[a5]]&lt;=500,([1]!Bt[[#This Row],[a5]]-50)/1000,
IF([1]!Bt[[#This Row],[a5]]&lt;=1000,0.45+([1]!Bt[[#This Row],[a5]]-500)/2000,
IF([1]!Bt[[#This Row],[a5]]&lt;=2000,0.7+([1]!Bt[[#This Row],[a5]]-1000)/4000,
0.95+([1]!Bt[[#This Row],[a5]]-2000)/8000)))),"")</f>
        <v/>
      </c>
      <c r="F2" s="3" t="str">
        <f>IFERROR(IF([1]!Bt[[#This Row],[a6]]&lt;=50,0,
IF([1]!Bt[[#This Row],[a6]]&lt;=500,([1]!Bt[[#This Row],[a6]]-50)/1000,
IF([1]!Bt[[#This Row],[a6]]&lt;=1000,0.45+([1]!Bt[[#This Row],[a6]]-500)/2000,
IF([1]!Bt[[#This Row],[a6]]&lt;=2000,0.7+([1]!Bt[[#This Row],[a6]]-1000)/4000,
0.95+([1]!Bt[[#This Row],[a6]]-2000)/8000)))),"")</f>
        <v/>
      </c>
      <c r="G2" s="3" t="str">
        <f>IFERROR(IF([1]!Bt[[#This Row],[a7]]&lt;=50,0,
IF([1]!Bt[[#This Row],[a7]]&lt;=500,([1]!Bt[[#This Row],[a7]]-50)/1000,
IF([1]!Bt[[#This Row],[a7]]&lt;=1000,0.45+([1]!Bt[[#This Row],[a7]]-500)/2000,
IF([1]!Bt[[#This Row],[a7]]&lt;=2000,0.7+([1]!Bt[[#This Row],[a7]]-1000)/4000,
0.95+([1]!Bt[[#This Row],[a7]]-2000)/8000)))),"")</f>
        <v/>
      </c>
      <c r="H2" s="3" t="str">
        <f>IFERROR(IF([1]!Bt[[#This Row],[a8]]&lt;=50,0,
IF([1]!Bt[[#This Row],[a8]]&lt;=500,([1]!Bt[[#This Row],[a8]]-50)/1000,
IF([1]!Bt[[#This Row],[a8]]&lt;=1000,0.45+([1]!Bt[[#This Row],[a8]]-500)/2000,
IF([1]!Bt[[#This Row],[a8]]&lt;=2000,0.7+([1]!Bt[[#This Row],[a8]]-1000)/4000,
0.95+([1]!Bt[[#This Row],[a8]]-2000)/8000)))),"")</f>
        <v/>
      </c>
      <c r="I2" s="3" t="str">
        <f>IFERROR(IF([1]!Bt[[#This Row],[a9]]&lt;=50,0,
IF([1]!Bt[[#This Row],[a9]]&lt;=500,([1]!Bt[[#This Row],[a9]]-50)/1000,
IF([1]!Bt[[#This Row],[a9]]&lt;=1000,0.45+([1]!Bt[[#This Row],[a9]]-500)/2000,
IF([1]!Bt[[#This Row],[a9]]&lt;=2000,0.7+([1]!Bt[[#This Row],[a9]]-1000)/4000,
0.95+([1]!Bt[[#This Row],[a9]]-2000)/8000)))),"")</f>
        <v/>
      </c>
      <c r="J2" s="3" t="str">
        <f>IFERROR(IF([1]!Bt[[#This Row],[a10]]&lt;=50,0,
IF([1]!Bt[[#This Row],[a10]]&lt;=500,([1]!Bt[[#This Row],[a10]]-50)/1000,
IF([1]!Bt[[#This Row],[a10]]&lt;=1000,0.45+([1]!Bt[[#This Row],[a10]]-500)/2000,
IF([1]!Bt[[#This Row],[a10]]&lt;=2000,0.7+([1]!Bt[[#This Row],[a10]]-1000)/4000,
0.95+([1]!Bt[[#This Row],[a10]]-2000)/8000)))),"")</f>
        <v/>
      </c>
      <c r="K2" s="3" t="str">
        <f>IFERROR(IF([1]!Bt[[#This Row],[a11]]&lt;=50,0,
IF([1]!Bt[[#This Row],[a11]]&lt;=500,([1]!Bt[[#This Row],[a11]]-50)/1000,
IF([1]!Bt[[#This Row],[a11]]&lt;=1000,0.45+([1]!Bt[[#This Row],[a11]]-500)/2000,
IF([1]!Bt[[#This Row],[a11]]&lt;=2000,0.7+([1]!Bt[[#This Row],[a11]]-1000)/4000,
0.95+([1]!Bt[[#This Row],[a11]]-2000)/8000)))),"")</f>
        <v/>
      </c>
      <c r="L2" s="3" t="str">
        <f>IFERROR(IF([1]!Bt[[#This Row],[a12]]&lt;=50,0,
IF([1]!Bt[[#This Row],[a12]]&lt;=500,([1]!Bt[[#This Row],[a12]]-50)/1000,
IF([1]!Bt[[#This Row],[a12]]&lt;=1000,0.45+([1]!Bt[[#This Row],[a12]]-500)/2000,
IF([1]!Bt[[#This Row],[a12]]&lt;=2000,0.7+([1]!Bt[[#This Row],[a12]]-1000)/4000,
0.95+([1]!Bt[[#This Row],[a12]]-2000)/8000)))),"")</f>
        <v/>
      </c>
      <c r="M2" s="3" t="str">
        <f>IFERROR(IF([1]!Bt[[#This Row],[a13]]&lt;=50,0,
IF([1]!Bt[[#This Row],[a13]]&lt;=500,([1]!Bt[[#This Row],[a13]]-50)/1000,
IF([1]!Bt[[#This Row],[a13]]&lt;=1000,0.45+([1]!Bt[[#This Row],[a13]]-500)/2000,
IF([1]!Bt[[#This Row],[a13]]&lt;=2000,0.7+([1]!Bt[[#This Row],[a13]]-1000)/4000,
0.95+([1]!Bt[[#This Row],[a13]]-2000)/8000)))),"")</f>
        <v/>
      </c>
      <c r="N2" s="3" t="str">
        <f>IFERROR(IF([1]!Bt[[#This Row],[a14]]&lt;=50,0,
IF([1]!Bt[[#This Row],[a14]]&lt;=500,([1]!Bt[[#This Row],[a14]]-50)/1000,
IF([1]!Bt[[#This Row],[a14]]&lt;=1000,0.45+([1]!Bt[[#This Row],[a14]]-500)/2000,
IF([1]!Bt[[#This Row],[a14]]&lt;=2000,0.7+([1]!Bt[[#This Row],[a14]]-1000)/4000,
0.95+([1]!Bt[[#This Row],[a14]]-2000)/8000)))),"")</f>
        <v/>
      </c>
      <c r="O2" s="3" t="str">
        <f>IFERROR(IF([1]!Bt[[#This Row],[a15]]&lt;=50,0,
IF([1]!Bt[[#This Row],[a15]]&lt;=500,([1]!Bt[[#This Row],[a15]]-50)/1000,
IF([1]!Bt[[#This Row],[a15]]&lt;=1000,0.45+([1]!Bt[[#This Row],[a15]]-500)/2000,
IF([1]!Bt[[#This Row],[a15]]&lt;=2000,0.7+([1]!Bt[[#This Row],[a15]]-1000)/4000,
0.95+([1]!Bt[[#This Row],[a15]]-2000)/8000)))),"")</f>
        <v/>
      </c>
      <c r="P2" s="3" t="str">
        <f>IFERROR(IF([1]!Bt[[#This Row],[e1]]&lt;=50,0,
IF([1]!Bt[[#This Row],[e1]]&lt;=500,([1]!Bt[[#This Row],[e1]]-50)/1000,
IF([1]!Bt[[#This Row],[e1]]&lt;=1000,0.45+([1]!Bt[[#This Row],[e1]]-500)/2000,
IF([1]!Bt[[#This Row],[e1]]&lt;=2000,0.7+([1]!Bt[[#This Row],[e1]]-1000)/4000,
0.95+([1]!Bt[[#This Row],[e1]]-2000)/8000)))),"")</f>
        <v/>
      </c>
      <c r="Q2" s="3" t="str">
        <f>IFERROR(IF([1]!Bt[[#This Row],[e2]]&lt;=50,0,
IF([1]!Bt[[#This Row],[e2]]&lt;=500,([1]!Bt[[#This Row],[e2]]-50)/1000,
IF([1]!Bt[[#This Row],[e2]]&lt;=1000,0.45+([1]!Bt[[#This Row],[e2]]-500)/2000,
IF([1]!Bt[[#This Row],[e2]]&lt;=2000,0.7+([1]!Bt[[#This Row],[e2]]-1000)/4000,
0.95+([1]!Bt[[#This Row],[e2]]-2000)/8000)))),"")</f>
        <v/>
      </c>
      <c r="R2" s="3" t="str">
        <f>IFERROR(IF([1]!Bt[[#This Row],[e3]]&lt;=50,0,
IF([1]!Bt[[#This Row],[e3]]&lt;=500,([1]!Bt[[#This Row],[e3]]-50)/1000,
IF([1]!Bt[[#This Row],[e3]]&lt;=1000,0.45+([1]!Bt[[#This Row],[e3]]-500)/2000,
IF([1]!Bt[[#This Row],[e3]]&lt;=2000,0.7+([1]!Bt[[#This Row],[e3]]-1000)/4000,
0.95+([1]!Bt[[#This Row],[e3]]-2000)/8000)))),"")</f>
        <v/>
      </c>
      <c r="S2" s="3" t="str">
        <f>IFERROR(IF([1]!Bt[[#This Row],[e4]]&lt;=50,0,
IF([1]!Bt[[#This Row],[e4]]&lt;=500,([1]!Bt[[#This Row],[e4]]-50)/1000,
IF([1]!Bt[[#This Row],[e4]]&lt;=1000,0.45+([1]!Bt[[#This Row],[e4]]-500)/2000,
IF([1]!Bt[[#This Row],[e4]]&lt;=2000,0.7+([1]!Bt[[#This Row],[e4]]-1000)/4000,
0.95+([1]!Bt[[#This Row],[e4]]-2000)/8000)))),"")</f>
        <v/>
      </c>
      <c r="T2" s="3" t="str">
        <f>IFERROR(IF([1]!Bt[[#This Row],[e5]]&lt;=50,0,
IF([1]!Bt[[#This Row],[e5]]&lt;=500,([1]!Bt[[#This Row],[e5]]-50)/1000,
IF([1]!Bt[[#This Row],[e5]]&lt;=1000,0.45+([1]!Bt[[#This Row],[e5]]-500)/2000,
IF([1]!Bt[[#This Row],[e5]]&lt;=2000,0.7+([1]!Bt[[#This Row],[e5]]-1000)/4000,
0.95+([1]!Bt[[#This Row],[e5]]-2000)/8000)))),"")</f>
        <v/>
      </c>
      <c r="U2" s="3" t="str">
        <f>IFERROR(IF([1]!Bt[[#This Row],[e6]]&lt;=50,0,
IF([1]!Bt[[#This Row],[e6]]&lt;=500,([1]!Bt[[#This Row],[e6]]-50)/1000,
IF([1]!Bt[[#This Row],[e6]]&lt;=1000,0.45+([1]!Bt[[#This Row],[e6]]-500)/2000,
IF([1]!Bt[[#This Row],[e6]]&lt;=2000,0.7+([1]!Bt[[#This Row],[e6]]-1000)/4000,
0.95+([1]!Bt[[#This Row],[e6]]-2000)/8000)))),"")</f>
        <v/>
      </c>
      <c r="V2" s="3" t="str">
        <f>IFERROR(IF([1]!Bt[[#This Row],[e7]]&lt;=50,0,
IF([1]!Bt[[#This Row],[e7]]&lt;=500,([1]!Bt[[#This Row],[e7]]-50)/1000,
IF([1]!Bt[[#This Row],[e7]]&lt;=1000,0.45+([1]!Bt[[#This Row],[e7]]-500)/2000,
IF([1]!Bt[[#This Row],[e7]]&lt;=2000,0.7+([1]!Bt[[#This Row],[e7]]-1000)/4000,
0.95+([1]!Bt[[#This Row],[e7]]-2000)/8000)))),"")</f>
        <v/>
      </c>
      <c r="W2" s="3" t="str">
        <f>IFERROR(IF([1]!Bt[[#This Row],[e8]]&lt;=50,0,
IF([1]!Bt[[#This Row],[e8]]&lt;=500,([1]!Bt[[#This Row],[e8]]-50)/1000,
IF([1]!Bt[[#This Row],[e8]]&lt;=1000,0.45+([1]!Bt[[#This Row],[e8]]-500)/2000,
IF([1]!Bt[[#This Row],[e8]]&lt;=2000,0.7+([1]!Bt[[#This Row],[e8]]-1000)/4000,
0.95+([1]!Bt[[#This Row],[e8]]-2000)/8000)))),"")</f>
        <v/>
      </c>
      <c r="X2" s="3" t="str">
        <f>IFERROR(IF([1]!Bt[[#This Row],[e9]]&lt;=50,0,
IF([1]!Bt[[#This Row],[e9]]&lt;=500,([1]!Bt[[#This Row],[e9]]-50)/1000,
IF([1]!Bt[[#This Row],[e9]]&lt;=1000,0.45+([1]!Bt[[#This Row],[e9]]-500)/2000,
IF([1]!Bt[[#This Row],[e9]]&lt;=2000,0.7+([1]!Bt[[#This Row],[e9]]-1000)/4000,
0.95+([1]!Bt[[#This Row],[e9]]-2000)/8000)))),"")</f>
        <v/>
      </c>
      <c r="Y2" s="3" t="str">
        <f>IFERROR(IF([1]!Bt[[#This Row],[e10]]&lt;=50,0,
IF([1]!Bt[[#This Row],[e10]]&lt;=500,([1]!Bt[[#This Row],[e10]]-50)/1000,
IF([1]!Bt[[#This Row],[e10]]&lt;=1000,0.45+([1]!Bt[[#This Row],[e10]]-500)/2000,
IF([1]!Bt[[#This Row],[e10]]&lt;=2000,0.7+([1]!Bt[[#This Row],[e10]]-1000)/4000,
0.95+([1]!Bt[[#This Row],[e10]]-2000)/8000)))),"")</f>
        <v/>
      </c>
      <c r="Z2" s="3" t="str">
        <f>IFERROR(IF([1]!Bt[[#This Row],[e11]]&lt;=50,0,
IF([1]!Bt[[#This Row],[e11]]&lt;=500,([1]!Bt[[#This Row],[e11]]-50)/1000,
IF([1]!Bt[[#This Row],[e11]]&lt;=1000,0.45+([1]!Bt[[#This Row],[e11]]-500)/2000,
IF([1]!Bt[[#This Row],[e11]]&lt;=2000,0.7+([1]!Bt[[#This Row],[e11]]-1000)/4000,
0.95+([1]!Bt[[#This Row],[e11]]-2000)/8000)))),"")</f>
        <v/>
      </c>
      <c r="AA2" s="3" t="str">
        <f>IFERROR(IF([1]!Bt[[#This Row],[e12]]&lt;=50,0,
IF([1]!Bt[[#This Row],[e12]]&lt;=500,([1]!Bt[[#This Row],[e12]]-50)/1000,
IF([1]!Bt[[#This Row],[e12]]&lt;=1000,0.45+([1]!Bt[[#This Row],[e12]]-500)/2000,
IF([1]!Bt[[#This Row],[e12]]&lt;=2000,0.7+([1]!Bt[[#This Row],[e12]]-1000)/4000,
0.95+([1]!Bt[[#This Row],[e12]]-2000)/8000)))),"")</f>
        <v/>
      </c>
      <c r="AB2" s="3" t="str">
        <f>IFERROR(IF([1]!Bt[[#This Row],[e13]]&lt;=50,0,
IF([1]!Bt[[#This Row],[e13]]&lt;=500,([1]!Bt[[#This Row],[e13]]-50)/1000,
IF([1]!Bt[[#This Row],[e13]]&lt;=1000,0.45+([1]!Bt[[#This Row],[e13]]-500)/2000,
IF([1]!Bt[[#This Row],[e13]]&lt;=2000,0.7+([1]!Bt[[#This Row],[e13]]-1000)/4000,
0.95+([1]!Bt[[#This Row],[e13]]-2000)/8000)))),"")</f>
        <v/>
      </c>
      <c r="AC2" s="3" t="str">
        <f>IFERROR(IF([1]!Bt[[#This Row],[e14]]&lt;=50,0,
IF([1]!Bt[[#This Row],[e14]]&lt;=500,([1]!Bt[[#This Row],[e14]]-50)/1000,
IF([1]!Bt[[#This Row],[e14]]&lt;=1000,0.45+([1]!Bt[[#This Row],[e14]]-500)/2000,
IF([1]!Bt[[#This Row],[e14]]&lt;=2000,0.7+([1]!Bt[[#This Row],[e14]]-1000)/4000,
0.95+([1]!Bt[[#This Row],[e14]]-2000)/8000)))),"")</f>
        <v/>
      </c>
      <c r="AD2" s="3" t="str">
        <f>IFERROR(IF([1]!Bt[[#This Row],[e15]]&lt;=50,0,
IF([1]!Bt[[#This Row],[e15]]&lt;=500,([1]!Bt[[#This Row],[e15]]-50)/1000,
IF([1]!Bt[[#This Row],[e15]]&lt;=1000,0.45+([1]!Bt[[#This Row],[e15]]-500)/2000,
IF([1]!Bt[[#This Row],[e15]]&lt;=2000,0.7+([1]!Bt[[#This Row],[e15]]-1000)/4000,
0.95+([1]!Bt[[#This Row],[e15]]-2000)/8000)))),"")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9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IFERROR(IF([1]!Ba[[#This Row],[a1]]&lt;=500,0,
IF([1]!Ba[[#This Row],[a1]]&lt;=5000,([1]!Ba[[#This Row],[a1]]-500)/10000,
IF([1]!Ba[[#This Row],[a1]]&lt;=10000,0.45+([1]!Ba[[#This Row],[a1]]-5000)/20000,
IF([1]!Ba[[#This Row],[a1]]&lt;=20000,0.7+([1]!Ba[[#This Row],[a1]]-10000)/40000,
0.95+([1]!Ba[[#This Row],[a1]]-20000)/80000)))),"")</f>
        <v/>
      </c>
      <c r="B2" s="3" t="str">
        <f>IFERROR(IF([1]!Ba[[#This Row],[a2]]&lt;=500,0,
IF([1]!Ba[[#This Row],[a2]]&lt;=5000,([1]!Ba[[#This Row],[a2]]-500)/10000,
IF([1]!Ba[[#This Row],[a2]]&lt;=10000,0.45+([1]!Ba[[#This Row],[a2]]-5000)/20000,
IF([1]!Ba[[#This Row],[a2]]&lt;=20000,0.7+([1]!Ba[[#This Row],[a2]]-10000)/40000,
0.95+([1]!Ba[[#This Row],[a2]]-20000)/80000)))),"")</f>
        <v/>
      </c>
      <c r="C2" s="3" t="str">
        <f>IFERROR(IF([1]!Ba[[#This Row],[a3]]&lt;=500,0,
IF([1]!Ba[[#This Row],[a3]]&lt;=5000,([1]!Ba[[#This Row],[a3]]-500)/10000,
IF([1]!Ba[[#This Row],[a3]]&lt;=10000,0.45+([1]!Ba[[#This Row],[a3]]-5000)/20000,
IF([1]!Ba[[#This Row],[a3]]&lt;=20000,0.7+([1]!Ba[[#This Row],[a3]]-10000)/40000,
0.95+([1]!Ba[[#This Row],[a3]]-20000)/80000)))),"")</f>
        <v/>
      </c>
      <c r="D2" s="3" t="str">
        <f>IFERROR(IF([1]!Ba[[#This Row],[a4]]&lt;=500,0,
IF([1]!Ba[[#This Row],[a4]]&lt;=5000,([1]!Ba[[#This Row],[a4]]-500)/10000,
IF([1]!Ba[[#This Row],[a4]]&lt;=10000,0.45+([1]!Ba[[#This Row],[a4]]-5000)/20000,
IF([1]!Ba[[#This Row],[a4]]&lt;=20000,0.7+([1]!Ba[[#This Row],[a4]]-10000)/40000,
0.95+([1]!Ba[[#This Row],[a4]]-20000)/80000)))),"")</f>
        <v/>
      </c>
      <c r="E2" s="3" t="str">
        <f>IFERROR(IF([1]!Ba[[#This Row],[a5]]&lt;=500,0,
IF([1]!Ba[[#This Row],[a5]]&lt;=5000,([1]!Ba[[#This Row],[a5]]-500)/10000,
IF([1]!Ba[[#This Row],[a5]]&lt;=10000,0.45+([1]!Ba[[#This Row],[a5]]-5000)/20000,
IF([1]!Ba[[#This Row],[a5]]&lt;=20000,0.7+([1]!Ba[[#This Row],[a5]]-10000)/40000,
0.95+([1]!Ba[[#This Row],[a5]]-20000)/80000)))),"")</f>
        <v/>
      </c>
      <c r="F2" s="3" t="str">
        <f>IFERROR(IF([1]!Ba[[#This Row],[a6]]&lt;=500,0,
IF([1]!Ba[[#This Row],[a6]]&lt;=5000,([1]!Ba[[#This Row],[a6]]-500)/10000,
IF([1]!Ba[[#This Row],[a6]]&lt;=10000,0.45+([1]!Ba[[#This Row],[a6]]-5000)/20000,
IF([1]!Ba[[#This Row],[a6]]&lt;=20000,0.7+([1]!Ba[[#This Row],[a6]]-10000)/40000,
0.95+([1]!Ba[[#This Row],[a6]]-20000)/80000)))),"")</f>
        <v/>
      </c>
      <c r="G2" s="3" t="str">
        <f>IFERROR(IF([1]!Ba[[#This Row],[a7]]&lt;=500,0,
IF([1]!Ba[[#This Row],[a7]]&lt;=5000,([1]!Ba[[#This Row],[a7]]-500)/10000,
IF([1]!Ba[[#This Row],[a7]]&lt;=10000,0.45+([1]!Ba[[#This Row],[a7]]-5000)/20000,
IF([1]!Ba[[#This Row],[a7]]&lt;=20000,0.7+([1]!Ba[[#This Row],[a7]]-10000)/40000,
0.95+([1]!Ba[[#This Row],[a7]]-20000)/80000)))),"")</f>
        <v/>
      </c>
      <c r="H2" s="3" t="str">
        <f>IFERROR(IF([1]!Ba[[#This Row],[a8]]&lt;=500,0,
IF([1]!Ba[[#This Row],[a8]]&lt;=5000,([1]!Ba[[#This Row],[a8]]-500)/10000,
IF([1]!Ba[[#This Row],[a8]]&lt;=10000,0.45+([1]!Ba[[#This Row],[a8]]-5000)/20000,
IF([1]!Ba[[#This Row],[a8]]&lt;=20000,0.7+([1]!Ba[[#This Row],[a8]]-10000)/40000,
0.95+([1]!Ba[[#This Row],[a8]]-20000)/80000)))),"")</f>
        <v/>
      </c>
      <c r="I2" s="3" t="str">
        <f>IFERROR(IF([1]!Ba[[#This Row],[a9]]&lt;=500,0,
IF([1]!Ba[[#This Row],[a9]]&lt;=5000,([1]!Ba[[#This Row],[a9]]-500)/10000,
IF([1]!Ba[[#This Row],[a9]]&lt;=10000,0.45+([1]!Ba[[#This Row],[a9]]-5000)/20000,
IF([1]!Ba[[#This Row],[a9]]&lt;=20000,0.7+([1]!Ba[[#This Row],[a9]]-10000)/40000,
0.95+([1]!Ba[[#This Row],[a9]]-20000)/80000)))),"")</f>
        <v/>
      </c>
      <c r="J2" s="3" t="str">
        <f>IFERROR(IF([1]!Ba[[#This Row],[a10]]&lt;=500,0,
IF([1]!Ba[[#This Row],[a10]]&lt;=5000,([1]!Ba[[#This Row],[a10]]-500)/10000,
IF([1]!Ba[[#This Row],[a10]]&lt;=10000,0.45+([1]!Ba[[#This Row],[a10]]-5000)/20000,
IF([1]!Ba[[#This Row],[a10]]&lt;=20000,0.7+([1]!Ba[[#This Row],[a10]]-10000)/40000,
0.95+([1]!Ba[[#This Row],[a10]]-20000)/80000)))),"")</f>
        <v/>
      </c>
      <c r="K2" s="3" t="str">
        <f>IFERROR(IF([1]!Ba[[#This Row],[a11]]&lt;=500,0,
IF([1]!Ba[[#This Row],[a11]]&lt;=5000,([1]!Ba[[#This Row],[a11]]-500)/10000,
IF([1]!Ba[[#This Row],[a11]]&lt;=10000,0.45+([1]!Ba[[#This Row],[a11]]-5000)/20000,
IF([1]!Ba[[#This Row],[a11]]&lt;=20000,0.7+([1]!Ba[[#This Row],[a11]]-10000)/40000,
0.95+([1]!Ba[[#This Row],[a11]]-20000)/80000)))),"")</f>
        <v/>
      </c>
      <c r="L2" s="3" t="str">
        <f>IFERROR(IF([1]!Ba[[#This Row],[a12]]&lt;=500,0,
IF([1]!Ba[[#This Row],[a12]]&lt;=5000,([1]!Ba[[#This Row],[a12]]-500)/10000,
IF([1]!Ba[[#This Row],[a12]]&lt;=10000,0.45+([1]!Ba[[#This Row],[a12]]-5000)/20000,
IF([1]!Ba[[#This Row],[a12]]&lt;=20000,0.7+([1]!Ba[[#This Row],[a12]]-10000)/40000,
0.95+([1]!Ba[[#This Row],[a12]]-20000)/80000)))),"")</f>
        <v/>
      </c>
      <c r="M2" s="3" t="str">
        <f>IFERROR(IF([1]!Ba[[#This Row],[a13]]&lt;=500,0,
IF([1]!Ba[[#This Row],[a13]]&lt;=5000,([1]!Ba[[#This Row],[a13]]-500)/10000,
IF([1]!Ba[[#This Row],[a13]]&lt;=10000,0.45+([1]!Ba[[#This Row],[a13]]-5000)/20000,
IF([1]!Ba[[#This Row],[a13]]&lt;=20000,0.7+([1]!Ba[[#This Row],[a13]]-10000)/40000,
0.95+([1]!Ba[[#This Row],[a13]]-20000)/80000)))),"")</f>
        <v/>
      </c>
      <c r="N2" s="3" t="str">
        <f>IFERROR(IF([1]!Ba[[#This Row],[a14]]&lt;=500,0,
IF([1]!Ba[[#This Row],[a14]]&lt;=5000,([1]!Ba[[#This Row],[a14]]-500)/10000,
IF([1]!Ba[[#This Row],[a14]]&lt;=10000,0.45+([1]!Ba[[#This Row],[a14]]-5000)/20000,
IF([1]!Ba[[#This Row],[a14]]&lt;=20000,0.7+([1]!Ba[[#This Row],[a14]]-10000)/40000,
0.95+([1]!Ba[[#This Row],[a14]]-20000)/80000)))),"")</f>
        <v/>
      </c>
      <c r="O2" s="3" t="str">
        <f>IFERROR(IF([1]!Ba[[#This Row],[a15]]&lt;=500,0,
IF([1]!Ba[[#This Row],[a15]]&lt;=5000,([1]!Ba[[#This Row],[a15]]-500)/10000,
IF([1]!Ba[[#This Row],[a15]]&lt;=10000,0.45+([1]!Ba[[#This Row],[a15]]-5000)/20000,
IF([1]!Ba[[#This Row],[a15]]&lt;=20000,0.7+([1]!Ba[[#This Row],[a15]]-10000)/40000,
0.95+([1]!Ba[[#This Row],[a15]]-20000)/80000)))),"")</f>
        <v/>
      </c>
      <c r="P2" s="3" t="str">
        <f>IFERROR(IF([1]!Ba[[#This Row],[e1]]&lt;=500,0,
IF([1]!Ba[[#This Row],[e1]]&lt;=5000,([1]!Ba[[#This Row],[e1]]-500)/10000,
IF([1]!Ba[[#This Row],[e1]]&lt;=10000,0.45+([1]!Ba[[#This Row],[e1]]-5000)/20000,
IF([1]!Ba[[#This Row],[e1]]&lt;=20000,0.7+([1]!Ba[[#This Row],[e1]]-10000)/40000,
0.95+([1]!Ba[[#This Row],[e1]]-20000)/80000)))),"")</f>
        <v/>
      </c>
      <c r="Q2" s="3" t="str">
        <f>IFERROR(IF([1]!Ba[[#This Row],[e2]]&lt;=500,0,
IF([1]!Ba[[#This Row],[e2]]&lt;=5000,([1]!Ba[[#This Row],[e2]]-500)/10000,
IF([1]!Ba[[#This Row],[e2]]&lt;=10000,0.45+([1]!Ba[[#This Row],[e2]]-5000)/20000,
IF([1]!Ba[[#This Row],[e2]]&lt;=20000,0.7+([1]!Ba[[#This Row],[e2]]-10000)/40000,
0.95+([1]!Ba[[#This Row],[e2]]-20000)/80000)))),"")</f>
        <v/>
      </c>
      <c r="R2" s="3" t="str">
        <f>IFERROR(IF([1]!Ba[[#This Row],[e3]]&lt;=500,0,
IF([1]!Ba[[#This Row],[e3]]&lt;=5000,([1]!Ba[[#This Row],[e3]]-500)/10000,
IF([1]!Ba[[#This Row],[e3]]&lt;=10000,0.45+([1]!Ba[[#This Row],[e3]]-5000)/20000,
IF([1]!Ba[[#This Row],[e3]]&lt;=20000,0.7+([1]!Ba[[#This Row],[e3]]-10000)/40000,
0.95+([1]!Ba[[#This Row],[e3]]-20000)/80000)))),"")</f>
        <v/>
      </c>
      <c r="S2" s="3" t="str">
        <f>IFERROR(IF([1]!Ba[[#This Row],[e4]]&lt;=500,0,
IF([1]!Ba[[#This Row],[e4]]&lt;=5000,([1]!Ba[[#This Row],[e4]]-500)/10000,
IF([1]!Ba[[#This Row],[e4]]&lt;=10000,0.45+([1]!Ba[[#This Row],[e4]]-5000)/20000,
IF([1]!Ba[[#This Row],[e4]]&lt;=20000,0.7+([1]!Ba[[#This Row],[e4]]-10000)/40000,
0.95+([1]!Ba[[#This Row],[e4]]-20000)/80000)))),"")</f>
        <v/>
      </c>
      <c r="T2" s="3" t="str">
        <f>IFERROR(IF([1]!Ba[[#This Row],[e5]]&lt;=500,0,
IF([1]!Ba[[#This Row],[e5]]&lt;=5000,([1]!Ba[[#This Row],[e5]]-500)/10000,
IF([1]!Ba[[#This Row],[e5]]&lt;=10000,0.45+([1]!Ba[[#This Row],[e5]]-5000)/20000,
IF([1]!Ba[[#This Row],[e5]]&lt;=20000,0.7+([1]!Ba[[#This Row],[e5]]-10000)/40000,
0.95+([1]!Ba[[#This Row],[e5]]-20000)/80000)))),"")</f>
        <v/>
      </c>
      <c r="U2" s="3" t="str">
        <f>IFERROR(IF([1]!Ba[[#This Row],[e6]]&lt;=500,0,
IF([1]!Ba[[#This Row],[e6]]&lt;=5000,([1]!Ba[[#This Row],[e6]]-500)/10000,
IF([1]!Ba[[#This Row],[e6]]&lt;=10000,0.45+([1]!Ba[[#This Row],[e6]]-5000)/20000,
IF([1]!Ba[[#This Row],[e6]]&lt;=20000,0.7+([1]!Ba[[#This Row],[e6]]-10000)/40000,
0.95+([1]!Ba[[#This Row],[e6]]-20000)/80000)))),"")</f>
        <v/>
      </c>
      <c r="V2" s="3" t="str">
        <f>IFERROR(IF([1]!Ba[[#This Row],[e7]]&lt;=500,0,
IF([1]!Ba[[#This Row],[e7]]&lt;=5000,([1]!Ba[[#This Row],[e7]]-500)/10000,
IF([1]!Ba[[#This Row],[e7]]&lt;=10000,0.45+([1]!Ba[[#This Row],[e7]]-5000)/20000,
IF([1]!Ba[[#This Row],[e7]]&lt;=20000,0.7+([1]!Ba[[#This Row],[e7]]-10000)/40000,
0.95+([1]!Ba[[#This Row],[e7]]-20000)/80000)))),"")</f>
        <v/>
      </c>
      <c r="W2" s="3" t="str">
        <f>IFERROR(IF([1]!Ba[[#This Row],[e8]]&lt;=500,0,
IF([1]!Ba[[#This Row],[e8]]&lt;=5000,([1]!Ba[[#This Row],[e8]]-500)/10000,
IF([1]!Ba[[#This Row],[e8]]&lt;=10000,0.45+([1]!Ba[[#This Row],[e8]]-5000)/20000,
IF([1]!Ba[[#This Row],[e8]]&lt;=20000,0.7+([1]!Ba[[#This Row],[e8]]-10000)/40000,
0.95+([1]!Ba[[#This Row],[e8]]-20000)/80000)))),"")</f>
        <v/>
      </c>
      <c r="X2" s="3" t="str">
        <f>IFERROR(IF([1]!Ba[[#This Row],[e9]]&lt;=500,0,
IF([1]!Ba[[#This Row],[e9]]&lt;=5000,([1]!Ba[[#This Row],[e9]]-500)/10000,
IF([1]!Ba[[#This Row],[e9]]&lt;=10000,0.45+([1]!Ba[[#This Row],[e9]]-5000)/20000,
IF([1]!Ba[[#This Row],[e9]]&lt;=20000,0.7+([1]!Ba[[#This Row],[e9]]-10000)/40000,
0.95+([1]!Ba[[#This Row],[e9]]-20000)/80000)))),"")</f>
        <v/>
      </c>
      <c r="Y2" s="3" t="str">
        <f>IFERROR(IF([1]!Ba[[#This Row],[e10]]&lt;=500,0,
IF([1]!Ba[[#This Row],[e10]]&lt;=5000,([1]!Ba[[#This Row],[e10]]-500)/10000,
IF([1]!Ba[[#This Row],[e10]]&lt;=10000,0.45+([1]!Ba[[#This Row],[e10]]-5000)/20000,
IF([1]!Ba[[#This Row],[e10]]&lt;=20000,0.7+([1]!Ba[[#This Row],[e10]]-10000)/40000,
0.95+([1]!Ba[[#This Row],[e10]]-20000)/80000)))),"")</f>
        <v/>
      </c>
      <c r="Z2" s="3" t="str">
        <f>IFERROR(IF([1]!Ba[[#This Row],[e11]]&lt;=500,0,
IF([1]!Ba[[#This Row],[e11]]&lt;=5000,([1]!Ba[[#This Row],[e11]]-500)/10000,
IF([1]!Ba[[#This Row],[e11]]&lt;=10000,0.45+([1]!Ba[[#This Row],[e11]]-5000)/20000,
IF([1]!Ba[[#This Row],[e11]]&lt;=20000,0.7+([1]!Ba[[#This Row],[e11]]-10000)/40000,
0.95+([1]!Ba[[#This Row],[e11]]-20000)/80000)))),"")</f>
        <v/>
      </c>
      <c r="AA2" s="3" t="str">
        <f>IFERROR(IF([1]!Ba[[#This Row],[e12]]&lt;=500,0,
IF([1]!Ba[[#This Row],[e12]]&lt;=5000,([1]!Ba[[#This Row],[e12]]-500)/10000,
IF([1]!Ba[[#This Row],[e12]]&lt;=10000,0.45+([1]!Ba[[#This Row],[e12]]-5000)/20000,
IF([1]!Ba[[#This Row],[e12]]&lt;=20000,0.7+([1]!Ba[[#This Row],[e12]]-10000)/40000,
0.95+([1]!Ba[[#This Row],[e12]]-20000)/80000)))),"")</f>
        <v/>
      </c>
      <c r="AB2" s="3" t="str">
        <f>IFERROR(IF([1]!Ba[[#This Row],[e13]]&lt;=500,0,
IF([1]!Ba[[#This Row],[e13]]&lt;=5000,([1]!Ba[[#This Row],[e13]]-500)/10000,
IF([1]!Ba[[#This Row],[e13]]&lt;=10000,0.45+([1]!Ba[[#This Row],[e13]]-5000)/20000,
IF([1]!Ba[[#This Row],[e13]]&lt;=20000,0.7+([1]!Ba[[#This Row],[e13]]-10000)/40000,
0.95+([1]!Ba[[#This Row],[e13]]-20000)/80000)))),"")</f>
        <v/>
      </c>
      <c r="AC2" s="3" t="str">
        <f>IFERROR(IF([1]!Ba[[#This Row],[e14]]&lt;=500,0,
IF([1]!Ba[[#This Row],[e14]]&lt;=5000,([1]!Ba[[#This Row],[e14]]-500)/10000,
IF([1]!Ba[[#This Row],[e14]]&lt;=10000,0.45+([1]!Ba[[#This Row],[e14]]-5000)/20000,
IF([1]!Ba[[#This Row],[e14]]&lt;=20000,0.7+([1]!Ba[[#This Row],[e14]]-10000)/40000,
0.95+([1]!Ba[[#This Row],[e14]]-20000)/80000)))),"")</f>
        <v/>
      </c>
      <c r="AD2" s="3" t="str">
        <f>IFERROR(IF([1]!Ba[[#This Row],[e15]]&lt;=500,0,
IF([1]!Ba[[#This Row],[e15]]&lt;=5000,([1]!Ba[[#This Row],[e15]]-500)/10000,
IF([1]!Ba[[#This Row],[e15]]&lt;=10000,0.45+([1]!Ba[[#This Row],[e15]]-5000)/20000,
IF([1]!Ba[[#This Row],[e15]]&lt;=20000,0.7+([1]!Ba[[#This Row],[e15]]-10000)/40000,
0.95+([1]!Ba[[#This Row],[e15]]-20000)/80000)))),"")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IFERROR(1 + [1]!Rt[[#This Row],[a1]] - [1]!AvgW[[#This Row],[a1]],"")</f>
        <v/>
      </c>
      <c r="B2" s="3" t="str">
        <f>IFERROR(1 + [1]!Rt[[#This Row],[a2]] - [1]!AvgW[[#This Row],[a2]],"")</f>
        <v/>
      </c>
      <c r="C2" s="3" t="str">
        <f>IFERROR(1 + [1]!Rt[[#This Row],[a3]] - [1]!AvgW[[#This Row],[a3]],"")</f>
        <v/>
      </c>
      <c r="D2" s="3" t="str">
        <f>IFERROR(1 + [1]!Rt[[#This Row],[a4]] - [1]!AvgW[[#This Row],[a4]],"")</f>
        <v/>
      </c>
      <c r="E2" s="3" t="str">
        <f>IFERROR(1 + [1]!Rt[[#This Row],[a5]] - [1]!AvgW[[#This Row],[a5]],"")</f>
        <v/>
      </c>
      <c r="F2" s="3" t="str">
        <f>IFERROR(1 + [1]!Rt[[#This Row],[a6]] - [1]!AvgW[[#This Row],[a6]],"")</f>
        <v/>
      </c>
      <c r="G2" s="3" t="str">
        <f>IFERROR(1 + [1]!Rt[[#This Row],[a7]] - [1]!AvgW[[#This Row],[a7]],"")</f>
        <v/>
      </c>
      <c r="H2" s="3" t="str">
        <f>IFERROR(1 + [1]!Rt[[#This Row],[a8]] - [1]!AvgW[[#This Row],[a8]],"")</f>
        <v/>
      </c>
      <c r="I2" s="3" t="str">
        <f>IFERROR(1 + [1]!Rt[[#This Row],[a9]] - [1]!AvgW[[#This Row],[a9]],"")</f>
        <v/>
      </c>
      <c r="J2" s="3" t="str">
        <f>IFERROR(1 + [1]!Rt[[#This Row],[a10]] - [1]!AvgW[[#This Row],[a10]],"")</f>
        <v/>
      </c>
      <c r="K2" s="3" t="str">
        <f>IFERROR(1 + [1]!Rt[[#This Row],[a11]] - [1]!AvgW[[#This Row],[a11]],"")</f>
        <v/>
      </c>
      <c r="L2" s="3" t="str">
        <f>IFERROR(1 + [1]!Rt[[#This Row],[a12]] - [1]!AvgW[[#This Row],[a12]],"")</f>
        <v/>
      </c>
      <c r="M2" s="3" t="str">
        <f>IFERROR(1 + [1]!Rt[[#This Row],[a13]] - [1]!AvgW[[#This Row],[a13]],"")</f>
        <v/>
      </c>
      <c r="N2" s="3" t="str">
        <f>IFERROR(1 + [1]!Rt[[#This Row],[a14]] - [1]!AvgW[[#This Row],[a14]],"")</f>
        <v/>
      </c>
      <c r="O2" s="3" t="str">
        <f>IFERROR(1 + [1]!Rt[[#This Row],[a15]] - [1]!AvgW[[#This Row],[a15]],"")</f>
        <v/>
      </c>
      <c r="P2" s="3" t="str">
        <f>IFERROR(1 + [1]!Rt[[#This Row],[e1]] - [1]!AvgW[[#This Row],[e1]],"")</f>
        <v/>
      </c>
      <c r="Q2" s="3" t="str">
        <f>IFERROR(1 + [1]!Rt[[#This Row],[e2]] - [1]!AvgW[[#This Row],[e2]],"")</f>
        <v/>
      </c>
      <c r="R2" s="3" t="str">
        <f>IFERROR(1 + [1]!Rt[[#This Row],[e3]] - [1]!AvgW[[#This Row],[e3]],"")</f>
        <v/>
      </c>
      <c r="S2" s="3" t="str">
        <f>IFERROR(1 + [1]!Rt[[#This Row],[e4]] - [1]!AvgW[[#This Row],[e4]],"")</f>
        <v/>
      </c>
      <c r="T2" s="3" t="str">
        <f>IFERROR(1 + [1]!Rt[[#This Row],[e5]] - [1]!AvgW[[#This Row],[e5]],"")</f>
        <v/>
      </c>
      <c r="U2" s="3" t="str">
        <f>IFERROR(1 + [1]!Rt[[#This Row],[e6]] - [1]!AvgW[[#This Row],[e6]],"")</f>
        <v/>
      </c>
      <c r="V2" s="3" t="str">
        <f>IFERROR(1 + [1]!Rt[[#This Row],[e7]] - [1]!AvgW[[#This Row],[e7]],"")</f>
        <v/>
      </c>
      <c r="W2" s="3" t="str">
        <f>IFERROR(1 + [1]!Rt[[#This Row],[e8]] - [1]!AvgW[[#This Row],[e8]],"")</f>
        <v/>
      </c>
      <c r="X2" s="3" t="str">
        <f>IFERROR(1 + [1]!Rt[[#This Row],[e9]] - [1]!AvgW[[#This Row],[e9]],"")</f>
        <v/>
      </c>
      <c r="Y2" s="3" t="str">
        <f>IFERROR(1 + [1]!Rt[[#This Row],[e10]] - [1]!AvgW[[#This Row],[e10]],"")</f>
        <v/>
      </c>
      <c r="Z2" s="3" t="str">
        <f>IFERROR(1 + [1]!Rt[[#This Row],[e11]] - [1]!AvgW[[#This Row],[e11]],"")</f>
        <v/>
      </c>
      <c r="AA2" s="3" t="str">
        <f>IFERROR(1 + [1]!Rt[[#This Row],[e12]] - [1]!AvgW[[#This Row],[e12]],"")</f>
        <v/>
      </c>
      <c r="AB2" s="3" t="str">
        <f>IFERROR(1 + [1]!Rt[[#This Row],[e13]] - [1]!AvgW[[#This Row],[e13]],"")</f>
        <v/>
      </c>
      <c r="AC2" s="3" t="str">
        <f>IFERROR(1 + [1]!Rt[[#This Row],[e14]] - [1]!AvgW[[#This Row],[e14]],"")</f>
        <v/>
      </c>
      <c r="AD2" s="3" t="str">
        <f>IFERROR(1 + [1]!Rt[[#This Row],[e15]] - [1]!AvgW[[#This Row],[e15]],"")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4" sqref="A4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IFERROR(1 + [1]!Ra[[#This Row],[a1]] - 0.485,"")</f>
        <v/>
      </c>
      <c r="B2" s="3" t="str">
        <f>IFERROR(1 + [1]!Ra[[#This Row],[a2]] - 0.485,"")</f>
        <v/>
      </c>
      <c r="C2" s="3" t="str">
        <f>IFERROR(1 + [1]!Ra[[#This Row],[a3]] - 0.485,"")</f>
        <v/>
      </c>
      <c r="D2" s="3" t="str">
        <f>IFERROR(1 + [1]!Ra[[#This Row],[a4]] - 0.485,"")</f>
        <v/>
      </c>
      <c r="E2" s="3" t="str">
        <f>IFERROR(1 + [1]!Ra[[#This Row],[a5]] - 0.485,"")</f>
        <v/>
      </c>
      <c r="F2" s="3" t="str">
        <f>IFERROR(1 + [1]!Ra[[#This Row],[a6]] - 0.485,"")</f>
        <v/>
      </c>
      <c r="G2" s="3" t="str">
        <f>IFERROR(1 + [1]!Ra[[#This Row],[a7]] - 0.485,"")</f>
        <v/>
      </c>
      <c r="H2" s="3" t="str">
        <f>IFERROR(1 + [1]!Ra[[#This Row],[a8]] - 0.485,"")</f>
        <v/>
      </c>
      <c r="I2" s="3" t="str">
        <f>IFERROR(1 + [1]!Ra[[#This Row],[a9]] - 0.485,"")</f>
        <v/>
      </c>
      <c r="J2" s="3" t="str">
        <f>IFERROR(1 + [1]!Ra[[#This Row],[a10]] - 0.485,"")</f>
        <v/>
      </c>
      <c r="K2" s="3" t="str">
        <f>IFERROR(1 + [1]!Ra[[#This Row],[a11]] - 0.485,"")</f>
        <v/>
      </c>
      <c r="L2" s="3" t="str">
        <f>IFERROR(1 + [1]!Ra[[#This Row],[a12]] - 0.485,"")</f>
        <v/>
      </c>
      <c r="M2" s="3" t="str">
        <f>IFERROR(1 + [1]!Ra[[#This Row],[a13]] - 0.485,"")</f>
        <v/>
      </c>
      <c r="N2" s="3" t="str">
        <f>IFERROR(1 + [1]!Ra[[#This Row],[a14]] - 0.485,"")</f>
        <v/>
      </c>
      <c r="O2" s="3" t="str">
        <f>IFERROR(1 + [1]!Ra[[#This Row],[a15]] - 0.485,"")</f>
        <v/>
      </c>
      <c r="P2" s="3" t="str">
        <f>IFERROR(1 + [1]!Ra[[#This Row],[e1]] - 0.485,"")</f>
        <v/>
      </c>
      <c r="Q2" s="3" t="str">
        <f>IFERROR(1 + [1]!Ra[[#This Row],[e2]] - 0.485,"")</f>
        <v/>
      </c>
      <c r="R2" s="3" t="str">
        <f>IFERROR(1 + [1]!Ra[[#This Row],[e3]] - 0.485,"")</f>
        <v/>
      </c>
      <c r="S2" s="3" t="str">
        <f>IFERROR(1 + [1]!Ra[[#This Row],[e4]] - 0.485,"")</f>
        <v/>
      </c>
      <c r="T2" s="3" t="str">
        <f>IFERROR(1 + [1]!Ra[[#This Row],[e5]] - 0.485,"")</f>
        <v/>
      </c>
      <c r="U2" s="3" t="str">
        <f>IFERROR(1 + [1]!Ra[[#This Row],[e6]] - 0.485,"")</f>
        <v/>
      </c>
      <c r="V2" s="3" t="str">
        <f>IFERROR(1 + [1]!Ra[[#This Row],[e7]] - 0.485,"")</f>
        <v/>
      </c>
      <c r="W2" s="3" t="str">
        <f>IFERROR(1 + [1]!Ra[[#This Row],[e8]] - 0.485,"")</f>
        <v/>
      </c>
      <c r="X2" s="3" t="str">
        <f>IFERROR(1 + [1]!Ra[[#This Row],[e9]] - 0.485,"")</f>
        <v/>
      </c>
      <c r="Y2" s="3" t="str">
        <f>IFERROR(1 + [1]!Ra[[#This Row],[e10]] - 0.485,"")</f>
        <v/>
      </c>
      <c r="Z2" s="3" t="str">
        <f>IFERROR(1 + [1]!Ra[[#This Row],[e11]] - 0.485,"")</f>
        <v/>
      </c>
      <c r="AA2" s="3" t="str">
        <f>IFERROR(1 + [1]!Ra[[#This Row],[e12]] - 0.485,"")</f>
        <v/>
      </c>
      <c r="AB2" s="3" t="str">
        <f>IFERROR(1 + [1]!Ra[[#This Row],[e13]] - 0.485,"")</f>
        <v/>
      </c>
      <c r="AC2" s="3" t="str">
        <f>IFERROR(1 + [1]!Ra[[#This Row],[e14]] - 0.485,"")</f>
        <v/>
      </c>
      <c r="AD2" s="3" t="str">
        <f>IFERROR(1 + [1]!Ra[[#This Row],[e15]] - 0.485,"")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4" sqref="A4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IFERROR([1]!xwn[[#This Row],[a1]] + ([1]!xwn[[#This Row],[a1]] * (([1]!avglvl[[#This Row],[a1]]-[1]!T[#This Row]) * 0.05)),"")</f>
        <v/>
      </c>
      <c r="B2" s="3" t="str">
        <f>IFERROR([1]!xwn[[#This Row],[a2]] + ([1]!xwn[[#This Row],[a2]] * (([1]!avglvl[[#This Row],[a2]]-[1]!T[#This Row]) * 0.05)),"")</f>
        <v/>
      </c>
      <c r="C2" s="3" t="str">
        <f>IFERROR([1]!xwn[[#This Row],[a3]] + ([1]!xwn[[#This Row],[a3]] * (([1]!avglvl[[#This Row],[a3]]-[1]!T[#This Row]) * 0.05)),"")</f>
        <v/>
      </c>
      <c r="D2" s="3" t="str">
        <f>IFERROR([1]!xwn[[#This Row],[a4]] + ([1]!xwn[[#This Row],[a4]] * (([1]!avglvl[[#This Row],[a4]]-[1]!T[#This Row]) * 0.05)),"")</f>
        <v/>
      </c>
      <c r="E2" s="3" t="str">
        <f>IFERROR([1]!xwn[[#This Row],[a5]] + ([1]!xwn[[#This Row],[a5]] * (([1]!avglvl[[#This Row],[a5]]-[1]!T[#This Row]) * 0.05)),"")</f>
        <v/>
      </c>
      <c r="F2" s="3" t="str">
        <f>IFERROR([1]!xwn[[#This Row],[a6]] + ([1]!xwn[[#This Row],[a6]] * (([1]!avglvl[[#This Row],[a6]]-[1]!T[#This Row]) * 0.05)),"")</f>
        <v/>
      </c>
      <c r="G2" s="3" t="str">
        <f>IFERROR([1]!xwn[[#This Row],[a7]] + ([1]!xwn[[#This Row],[a7]] * (([1]!avglvl[[#This Row],[a7]]-[1]!T[#This Row]) * 0.05)),"")</f>
        <v/>
      </c>
      <c r="H2" s="3" t="str">
        <f>IFERROR([1]!xwn[[#This Row],[a8]] + ([1]!xwn[[#This Row],[a8]] * (([1]!avglvl[[#This Row],[a8]]-[1]!T[#This Row]) * 0.05)),"")</f>
        <v/>
      </c>
      <c r="I2" s="3" t="str">
        <f>IFERROR([1]!xwn[[#This Row],[a9]] + ([1]!xwn[[#This Row],[a9]] * (([1]!avglvl[[#This Row],[a9]]-[1]!T[#This Row]) * 0.05)),"")</f>
        <v/>
      </c>
      <c r="J2" s="3" t="str">
        <f>IFERROR([1]!xwn[[#This Row],[a10]] + ([1]!xwn[[#This Row],[a10]] * (([1]!avglvl[[#This Row],[a10]]-[1]!T[#This Row]) * 0.05)),"")</f>
        <v/>
      </c>
      <c r="K2" s="3" t="str">
        <f>IFERROR([1]!xwn[[#This Row],[a11]] + ([1]!xwn[[#This Row],[a11]] * (([1]!avglvl[[#This Row],[a11]]-[1]!T[#This Row]) * 0.05)),"")</f>
        <v/>
      </c>
      <c r="L2" s="3" t="str">
        <f>IFERROR([1]!xwn[[#This Row],[a12]] + ([1]!xwn[[#This Row],[a12]] * (([1]!avglvl[[#This Row],[a12]]-[1]!T[#This Row]) * 0.05)),"")</f>
        <v/>
      </c>
      <c r="M2" s="3" t="str">
        <f>IFERROR([1]!xwn[[#This Row],[a13]] + ([1]!xwn[[#This Row],[a13]] * (([1]!avglvl[[#This Row],[a13]]-[1]!T[#This Row]) * 0.05)),"")</f>
        <v/>
      </c>
      <c r="N2" s="3" t="str">
        <f>IFERROR([1]!xwn[[#This Row],[a14]] + ([1]!xwn[[#This Row],[a14]] * (([1]!avglvl[[#This Row],[a14]]-[1]!T[#This Row]) * 0.05)),"")</f>
        <v/>
      </c>
      <c r="O2" s="3" t="str">
        <f>IFERROR([1]!xwn[[#This Row],[a15]] + ([1]!xwn[[#This Row],[a15]] * (([1]!avglvl[[#This Row],[a15]]-[1]!T[#This Row]) * 0.05)),"")</f>
        <v/>
      </c>
      <c r="P2" s="3" t="str">
        <f>IFERROR([1]!xwn[[#This Row],[e1]] + ([1]!xwn[[#This Row],[e1]] * (([1]!avglvl[[#This Row],[e1]]-[1]!T[#This Row]) * 0.05)),"")</f>
        <v/>
      </c>
      <c r="Q2" s="3" t="str">
        <f>IFERROR([1]!xwn[[#This Row],[e2]] + ([1]!xwn[[#This Row],[e2]] * (([1]!avglvl[[#This Row],[e2]]-[1]!T[#This Row]) * 0.05)),"")</f>
        <v/>
      </c>
      <c r="R2" s="3" t="str">
        <f>IFERROR([1]!xwn[[#This Row],[e3]] + ([1]!xwn[[#This Row],[e3]] * (([1]!avglvl[[#This Row],[e3]]-[1]!T[#This Row]) * 0.05)),"")</f>
        <v/>
      </c>
      <c r="S2" s="3" t="str">
        <f>IFERROR([1]!xwn[[#This Row],[e4]] + ([1]!xwn[[#This Row],[e4]] * (([1]!avglvl[[#This Row],[e4]]-[1]!T[#This Row]) * 0.05)),"")</f>
        <v/>
      </c>
      <c r="T2" s="3" t="str">
        <f>IFERROR([1]!xwn[[#This Row],[e5]] + ([1]!xwn[[#This Row],[e5]] * (([1]!avglvl[[#This Row],[e5]]-[1]!T[#This Row]) * 0.05)),"")</f>
        <v/>
      </c>
      <c r="U2" s="3" t="str">
        <f>IFERROR([1]!xwn[[#This Row],[e6]] + ([1]!xwn[[#This Row],[e6]] * (([1]!avglvl[[#This Row],[e6]]-[1]!T[#This Row]) * 0.05)),"")</f>
        <v/>
      </c>
      <c r="V2" s="3" t="str">
        <f>IFERROR([1]!xwn[[#This Row],[e7]] + ([1]!xwn[[#This Row],[e7]] * (([1]!avglvl[[#This Row],[e7]]-[1]!T[#This Row]) * 0.05)),"")</f>
        <v/>
      </c>
      <c r="W2" s="3" t="str">
        <f>IFERROR([1]!xwn[[#This Row],[e8]] + ([1]!xwn[[#This Row],[e8]] * (([1]!avglvl[[#This Row],[e8]]-[1]!T[#This Row]) * 0.05)),"")</f>
        <v/>
      </c>
      <c r="X2" s="3" t="str">
        <f>IFERROR([1]!xwn[[#This Row],[e9]] + ([1]!xwn[[#This Row],[e9]] * (([1]!avglvl[[#This Row],[e9]]-[1]!T[#This Row]) * 0.05)),"")</f>
        <v/>
      </c>
      <c r="Y2" s="3" t="str">
        <f>IFERROR([1]!xwn[[#This Row],[e10]] + ([1]!xwn[[#This Row],[e10]] * (([1]!avglvl[[#This Row],[e10]]-[1]!T[#This Row]) * 0.05)),"")</f>
        <v/>
      </c>
      <c r="Z2" s="3" t="str">
        <f>IFERROR([1]!xwn[[#This Row],[e11]] + ([1]!xwn[[#This Row],[e11]] * (([1]!avglvl[[#This Row],[e11]]-[1]!T[#This Row]) * 0.05)),"")</f>
        <v/>
      </c>
      <c r="AA2" s="3" t="str">
        <f>IFERROR([1]!xwn[[#This Row],[e12]] + ([1]!xwn[[#This Row],[e12]] * (([1]!avglvl[[#This Row],[e12]]-[1]!T[#This Row]) * 0.05)),"")</f>
        <v/>
      </c>
      <c r="AB2" s="3" t="str">
        <f>IFERROR([1]!xwn[[#This Row],[e13]] + ([1]!xwn[[#This Row],[e13]] * (([1]!avglvl[[#This Row],[e13]]-[1]!T[#This Row]) * 0.05)),"")</f>
        <v/>
      </c>
      <c r="AC2" s="3" t="str">
        <f>IFERROR([1]!xwn[[#This Row],[e14]] + ([1]!xwn[[#This Row],[e14]] * (([1]!avglvl[[#This Row],[e14]]-[1]!T[#This Row]) * 0.05)),"")</f>
        <v/>
      </c>
      <c r="AD2" s="3" t="str">
        <f>IFERROR([1]!xwn[[#This Row],[e15]] + ([1]!xwn[[#This Row],[e15]] * (([1]!avglvl[[#This Row],[e15]]-[1]!T[#This Row]) * 0.05)),"")</f>
        <v/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IFERROR(IF([1]!teff[[#This Row],[a1]] &gt; 0,
(((3/5 * ([1]!teff[[#This Row],[a1]] / 20) * Krt[[#This Row],[a1]]) * (Krt[[#This Row],[a1]] + Ktb[[#This Row],[a1]])) + ((2/5 * Ean[[#This Row],[a1]] * Kra[[#This Row],[a1]]) * (Kra[[#This Row],[a1]] + Kab[[#This Row],[a1]]))) * (Kra[[#This Row],[a1]] + 0.25 * Klvl[[#This Row],[a1]]),
((Ean[[#This Row],[a1]] * Kra[[#This Row],[a1]]) * (Kra[[#This Row],[a1]] + Kab[[#This Row],[a1]])) * (Kra[[#This Row],[a1]] + 0.25 * Klvl[[#This Row],[a1]])),"")</f>
        <v/>
      </c>
      <c r="B2" s="3" t="str">
        <f>IFERROR(IF([1]!teff[[#This Row],[a2]] &gt; 0,
(((3/5 * ([1]!teff[[#This Row],[a2]] / 20) * Krt[[#This Row],[a2]]) * (Krt[[#This Row],[a2]] + Ktb[[#This Row],[a2]])) + ((2/5 * Ean[[#This Row],[a2]] * Kra[[#This Row],[a2]]) * (Kra[[#This Row],[a2]] + Kab[[#This Row],[a2]]))) * (Kra[[#This Row],[a2]] + 0.25 * Klvl[[#This Row],[a2]]),
((Ean[[#This Row],[a2]] * Kra[[#This Row],[a2]]) * (Kra[[#This Row],[a2]] + Kab[[#This Row],[a2]])) * (Kra[[#This Row],[a2]] + 0.25 * Klvl[[#This Row],[a2]])),"")</f>
        <v/>
      </c>
      <c r="C2" s="3" t="str">
        <f>IFERROR(IF([1]!teff[[#This Row],[a3]] &gt; 0,
(((3/5 * ([1]!teff[[#This Row],[a3]] / 20) * Krt[[#This Row],[a3]]) * (Krt[[#This Row],[a3]] + Ktb[[#This Row],[a3]])) + ((2/5 * Ean[[#This Row],[a3]] * Kra[[#This Row],[a3]]) * (Kra[[#This Row],[a3]] + Kab[[#This Row],[a3]]))) * (Kra[[#This Row],[a3]] + 0.25 * Klvl[[#This Row],[a3]]),
((Ean[[#This Row],[a3]] * Kra[[#This Row],[a3]]) * (Kra[[#This Row],[a3]] + Kab[[#This Row],[a3]])) * (Kra[[#This Row],[a3]] + 0.25 * Klvl[[#This Row],[a3]])),"")</f>
        <v/>
      </c>
      <c r="D2" s="3" t="str">
        <f>IFERROR(IF([1]!teff[[#This Row],[a4]] &gt; 0,
(((3/5 * ([1]!teff[[#This Row],[a4]] / 20) * Krt[[#This Row],[a4]]) * (Krt[[#This Row],[a4]] + Ktb[[#This Row],[a4]])) + ((2/5 * Ean[[#This Row],[a4]] * Kra[[#This Row],[a4]]) * (Kra[[#This Row],[a4]] + Kab[[#This Row],[a4]]))) * (Kra[[#This Row],[a4]] + 0.25 * Klvl[[#This Row],[a4]]),
((Ean[[#This Row],[a4]] * Kra[[#This Row],[a4]]) * (Kra[[#This Row],[a4]] + Kab[[#This Row],[a4]])) * (Kra[[#This Row],[a4]] + 0.25 * Klvl[[#This Row],[a4]])),"")</f>
        <v/>
      </c>
      <c r="E2" s="3" t="str">
        <f>IFERROR(IF([1]!teff[[#This Row],[a5]] &gt; 0,
(((3/5 * ([1]!teff[[#This Row],[a5]] / 20) * Krt[[#This Row],[a5]]) * (Krt[[#This Row],[a5]] + Ktb[[#This Row],[a5]])) + ((2/5 * Ean[[#This Row],[a5]] * Kra[[#This Row],[a5]]) * (Kra[[#This Row],[a5]] + Kab[[#This Row],[a5]]))) * (Kra[[#This Row],[a5]] + 0.25 * Klvl[[#This Row],[a5]]),
((Ean[[#This Row],[a5]] * Kra[[#This Row],[a5]]) * (Kra[[#This Row],[a5]] + Kab[[#This Row],[a5]])) * (Kra[[#This Row],[a5]] + 0.25 * Klvl[[#This Row],[a5]])),"")</f>
        <v/>
      </c>
      <c r="F2" s="3" t="str">
        <f>IFERROR(IF([1]!teff[[#This Row],[a6]] &gt; 0,
(((3/5 * ([1]!teff[[#This Row],[a6]] / 20) * Krt[[#This Row],[a6]]) * (Krt[[#This Row],[a6]] + Ktb[[#This Row],[a6]])) + ((2/5 * Ean[[#This Row],[a6]] * Kra[[#This Row],[a6]]) * (Kra[[#This Row],[a6]] + Kab[[#This Row],[a6]]))) * (Kra[[#This Row],[a6]] + 0.25 * Klvl[[#This Row],[a6]]),
((Ean[[#This Row],[a6]] * Kra[[#This Row],[a6]]) * (Kra[[#This Row],[a6]] + Kab[[#This Row],[a6]])) * (Kra[[#This Row],[a6]] + 0.25 * Klvl[[#This Row],[a6]])),"")</f>
        <v/>
      </c>
      <c r="G2" s="3" t="str">
        <f>IFERROR(IF([1]!teff[[#This Row],[a7]] &gt; 0,
(((3/5 * ([1]!teff[[#This Row],[a7]] / 20) * Krt[[#This Row],[a7]]) * (Krt[[#This Row],[a7]] + Ktb[[#This Row],[a7]])) + ((2/5 * Ean[[#This Row],[a7]] * Kra[[#This Row],[a7]]) * (Kra[[#This Row],[a7]] + Kab[[#This Row],[a7]]))) * (Kra[[#This Row],[a7]] + 0.25 * Klvl[[#This Row],[a7]]),
((Ean[[#This Row],[a7]] * Kra[[#This Row],[a7]]) * (Kra[[#This Row],[a7]] + Kab[[#This Row],[a7]])) * (Kra[[#This Row],[a7]] + 0.25 * Klvl[[#This Row],[a7]])),"")</f>
        <v/>
      </c>
      <c r="H2" s="3" t="str">
        <f>IFERROR(IF([1]!teff[[#This Row],[a8]] &gt; 0,
(((3/5 * ([1]!teff[[#This Row],[a8]] / 20) * Krt[[#This Row],[a8]]) * (Krt[[#This Row],[a8]] + Ktb[[#This Row],[a8]])) + ((2/5 * Ean[[#This Row],[a8]] * Kra[[#This Row],[a8]]) * (Kra[[#This Row],[a8]] + Kab[[#This Row],[a8]]))) * (Kra[[#This Row],[a8]] + 0.25 * Klvl[[#This Row],[a8]]),
((Ean[[#This Row],[a8]] * Kra[[#This Row],[a8]]) * (Kra[[#This Row],[a8]] + Kab[[#This Row],[a8]])) * (Kra[[#This Row],[a8]] + 0.25 * Klvl[[#This Row],[a8]])),"")</f>
        <v/>
      </c>
      <c r="I2" s="3" t="str">
        <f>IFERROR(IF([1]!teff[[#This Row],[a9]] &gt; 0,
(((3/5 * ([1]!teff[[#This Row],[a9]] / 20) * Krt[[#This Row],[a9]]) * (Krt[[#This Row],[a9]] + Ktb[[#This Row],[a9]])) + ((2/5 * Ean[[#This Row],[a9]] * Kra[[#This Row],[a9]]) * (Kra[[#This Row],[a9]] + Kab[[#This Row],[a9]]))) * (Kra[[#This Row],[a9]] + 0.25 * Klvl[[#This Row],[a9]]),
((Ean[[#This Row],[a9]] * Kra[[#This Row],[a9]]) * (Kra[[#This Row],[a9]] + Kab[[#This Row],[a9]])) * (Kra[[#This Row],[a9]] + 0.25 * Klvl[[#This Row],[a9]])),"")</f>
        <v/>
      </c>
      <c r="J2" s="3" t="str">
        <f>IFERROR(IF([1]!teff[[#This Row],[a10]] &gt; 0,
(((3/5 * ([1]!teff[[#This Row],[a10]] / 20) * Krt[[#This Row],[a10]]) * (Krt[[#This Row],[a10]] + Ktb[[#This Row],[a10]])) + ((2/5 * Ean[[#This Row],[a10]] * Kra[[#This Row],[a10]]) * (Kra[[#This Row],[a10]] + Kab[[#This Row],[a10]]))) * (Kra[[#This Row],[a10]] + 0.25 * Klvl[[#This Row],[a10]]),
((Ean[[#This Row],[a10]] * Kra[[#This Row],[a10]]) * (Kra[[#This Row],[a10]] + Kab[[#This Row],[a10]])) * (Kra[[#This Row],[a10]] + 0.25 * Klvl[[#This Row],[a10]])),"")</f>
        <v/>
      </c>
      <c r="K2" s="3" t="str">
        <f>IFERROR(IF([1]!teff[[#This Row],[a11]] &gt; 0,
(((3/5 * ([1]!teff[[#This Row],[a11]] / 20) * Krt[[#This Row],[a11]]) * (Krt[[#This Row],[a11]] + Ktb[[#This Row],[a11]])) + ((2/5 * Ean[[#This Row],[a11]] * Kra[[#This Row],[a11]]) * (Kra[[#This Row],[a11]] + Kab[[#This Row],[a11]]))) * (Kra[[#This Row],[a11]] + 0.25 * Klvl[[#This Row],[a11]]),
((Ean[[#This Row],[a11]] * Kra[[#This Row],[a11]]) * (Kra[[#This Row],[a11]] + Kab[[#This Row],[a11]])) * (Kra[[#This Row],[a11]] + 0.25 * Klvl[[#This Row],[a11]])),"")</f>
        <v/>
      </c>
      <c r="L2" s="3" t="str">
        <f>IFERROR(IF([1]!teff[[#This Row],[a12]] &gt; 0,
(((3/5 * ([1]!teff[[#This Row],[a12]] / 20) * Krt[[#This Row],[a12]]) * (Krt[[#This Row],[a12]] + Ktb[[#This Row],[a12]])) + ((2/5 * Ean[[#This Row],[a12]] * Kra[[#This Row],[a12]]) * (Kra[[#This Row],[a12]] + Kab[[#This Row],[a12]]))) * (Kra[[#This Row],[a12]] + 0.25 * Klvl[[#This Row],[a12]]),
((Ean[[#This Row],[a12]] * Kra[[#This Row],[a12]]) * (Kra[[#This Row],[a12]] + Kab[[#This Row],[a12]])) * (Kra[[#This Row],[a12]] + 0.25 * Klvl[[#This Row],[a12]])),"")</f>
        <v/>
      </c>
      <c r="M2" s="3" t="str">
        <f>IFERROR(IF([1]!teff[[#This Row],[a13]] &gt; 0,
(((3/5 * ([1]!teff[[#This Row],[a13]] / 20) * Krt[[#This Row],[a13]]) * (Krt[[#This Row],[a13]] + Ktb[[#This Row],[a13]])) + ((2/5 * Ean[[#This Row],[a13]] * Kra[[#This Row],[a13]]) * (Kra[[#This Row],[a13]] + Kab[[#This Row],[a13]]))) * (Kra[[#This Row],[a13]] + 0.25 * Klvl[[#This Row],[a13]]),
((Ean[[#This Row],[a13]] * Kra[[#This Row],[a13]]) * (Kra[[#This Row],[a13]] + Kab[[#This Row],[a13]])) * (Kra[[#This Row],[a13]] + 0.25 * Klvl[[#This Row],[a13]])),"")</f>
        <v/>
      </c>
      <c r="N2" s="3" t="str">
        <f>IFERROR(IF([1]!teff[[#This Row],[a14]] &gt; 0,
(((3/5 * ([1]!teff[[#This Row],[a14]] / 20) * Krt[[#This Row],[a14]]) * (Krt[[#This Row],[a14]] + Ktb[[#This Row],[a14]])) + ((2/5 * Ean[[#This Row],[a14]] * Kra[[#This Row],[a14]]) * (Kra[[#This Row],[a14]] + Kab[[#This Row],[a14]]))) * (Kra[[#This Row],[a14]] + 0.25 * Klvl[[#This Row],[a14]]),
((Ean[[#This Row],[a14]] * Kra[[#This Row],[a14]]) * (Kra[[#This Row],[a14]] + Kab[[#This Row],[a14]])) * (Kra[[#This Row],[a14]] + 0.25 * Klvl[[#This Row],[a14]])),"")</f>
        <v/>
      </c>
      <c r="O2" s="3" t="str">
        <f>IFERROR(IF([1]!teff[[#This Row],[a15]] &gt; 0,
(((3/5 * ([1]!teff[[#This Row],[a15]] / 20) * Krt[[#This Row],[a15]]) * (Krt[[#This Row],[a15]] + Ktb[[#This Row],[a15]])) + ((2/5 * Ean[[#This Row],[a15]] * Kra[[#This Row],[a15]]) * (Kra[[#This Row],[a15]] + Kab[[#This Row],[a15]]))) * (Kra[[#This Row],[a15]] + 0.25 * Klvl[[#This Row],[a15]]),
((Ean[[#This Row],[a15]] * Kra[[#This Row],[a15]]) * (Kra[[#This Row],[a15]] + Kab[[#This Row],[a15]])) * (Kra[[#This Row],[a15]] + 0.25 * Klvl[[#This Row],[a15]])),"")</f>
        <v/>
      </c>
      <c r="P2" s="3" t="str">
        <f>IFERROR(IF([1]!teff[[#This Row],[e1]] &gt; 0,
(((3/5 * ([1]!teff[[#This Row],[e1]] / 20) * Krt[[#This Row],[e1]]) * (Krt[[#This Row],[e1]] + Ktb[[#This Row],[e1]])) + ((2/5 * Ean[[#This Row],[e1]] * Kra[[#This Row],[e1]]) * (Kra[[#This Row],[e1]] + Kab[[#This Row],[e1]]))) * (Kra[[#This Row],[e1]] + 0.25 * Klvl[[#This Row],[e1]]),
((Ean[[#This Row],[e1]] * Kra[[#This Row],[e1]]) * (Kra[[#This Row],[e1]] + Kab[[#This Row],[e1]])) * (Kra[[#This Row],[e1]] + 0.25 * Klvl[[#This Row],[e1]])),"")</f>
        <v/>
      </c>
      <c r="Q2" s="3" t="str">
        <f>IFERROR(IF([1]!teff[[#This Row],[e2]] &gt; 0,
(((3/5 * ([1]!teff[[#This Row],[e2]] / 20) * Krt[[#This Row],[e2]]) * (Krt[[#This Row],[e2]] + Ktb[[#This Row],[e2]])) + ((2/5 * Ean[[#This Row],[e2]] * Kra[[#This Row],[e2]]) * (Kra[[#This Row],[e2]] + Kab[[#This Row],[e2]]))) * (Kra[[#This Row],[e2]] + 0.25 * Klvl[[#This Row],[e2]]),
((Ean[[#This Row],[e2]] * Kra[[#This Row],[e2]]) * (Kra[[#This Row],[e2]] + Kab[[#This Row],[e2]])) * (Kra[[#This Row],[e2]] + 0.25 * Klvl[[#This Row],[e2]])),"")</f>
        <v/>
      </c>
      <c r="R2" s="3" t="str">
        <f>IFERROR(IF([1]!teff[[#This Row],[e3]] &gt; 0,
(((3/5 * ([1]!teff[[#This Row],[e3]] / 20) * Krt[[#This Row],[e3]]) * (Krt[[#This Row],[e3]] + Ktb[[#This Row],[e3]])) + ((2/5 * Ean[[#This Row],[e3]] * Kra[[#This Row],[e3]]) * (Kra[[#This Row],[e3]] + Kab[[#This Row],[e3]]))) * (Kra[[#This Row],[e3]] + 0.25 * Klvl[[#This Row],[e3]]),
((Ean[[#This Row],[e3]] * Kra[[#This Row],[e3]]) * (Kra[[#This Row],[e3]] + Kab[[#This Row],[e3]])) * (Kra[[#This Row],[e3]] + 0.25 * Klvl[[#This Row],[e3]])),"")</f>
        <v/>
      </c>
      <c r="S2" s="3" t="str">
        <f>IFERROR(IF([1]!teff[[#This Row],[e4]] &gt; 0,
(((3/5 * ([1]!teff[[#This Row],[e4]] / 20) * Krt[[#This Row],[e4]]) * (Krt[[#This Row],[e4]] + Ktb[[#This Row],[e4]])) + ((2/5 * Ean[[#This Row],[e4]] * Kra[[#This Row],[e4]]) * (Kra[[#This Row],[e4]] + Kab[[#This Row],[e4]]))) * (Kra[[#This Row],[e4]] + 0.25 * Klvl[[#This Row],[e4]]),
((Ean[[#This Row],[e4]] * Kra[[#This Row],[e4]]) * (Kra[[#This Row],[e4]] + Kab[[#This Row],[e4]])) * (Kra[[#This Row],[e4]] + 0.25 * Klvl[[#This Row],[e4]])),"")</f>
        <v/>
      </c>
      <c r="T2" s="3" t="str">
        <f>IFERROR(IF([1]!teff[[#This Row],[e5]] &gt; 0,
(((3/5 * ([1]!teff[[#This Row],[e5]] / 20) * Krt[[#This Row],[e5]]) * (Krt[[#This Row],[e5]] + Ktb[[#This Row],[e5]])) + ((2/5 * Ean[[#This Row],[e5]] * Kra[[#This Row],[e5]]) * (Kra[[#This Row],[e5]] + Kab[[#This Row],[e5]]))) * (Kra[[#This Row],[e5]] + 0.25 * Klvl[[#This Row],[e5]]),
((Ean[[#This Row],[e5]] * Kra[[#This Row],[e5]]) * (Kra[[#This Row],[e5]] + Kab[[#This Row],[e5]])) * (Kra[[#This Row],[e5]] + 0.25 * Klvl[[#This Row],[e5]])),"")</f>
        <v/>
      </c>
      <c r="U2" s="3" t="str">
        <f>IFERROR(IF([1]!teff[[#This Row],[e6]] &gt; 0,
(((3/5 * ([1]!teff[[#This Row],[e6]] / 20) * Krt[[#This Row],[e6]]) * (Krt[[#This Row],[e6]] + Ktb[[#This Row],[e6]])) + ((2/5 * Ean[[#This Row],[e6]] * Kra[[#This Row],[e6]]) * (Kra[[#This Row],[e6]] + Kab[[#This Row],[e6]]))) * (Kra[[#This Row],[e6]] + 0.25 * Klvl[[#This Row],[e6]]),
((Ean[[#This Row],[e6]] * Kra[[#This Row],[e6]]) * (Kra[[#This Row],[e6]] + Kab[[#This Row],[e6]])) * (Kra[[#This Row],[e6]] + 0.25 * Klvl[[#This Row],[e6]])),"")</f>
        <v/>
      </c>
      <c r="V2" s="3" t="str">
        <f>IFERROR(IF([1]!teff[[#This Row],[e7]] &gt; 0,
(((3/5 * ([1]!teff[[#This Row],[e7]] / 20) * Krt[[#This Row],[e7]]) * (Krt[[#This Row],[e7]] + Ktb[[#This Row],[e7]])) + ((2/5 * Ean[[#This Row],[e7]] * Kra[[#This Row],[e7]]) * (Kra[[#This Row],[e7]] + Kab[[#This Row],[e7]]))) * (Kra[[#This Row],[e7]] + 0.25 * Klvl[[#This Row],[e7]]),
((Ean[[#This Row],[e7]] * Kra[[#This Row],[e7]]) * (Kra[[#This Row],[e7]] + Kab[[#This Row],[e7]])) * (Kra[[#This Row],[e7]] + 0.25 * Klvl[[#This Row],[e7]])),"")</f>
        <v/>
      </c>
      <c r="W2" s="3" t="str">
        <f>IFERROR(IF([1]!teff[[#This Row],[e8]] &gt; 0,
(((3/5 * ([1]!teff[[#This Row],[e8]] / 20) * Krt[[#This Row],[e8]]) * (Krt[[#This Row],[e8]] + Ktb[[#This Row],[e8]])) + ((2/5 * Ean[[#This Row],[e8]] * Kra[[#This Row],[e8]]) * (Kra[[#This Row],[e8]] + Kab[[#This Row],[e8]]))) * (Kra[[#This Row],[e8]] + 0.25 * Klvl[[#This Row],[e8]]),
((Ean[[#This Row],[e8]] * Kra[[#This Row],[e8]]) * (Kra[[#This Row],[e8]] + Kab[[#This Row],[e8]])) * (Kra[[#This Row],[e8]] + 0.25 * Klvl[[#This Row],[e8]])),"")</f>
        <v/>
      </c>
      <c r="X2" s="3" t="str">
        <f>IFERROR(IF([1]!teff[[#This Row],[e9]] &gt; 0,
(((3/5 * ([1]!teff[[#This Row],[e9]] / 20) * Krt[[#This Row],[e9]]) * (Krt[[#This Row],[e9]] + Ktb[[#This Row],[e9]])) + ((2/5 * Ean[[#This Row],[e9]] * Kra[[#This Row],[e9]]) * (Kra[[#This Row],[e9]] + Kab[[#This Row],[e9]]))) * (Kra[[#This Row],[e9]] + 0.25 * Klvl[[#This Row],[e9]]),
((Ean[[#This Row],[e9]] * Kra[[#This Row],[e9]]) * (Kra[[#This Row],[e9]] + Kab[[#This Row],[e9]])) * (Kra[[#This Row],[e9]] + 0.25 * Klvl[[#This Row],[e9]])),"")</f>
        <v/>
      </c>
      <c r="Y2" s="3" t="str">
        <f>IFERROR(IF([1]!teff[[#This Row],[e10]] &gt; 0,
(((3/5 * ([1]!teff[[#This Row],[e10]] / 20) * Krt[[#This Row],[e10]]) * (Krt[[#This Row],[e10]] + Ktb[[#This Row],[e10]])) + ((2/5 * Ean[[#This Row],[e10]] * Kra[[#This Row],[e10]]) * (Kra[[#This Row],[e10]] + Kab[[#This Row],[e10]]))) * (Kra[[#This Row],[e10]] + 0.25 * Klvl[[#This Row],[e10]]),
((Ean[[#This Row],[e10]] * Kra[[#This Row],[e10]]) * (Kra[[#This Row],[e10]] + Kab[[#This Row],[e10]])) * (Kra[[#This Row],[e10]] + 0.25 * Klvl[[#This Row],[e10]])),"")</f>
        <v/>
      </c>
      <c r="Z2" s="3" t="str">
        <f>IFERROR(IF([1]!teff[[#This Row],[e11]] &gt; 0,
(((3/5 * ([1]!teff[[#This Row],[e11]] / 20) * Krt[[#This Row],[e11]]) * (Krt[[#This Row],[e11]] + Ktb[[#This Row],[e11]])) + ((2/5 * Ean[[#This Row],[e11]] * Kra[[#This Row],[e11]]) * (Kra[[#This Row],[e11]] + Kab[[#This Row],[e11]]))) * (Kra[[#This Row],[e11]] + 0.25 * Klvl[[#This Row],[e11]]),
((Ean[[#This Row],[e11]] * Kra[[#This Row],[e11]]) * (Kra[[#This Row],[e11]] + Kab[[#This Row],[e11]])) * (Kra[[#This Row],[e11]] + 0.25 * Klvl[[#This Row],[e11]])),"")</f>
        <v/>
      </c>
      <c r="AA2" s="3" t="str">
        <f>IFERROR(IF([1]!teff[[#This Row],[e12]] &gt; 0,
(((3/5 * ([1]!teff[[#This Row],[e12]] / 20) * Krt[[#This Row],[e12]]) * (Krt[[#This Row],[e12]] + Ktb[[#This Row],[e12]])) + ((2/5 * Ean[[#This Row],[e12]] * Kra[[#This Row],[e12]]) * (Kra[[#This Row],[e12]] + Kab[[#This Row],[e12]]))) * (Kra[[#This Row],[e12]] + 0.25 * Klvl[[#This Row],[e12]]),
((Ean[[#This Row],[e12]] * Kra[[#This Row],[e12]]) * (Kra[[#This Row],[e12]] + Kab[[#This Row],[e12]])) * (Kra[[#This Row],[e12]] + 0.25 * Klvl[[#This Row],[e12]])),"")</f>
        <v/>
      </c>
      <c r="AB2" s="3" t="str">
        <f>IFERROR(IF([1]!teff[[#This Row],[e13]] &gt; 0,
(((3/5 * ([1]!teff[[#This Row],[e13]] / 20) * Krt[[#This Row],[e13]]) * (Krt[[#This Row],[e13]] + Ktb[[#This Row],[e13]])) + ((2/5 * Ean[[#This Row],[e13]] * Kra[[#This Row],[e13]]) * (Kra[[#This Row],[e13]] + Kab[[#This Row],[e13]]))) * (Kra[[#This Row],[e13]] + 0.25 * Klvl[[#This Row],[e13]]),
((Ean[[#This Row],[e13]] * Kra[[#This Row],[e13]]) * (Kra[[#This Row],[e13]] + Kab[[#This Row],[e13]])) * (Kra[[#This Row],[e13]] + 0.25 * Klvl[[#This Row],[e13]])),"")</f>
        <v/>
      </c>
      <c r="AC2" s="3" t="str">
        <f>IFERROR(IF([1]!teff[[#This Row],[e14]] &gt; 0,
(((3/5 * ([1]!teff[[#This Row],[e14]] / 20) * Krt[[#This Row],[e14]]) * (Krt[[#This Row],[e14]] + Ktb[[#This Row],[e14]])) + ((2/5 * Ean[[#This Row],[e14]] * Kra[[#This Row],[e14]]) * (Kra[[#This Row],[e14]] + Kab[[#This Row],[e14]]))) * (Kra[[#This Row],[e14]] + 0.25 * Klvl[[#This Row],[e14]]),
((Ean[[#This Row],[e14]] * Kra[[#This Row],[e14]]) * (Kra[[#This Row],[e14]] + Kab[[#This Row],[e14]])) * (Kra[[#This Row],[e14]] + 0.25 * Klvl[[#This Row],[e14]])),"")</f>
        <v/>
      </c>
      <c r="AD2" s="3" t="str">
        <f>IFERROR(IF([1]!teff[[#This Row],[e15]] &gt; 0,
(((3/5 * ([1]!teff[[#This Row],[e15]] / 20) * Krt[[#This Row],[e15]]) * (Krt[[#This Row],[e15]] + Ktb[[#This Row],[e15]])) + ((2/5 * Ean[[#This Row],[e15]] * Kra[[#This Row],[e15]]) * (Kra[[#This Row],[e15]] + Kab[[#This Row],[e15]]))) * (Kra[[#This Row],[e15]] + 0.25 * Klvl[[#This Row],[e15]]),
((Ean[[#This Row],[e15]] * Kra[[#This Row],[e15]]) * (Kra[[#This Row],[e15]] + Kab[[#This Row],[e15]])) * (Kra[[#This Row],[e15]] + 0.25 * Klvl[[#This Row],[e15]])),"")</f>
        <v/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2" sqref="A2"/>
    </sheetView>
  </sheetViews>
  <sheetFormatPr defaultRowHeight="15" x14ac:dyDescent="0.25"/>
  <cols>
    <col min="1" max="1" width="6.5703125" style="3" bestFit="1" customWidth="1"/>
    <col min="2" max="9" width="5.28515625" style="3" bestFit="1" customWidth="1"/>
    <col min="10" max="15" width="6.28515625" style="3" bestFit="1" customWidth="1"/>
    <col min="16" max="24" width="5.42578125" style="3" bestFit="1" customWidth="1"/>
    <col min="25" max="30" width="6.42578125" style="3" bestFit="1" customWidth="1"/>
    <col min="31" max="16384" width="9.140625" style="1"/>
  </cols>
  <sheetData>
    <row r="1" spans="1:3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3" t="s">
        <v>32</v>
      </c>
      <c r="AD1" s="3" t="s">
        <v>33</v>
      </c>
    </row>
    <row r="2" spans="1:30" x14ac:dyDescent="0.25">
      <c r="A2" s="3" t="str">
        <f>IFERROR(IF(Eb[[#This Row],[a1]]="","",MIN(300,Eb[[#This Row],[a1]])),"")</f>
        <v/>
      </c>
      <c r="B2" s="3" t="str">
        <f>IFERROR(IF(Eb[[#This Row],[a2]]="","",MIN(300,Eb[[#This Row],[a2]])),"")</f>
        <v/>
      </c>
      <c r="C2" s="3" t="str">
        <f>IFERROR(IF(Eb[[#This Row],[a3]]="","",MIN(300,Eb[[#This Row],[a3]])),"")</f>
        <v/>
      </c>
      <c r="D2" s="3" t="str">
        <f>IFERROR(IF(Eb[[#This Row],[a4]]="","",MIN(300,Eb[[#This Row],[a4]])),"")</f>
        <v/>
      </c>
      <c r="E2" s="3" t="str">
        <f>IFERROR(IF(Eb[[#This Row],[a5]]="","",MIN(300,Eb[[#This Row],[a5]])),"")</f>
        <v/>
      </c>
      <c r="F2" s="3" t="str">
        <f>IFERROR(IF(Eb[[#This Row],[a6]]="","",MIN(300,Eb[[#This Row],[a6]])),"")</f>
        <v/>
      </c>
      <c r="G2" s="3" t="str">
        <f>IFERROR(IF(Eb[[#This Row],[a7]]="","",MIN(300,Eb[[#This Row],[a7]])),"")</f>
        <v/>
      </c>
      <c r="H2" s="3" t="str">
        <f>IFERROR(IF(Eb[[#This Row],[a8]]="","",MIN(300,Eb[[#This Row],[a8]])),"")</f>
        <v/>
      </c>
      <c r="I2" s="3" t="str">
        <f>IFERROR(IF(Eb[[#This Row],[a9]]="","",MIN(300,Eb[[#This Row],[a9]])),"")</f>
        <v/>
      </c>
      <c r="J2" s="3" t="str">
        <f>IFERROR(IF(Eb[[#This Row],[a10]]="","",MIN(300,Eb[[#This Row],[a10]])),"")</f>
        <v/>
      </c>
      <c r="K2" s="3" t="str">
        <f>IFERROR(IF(Eb[[#This Row],[a11]]="","",MIN(300,Eb[[#This Row],[a11]])),"")</f>
        <v/>
      </c>
      <c r="L2" s="3" t="str">
        <f>IFERROR(IF(Eb[[#This Row],[a12]]="","",MIN(300,Eb[[#This Row],[a12]])),"")</f>
        <v/>
      </c>
      <c r="M2" s="3" t="str">
        <f>IFERROR(IF(Eb[[#This Row],[a13]]="","",MIN(300,Eb[[#This Row],[a13]])),"")</f>
        <v/>
      </c>
      <c r="N2" s="3" t="str">
        <f>IFERROR(IF(Eb[[#This Row],[a14]]="","",MIN(300,Eb[[#This Row],[a14]])),"")</f>
        <v/>
      </c>
      <c r="O2" s="3" t="str">
        <f>IFERROR(IF(Eb[[#This Row],[a15]]="","",MIN(300,Eb[[#This Row],[a15]])),"")</f>
        <v/>
      </c>
      <c r="P2" s="3" t="str">
        <f>IFERROR(IF(Eb[[#This Row],[e1]]="","",MIN(300,Eb[[#This Row],[e1]])),"")</f>
        <v/>
      </c>
      <c r="Q2" s="3" t="str">
        <f>IFERROR(IF(Eb[[#This Row],[e2]]="","",MIN(300,Eb[[#This Row],[e2]])),"")</f>
        <v/>
      </c>
      <c r="R2" s="3" t="str">
        <f>IFERROR(IF(Eb[[#This Row],[e3]]="","",MIN(300,Eb[[#This Row],[e3]])),"")</f>
        <v/>
      </c>
      <c r="S2" s="3" t="str">
        <f>IFERROR(IF(Eb[[#This Row],[e4]]="","",MIN(300,Eb[[#This Row],[e4]])),"")</f>
        <v/>
      </c>
      <c r="T2" s="3" t="str">
        <f>IFERROR(IF(Eb[[#This Row],[e5]]="","",MIN(300,Eb[[#This Row],[e5]])),"")</f>
        <v/>
      </c>
      <c r="U2" s="3" t="str">
        <f>IFERROR(IF(Eb[[#This Row],[e6]]="","",MIN(300,Eb[[#This Row],[e6]])),"")</f>
        <v/>
      </c>
      <c r="V2" s="3" t="str">
        <f>IFERROR(IF(Eb[[#This Row],[e7]]="","",MIN(300,Eb[[#This Row],[e7]])),"")</f>
        <v/>
      </c>
      <c r="W2" s="3" t="str">
        <f>IFERROR(IF(Eb[[#This Row],[e8]]="","",MIN(300,Eb[[#This Row],[e8]])),"")</f>
        <v/>
      </c>
      <c r="X2" s="3" t="str">
        <f>IFERROR(IF(Eb[[#This Row],[e9]]="","",MIN(300,Eb[[#This Row],[e9]])),"")</f>
        <v/>
      </c>
      <c r="Y2" s="3" t="str">
        <f>IFERROR(IF(Eb[[#This Row],[e10]]="","",MIN(300,Eb[[#This Row],[e10]])),"")</f>
        <v/>
      </c>
      <c r="Z2" s="3" t="str">
        <f>IFERROR(IF(Eb[[#This Row],[e11]]="","",MIN(300,Eb[[#This Row],[e11]])),"")</f>
        <v/>
      </c>
      <c r="AA2" s="3" t="str">
        <f>IFERROR(IF(Eb[[#This Row],[e12]]="","",MIN(300,Eb[[#This Row],[e12]])),"")</f>
        <v/>
      </c>
      <c r="AB2" s="3" t="str">
        <f>IFERROR(IF(Eb[[#This Row],[e13]]="","",MIN(300,Eb[[#This Row],[e13]])),"")</f>
        <v/>
      </c>
      <c r="AC2" s="3" t="str">
        <f>IFERROR(IF(Eb[[#This Row],[e14]]="","",MIN(300,Eb[[#This Row],[e14]])),"")</f>
        <v/>
      </c>
      <c r="AD2" s="3" t="str">
        <f>IFERROR(IF(Eb[[#This Row],[e15]]="","",MIN(300,Eb[[#This Row],[e15]])),"")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calc</vt:lpstr>
      <vt:lpstr>Klvl</vt:lpstr>
      <vt:lpstr>Ktb</vt:lpstr>
      <vt:lpstr>Kab</vt:lpstr>
      <vt:lpstr>Krt</vt:lpstr>
      <vt:lpstr>Kra</vt:lpstr>
      <vt:lpstr>Ean</vt:lpstr>
      <vt:lpstr>Eb</vt:lpstr>
      <vt:lpstr>Ebn</vt:lpstr>
      <vt:lpstr>Eb2</vt:lpstr>
      <vt:lpstr>Ebn2</vt:lpstr>
      <vt:lpstr>F1</vt:lpstr>
      <vt:lpstr>F2</vt:lpstr>
      <vt:lpstr>F3</vt:lpstr>
      <vt:lpstr>F4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Щедрівий Максим Валентинович</dc:creator>
  <cp:lastModifiedBy>m.schedriviy</cp:lastModifiedBy>
  <dcterms:created xsi:type="dcterms:W3CDTF">2013-02-04T13:26:03Z</dcterms:created>
  <dcterms:modified xsi:type="dcterms:W3CDTF">2013-02-25T21:04:33Z</dcterms:modified>
</cp:coreProperties>
</file>