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yps\Desktop\"/>
    </mc:Choice>
  </mc:AlternateContent>
  <xr:revisionPtr revIDLastSave="0" documentId="8_{4B6C6A47-566E-4FBA-B31C-6EF093DB43E9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Questão1" sheetId="1" r:id="rId1"/>
    <sheet name="Questão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9" i="2" l="1"/>
  <c r="N64" i="2"/>
  <c r="N16" i="2"/>
  <c r="N36" i="2"/>
  <c r="N57" i="2"/>
  <c r="M57" i="2"/>
  <c r="H60" i="2"/>
  <c r="O39" i="2"/>
  <c r="G68" i="2"/>
  <c r="G69" i="2"/>
  <c r="G70" i="2"/>
  <c r="G67" i="2"/>
  <c r="H57" i="2"/>
  <c r="H58" i="2"/>
  <c r="H56" i="2"/>
  <c r="G58" i="2"/>
  <c r="G57" i="2"/>
  <c r="G56" i="2"/>
  <c r="Q57" i="2"/>
  <c r="R57" i="2"/>
  <c r="S57" i="2"/>
  <c r="O60" i="2" s="1"/>
  <c r="T57" i="2"/>
  <c r="U57" i="2"/>
  <c r="M60" i="2"/>
  <c r="O57" i="2"/>
  <c r="N22" i="2"/>
  <c r="N23" i="2" s="1"/>
  <c r="O19" i="2"/>
  <c r="N42" i="2"/>
  <c r="M39" i="2"/>
  <c r="P39" i="2"/>
  <c r="N47" i="2" s="1"/>
  <c r="P19" i="2"/>
  <c r="N27" i="2" s="1"/>
  <c r="O36" i="2"/>
  <c r="M36" i="2" s="1"/>
  <c r="P36" i="2"/>
  <c r="Q36" i="2"/>
  <c r="R36" i="2"/>
  <c r="S36" i="2"/>
  <c r="T36" i="2"/>
  <c r="U36" i="2"/>
  <c r="U16" i="2"/>
  <c r="T16" i="2"/>
  <c r="S16" i="2"/>
  <c r="R16" i="2"/>
  <c r="Q16" i="2"/>
  <c r="P16" i="2"/>
  <c r="M16" i="2"/>
  <c r="O16" i="2"/>
  <c r="M19" i="2"/>
  <c r="W32" i="1"/>
  <c r="H39" i="2"/>
  <c r="H19" i="2"/>
  <c r="H37" i="2"/>
  <c r="H36" i="2"/>
  <c r="H35" i="2"/>
  <c r="H17" i="2"/>
  <c r="H16" i="2"/>
  <c r="H15" i="2"/>
  <c r="G15" i="2"/>
  <c r="G35" i="2"/>
  <c r="G46" i="2"/>
  <c r="G47" i="2"/>
  <c r="G48" i="2"/>
  <c r="G27" i="2"/>
  <c r="G28" i="2"/>
  <c r="G29" i="2"/>
  <c r="G26" i="2"/>
  <c r="G36" i="2"/>
  <c r="G37" i="2"/>
  <c r="G16" i="2"/>
  <c r="G17" i="2"/>
  <c r="N51" i="2" l="1"/>
  <c r="N43" i="2"/>
  <c r="P57" i="2"/>
  <c r="P60" i="2" s="1"/>
  <c r="N68" i="2" s="1"/>
  <c r="N25" i="2"/>
  <c r="N26" i="2" s="1"/>
  <c r="N45" i="2"/>
  <c r="N46" i="2" s="1"/>
  <c r="P30" i="1"/>
  <c r="I22" i="1"/>
  <c r="W25" i="1" s="1"/>
  <c r="I21" i="1"/>
  <c r="W24" i="1" s="1"/>
  <c r="W26" i="1"/>
  <c r="T26" i="1"/>
  <c r="I26" i="1"/>
  <c r="I25" i="1"/>
  <c r="I19" i="1"/>
  <c r="I18" i="1"/>
  <c r="P28" i="1" l="1"/>
  <c r="L15" i="1"/>
  <c r="P12" i="1"/>
  <c r="P13" i="1" s="1"/>
  <c r="P29" i="1"/>
  <c r="L16" i="1"/>
  <c r="L21" i="1" s="1"/>
  <c r="L26" i="1" s="1"/>
  <c r="T24" i="1"/>
  <c r="T14" i="1"/>
  <c r="T15" i="1" s="1"/>
  <c r="W27" i="1"/>
  <c r="W29" i="1" s="1"/>
  <c r="W31" i="1" s="1"/>
  <c r="N63" i="2"/>
  <c r="N66" i="2" s="1"/>
  <c r="N67" i="2" s="1"/>
  <c r="N50" i="2"/>
  <c r="T25" i="1"/>
  <c r="T17" i="1" s="1"/>
  <c r="P15" i="1" l="1"/>
  <c r="P18" i="1" s="1"/>
  <c r="P19" i="1" s="1"/>
  <c r="P27" i="1"/>
  <c r="P21" i="1"/>
  <c r="P24" i="1" s="1"/>
  <c r="L18" i="1"/>
  <c r="L19" i="1" s="1"/>
  <c r="L23" i="1"/>
  <c r="L25" i="1" s="1"/>
  <c r="P31" i="1"/>
  <c r="T20" i="1"/>
  <c r="T32" i="1" s="1"/>
  <c r="U35" i="1" s="1"/>
  <c r="T27" i="1"/>
  <c r="T29" i="1" s="1"/>
  <c r="T31" i="1" s="1"/>
  <c r="U34" i="1" s="1"/>
  <c r="P25" i="1" l="1"/>
  <c r="P33" i="1"/>
  <c r="P35" i="1" s="1"/>
  <c r="P36" i="1"/>
  <c r="T21" i="1"/>
</calcChain>
</file>

<file path=xl/sharedStrings.xml><?xml version="1.0" encoding="utf-8"?>
<sst xmlns="http://schemas.openxmlformats.org/spreadsheetml/2006/main" count="227" uniqueCount="96">
  <si>
    <t>ANEXO: Tabela de dados</t>
  </si>
  <si>
    <t>Grupo de Trabalho 1</t>
  </si>
  <si>
    <t>MIEI-MEIO 2020/21</t>
  </si>
  <si>
    <t>VALORES DA PROCURA (EMPRESA Café&amp;Afins)</t>
  </si>
  <si>
    <t>ANOS</t>
  </si>
  <si>
    <t>DADOS</t>
  </si>
  <si>
    <t>Semana</t>
  </si>
  <si>
    <t xml:space="preserve">C1 (€/semana) </t>
  </si>
  <si>
    <t>C2 (€/saco)</t>
  </si>
  <si>
    <t>C3 (€)</t>
  </si>
  <si>
    <t>l  (semanas)</t>
  </si>
  <si>
    <t>Politica anterior</t>
  </si>
  <si>
    <t>Calcular parametros sem divisao de epocas</t>
  </si>
  <si>
    <t>Parametros com divisoes de epocas</t>
  </si>
  <si>
    <t xml:space="preserve">q </t>
  </si>
  <si>
    <t>unidaades</t>
  </si>
  <si>
    <t>1 iteracao (QEE)</t>
  </si>
  <si>
    <t>Época alta</t>
  </si>
  <si>
    <t xml:space="preserve">S </t>
  </si>
  <si>
    <t>unidades</t>
  </si>
  <si>
    <t>q</t>
  </si>
  <si>
    <t xml:space="preserve">P[DDLT &gt; S] </t>
  </si>
  <si>
    <t>1ª iteração</t>
  </si>
  <si>
    <t>1 iteracao</t>
  </si>
  <si>
    <r>
      <t xml:space="preserve">(S = </t>
    </r>
    <r>
      <rPr>
        <sz val="11"/>
        <color rgb="FF000000"/>
        <rFont val="Calibri"/>
        <family val="2"/>
      </rPr>
      <t>µddtl + Z * sigma</t>
    </r>
    <r>
      <rPr>
        <sz val="11"/>
        <color rgb="FF000000"/>
        <rFont val="Calibri"/>
        <family val="2"/>
        <charset val="1"/>
      </rPr>
      <t>)</t>
    </r>
  </si>
  <si>
    <t>N</t>
  </si>
  <si>
    <t>q (QEE)</t>
  </si>
  <si>
    <r>
      <rPr>
        <sz val="11"/>
        <color rgb="FF000000"/>
        <rFont val="Calibri"/>
        <family val="2"/>
      </rPr>
      <t>µ</t>
    </r>
    <r>
      <rPr>
        <sz val="11"/>
        <color rgb="FF000000"/>
        <rFont val="Calibri"/>
        <family val="2"/>
        <charset val="1"/>
      </rPr>
      <t xml:space="preserve">ddlt= </t>
    </r>
  </si>
  <si>
    <t xml:space="preserve">E[DDLT &gt; S] </t>
  </si>
  <si>
    <t>P[DDLT]</t>
  </si>
  <si>
    <t>(Integrais)</t>
  </si>
  <si>
    <t>P[DDLT &gt; S]</t>
  </si>
  <si>
    <r>
      <rPr>
        <sz val="11"/>
        <color rgb="FF000000"/>
        <rFont val="Calibri"/>
        <family val="2"/>
      </rPr>
      <t>σ</t>
    </r>
    <r>
      <rPr>
        <sz val="11"/>
        <color rgb="FF000000"/>
        <rFont val="Calibri"/>
        <family val="2"/>
        <charset val="1"/>
      </rPr>
      <t>ddlt =</t>
    </r>
  </si>
  <si>
    <t>2 iteracao</t>
  </si>
  <si>
    <t>E[DDLT]</t>
  </si>
  <si>
    <t>Média semanal 2020</t>
  </si>
  <si>
    <t>Z</t>
  </si>
  <si>
    <t/>
  </si>
  <si>
    <t>Desvio padrão</t>
  </si>
  <si>
    <t xml:space="preserve">N </t>
  </si>
  <si>
    <t>2ª iteração</t>
  </si>
  <si>
    <t>2º Integral</t>
  </si>
  <si>
    <t>Media alta 2020</t>
  </si>
  <si>
    <t>E[DDLT&gt; S]</t>
  </si>
  <si>
    <t>P[DDLT &gt; S] = =&gt; N= Convergiu!</t>
  </si>
  <si>
    <t>DONE</t>
  </si>
  <si>
    <t xml:space="preserve">Custo </t>
  </si>
  <si>
    <t>€/semana</t>
  </si>
  <si>
    <t xml:space="preserve">3 iteracao </t>
  </si>
  <si>
    <t>Media baixa 2020</t>
  </si>
  <si>
    <t>Ctotal</t>
  </si>
  <si>
    <t>€/ano</t>
  </si>
  <si>
    <t>Artigos_Q_ano</t>
  </si>
  <si>
    <t>sacos</t>
  </si>
  <si>
    <t>Z=</t>
  </si>
  <si>
    <t>S=</t>
  </si>
  <si>
    <t>Cnormal=</t>
  </si>
  <si>
    <t>Calta=</t>
  </si>
  <si>
    <t>€/28semanas</t>
  </si>
  <si>
    <t>Ctotal_alta</t>
  </si>
  <si>
    <t>€/22semanas</t>
  </si>
  <si>
    <t>Artigos_Q</t>
  </si>
  <si>
    <t>Ctotal_epocas</t>
  </si>
  <si>
    <t>t (semanas)</t>
  </si>
  <si>
    <t>Epoca Baixa</t>
  </si>
  <si>
    <t>Ano</t>
  </si>
  <si>
    <t>Média</t>
  </si>
  <si>
    <t>Desvio</t>
  </si>
  <si>
    <t>µddpp</t>
  </si>
  <si>
    <t>σddpp</t>
  </si>
  <si>
    <t>r</t>
  </si>
  <si>
    <t>σr</t>
  </si>
  <si>
    <t>C1</t>
  </si>
  <si>
    <t>C2</t>
  </si>
  <si>
    <t>C3</t>
  </si>
  <si>
    <t>LT</t>
  </si>
  <si>
    <t>t</t>
  </si>
  <si>
    <t>P[DDPP&gt;S]&lt;=</t>
  </si>
  <si>
    <t>E[DDPP]</t>
  </si>
  <si>
    <t>Desvio Padrão Médio</t>
  </si>
  <si>
    <t>m</t>
  </si>
  <si>
    <t>b</t>
  </si>
  <si>
    <t>s=</t>
  </si>
  <si>
    <t>Segundo a regressão</t>
  </si>
  <si>
    <t>-</t>
  </si>
  <si>
    <t>C=</t>
  </si>
  <si>
    <t>C (Epoca Baixa)</t>
  </si>
  <si>
    <t>Artigos_Quebra</t>
  </si>
  <si>
    <t>Época Alta</t>
  </si>
  <si>
    <t>C (Epoca Alta)</t>
  </si>
  <si>
    <t>CT=</t>
  </si>
  <si>
    <t>Artigos_Quebra_Ano</t>
  </si>
  <si>
    <t>Politica Anual</t>
  </si>
  <si>
    <t>C (anual)</t>
  </si>
  <si>
    <t>Época baixa</t>
  </si>
  <si>
    <t>Ctotal_baixa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</si>
</sst>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  <charset val="1"/>
    </font>
    <font>
      <sz val="11"/>
      <color rgb="FF006100"/>
      <name val="Calibri"/>
      <scheme val="minor"/>
    </font>
    <font>
      <sz val="11"/>
      <color rgb="FF9C5700"/>
      <name val="Calibri"/>
      <scheme val="minor"/>
    </font>
    <font>
      <sz val="11"/>
      <name val="Calibri"/>
      <scheme val="minor"/>
    </font>
    <font>
      <sz val="11"/>
      <color rgb="FF444444"/>
      <name val="Calibri"/>
      <family val="2"/>
      <charset val="1"/>
    </font>
    <font>
      <sz val="12"/>
      <color rgb="FF000000"/>
      <name val="Arial"/>
    </font>
    <font>
      <sz val="11"/>
      <color theme="2"/>
      <name val="Calibri"/>
      <family val="2"/>
    </font>
    <font>
      <i/>
      <sz val="11"/>
      <color theme="2"/>
      <name val="Calibri"/>
      <family val="2"/>
    </font>
    <font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8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69A2E"/>
        <bgColor rgb="FF008080"/>
      </patternFill>
    </fill>
    <fill>
      <patternFill patternType="solid">
        <fgColor rgb="FFFFBF00"/>
        <bgColor rgb="FFFFD42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56C6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75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>
      <alignment horizontal="left"/>
    </xf>
    <xf numFmtId="0" fontId="0" fillId="0" borderId="0" xfId="0" applyBorder="1"/>
    <xf numFmtId="0" fontId="9" fillId="0" borderId="0" xfId="0" applyFon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0" fillId="7" borderId="1" xfId="0" applyNumberFormat="1" applyFill="1" applyBorder="1" applyAlignment="1">
      <alignment horizontal="left"/>
    </xf>
    <xf numFmtId="0" fontId="0" fillId="7" borderId="3" xfId="0" applyNumberFormat="1" applyFill="1" applyBorder="1" applyAlignment="1">
      <alignment horizontal="left"/>
    </xf>
    <xf numFmtId="0" fontId="0" fillId="0" borderId="0" xfId="0" applyNumberFormat="1" applyAlignment="1">
      <alignment horizontal="center" vertical="center"/>
    </xf>
    <xf numFmtId="0" fontId="0" fillId="7" borderId="4" xfId="0" applyNumberFormat="1" applyFill="1" applyBorder="1" applyAlignment="1">
      <alignment horizontal="left"/>
    </xf>
    <xf numFmtId="0" fontId="0" fillId="7" borderId="5" xfId="0" applyNumberFormat="1" applyFill="1" applyBorder="1" applyAlignment="1">
      <alignment horizontal="left"/>
    </xf>
    <xf numFmtId="0" fontId="0" fillId="0" borderId="0" xfId="0" applyNumberFormat="1" applyFon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7" borderId="6" xfId="0" applyNumberFormat="1" applyFill="1" applyBorder="1" applyAlignment="1">
      <alignment horizontal="left"/>
    </xf>
    <xf numFmtId="0" fontId="0" fillId="7" borderId="8" xfId="0" applyNumberFormat="1" applyFill="1" applyBorder="1" applyAlignment="1">
      <alignment horizontal="left"/>
    </xf>
    <xf numFmtId="0" fontId="0" fillId="3" borderId="0" xfId="0" applyNumberFormat="1" applyFill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Border="1"/>
    <xf numFmtId="0" fontId="9" fillId="0" borderId="0" xfId="0" applyNumberFormat="1" applyFont="1" applyBorder="1" applyAlignment="1">
      <alignment horizontal="centerContinuous"/>
    </xf>
    <xf numFmtId="0" fontId="0" fillId="0" borderId="0" xfId="0" applyNumberFormat="1" applyFill="1" applyBorder="1" applyAlignment="1"/>
    <xf numFmtId="0" fontId="0" fillId="0" borderId="10" xfId="0" applyNumberFormat="1" applyBorder="1" applyAlignment="1">
      <alignment horizontal="left"/>
    </xf>
    <xf numFmtId="0" fontId="0" fillId="0" borderId="0" xfId="0" applyNumberFormat="1" applyBorder="1" applyAlignment="1">
      <alignment wrapText="1"/>
    </xf>
    <xf numFmtId="0" fontId="0" fillId="0" borderId="13" xfId="0" applyNumberFormat="1" applyBorder="1" applyAlignment="1">
      <alignment horizontal="lef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vertical="center"/>
    </xf>
    <xf numFmtId="0" fontId="0" fillId="0" borderId="12" xfId="0" applyNumberFormat="1" applyBorder="1" applyAlignment="1">
      <alignment horizontal="left"/>
    </xf>
    <xf numFmtId="0" fontId="0" fillId="0" borderId="14" xfId="0" applyNumberFormat="1" applyBorder="1" applyAlignment="1">
      <alignment horizontal="left"/>
    </xf>
    <xf numFmtId="0" fontId="0" fillId="0" borderId="16" xfId="0" applyNumberFormat="1" applyBorder="1" applyAlignment="1">
      <alignment horizontal="left"/>
    </xf>
    <xf numFmtId="0" fontId="6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7" fillId="0" borderId="0" xfId="0" applyNumberFormat="1" applyFont="1" applyAlignment="1">
      <alignment wrapText="1"/>
    </xf>
    <xf numFmtId="0" fontId="2" fillId="0" borderId="0" xfId="0" applyNumberFormat="1" applyFon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0" fontId="5" fillId="6" borderId="4" xfId="3" applyNumberFormat="1" applyBorder="1" applyAlignment="1">
      <alignment horizontal="left"/>
    </xf>
    <xf numFmtId="0" fontId="5" fillId="6" borderId="5" xfId="3" applyNumberFormat="1" applyBorder="1" applyAlignment="1">
      <alignment horizontal="left"/>
    </xf>
    <xf numFmtId="0" fontId="5" fillId="6" borderId="0" xfId="3" applyNumberFormat="1" applyBorder="1" applyAlignment="1">
      <alignment horizontal="left"/>
    </xf>
    <xf numFmtId="0" fontId="0" fillId="0" borderId="5" xfId="0" quotePrefix="1" applyNumberFormat="1" applyBorder="1" applyAlignment="1">
      <alignment horizontal="left"/>
    </xf>
    <xf numFmtId="0" fontId="3" fillId="4" borderId="4" xfId="1" applyNumberFormat="1" applyBorder="1" applyAlignment="1">
      <alignment horizontal="left"/>
    </xf>
    <xf numFmtId="0" fontId="3" fillId="4" borderId="0" xfId="1" applyNumberFormat="1" applyAlignment="1">
      <alignment horizontal="left"/>
    </xf>
    <xf numFmtId="0" fontId="3" fillId="4" borderId="0" xfId="1" applyNumberFormat="1" applyBorder="1" applyAlignment="1">
      <alignment horizontal="left"/>
    </xf>
    <xf numFmtId="0" fontId="0" fillId="0" borderId="9" xfId="0" applyNumberFormat="1" applyBorder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6" fillId="0" borderId="0" xfId="0" applyNumberFormat="1" applyFont="1" applyAlignment="1"/>
    <xf numFmtId="0" fontId="1" fillId="0" borderId="0" xfId="0" applyNumberFormat="1" applyFont="1" applyBorder="1" applyAlignment="1">
      <alignment vertical="center"/>
    </xf>
    <xf numFmtId="0" fontId="9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0" fillId="0" borderId="0" xfId="0" applyNumberFormat="1" applyFill="1" applyBorder="1" applyAlignment="1">
      <alignment wrapText="1"/>
    </xf>
    <xf numFmtId="0" fontId="0" fillId="0" borderId="0" xfId="0" applyNumberFormat="1" applyFill="1" applyBorder="1" applyAlignment="1">
      <alignment horizontal="left" wrapText="1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8" borderId="0" xfId="0" applyNumberFormat="1" applyFill="1" applyBorder="1" applyAlignment="1">
      <alignment horizontal="left"/>
    </xf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ill="1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0" fillId="9" borderId="0" xfId="0" applyNumberFormat="1" applyFill="1" applyAlignment="1">
      <alignment horizontal="left" vertical="center"/>
    </xf>
    <xf numFmtId="0" fontId="0" fillId="9" borderId="0" xfId="0" applyNumberFormat="1" applyFill="1" applyAlignment="1">
      <alignment horizontal="left"/>
    </xf>
    <xf numFmtId="0" fontId="0" fillId="8" borderId="0" xfId="0" applyNumberFormat="1" applyFill="1" applyAlignment="1">
      <alignment horizontal="left"/>
    </xf>
    <xf numFmtId="0" fontId="9" fillId="0" borderId="0" xfId="0" applyFont="1" applyFill="1" applyBorder="1" applyAlignment="1">
      <alignment horizontal="centerContinuous"/>
    </xf>
    <xf numFmtId="0" fontId="0" fillId="0" borderId="0" xfId="0" applyFill="1" applyBorder="1"/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NumberFormat="1" applyBorder="1" applyAlignment="1"/>
    <xf numFmtId="0" fontId="4" fillId="5" borderId="0" xfId="2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5" fillId="6" borderId="12" xfId="3" applyNumberFormat="1" applyBorder="1" applyAlignment="1">
      <alignment horizontal="left"/>
    </xf>
    <xf numFmtId="0" fontId="5" fillId="6" borderId="13" xfId="3" applyNumberFormat="1" applyBorder="1" applyAlignment="1">
      <alignment horizontal="left"/>
    </xf>
    <xf numFmtId="0" fontId="4" fillId="5" borderId="12" xfId="2" applyNumberFormat="1" applyBorder="1" applyAlignment="1">
      <alignment horizontal="left"/>
    </xf>
    <xf numFmtId="0" fontId="4" fillId="5" borderId="13" xfId="2" applyNumberFormat="1" applyBorder="1" applyAlignment="1">
      <alignment horizontal="left"/>
    </xf>
    <xf numFmtId="0" fontId="0" fillId="0" borderId="13" xfId="0" applyBorder="1" applyAlignment="1">
      <alignment wrapText="1"/>
    </xf>
    <xf numFmtId="0" fontId="3" fillId="4" borderId="12" xfId="1" applyNumberFormat="1" applyBorder="1" applyAlignment="1">
      <alignment horizontal="left"/>
    </xf>
    <xf numFmtId="0" fontId="3" fillId="4" borderId="13" xfId="1" applyNumberFormat="1" applyBorder="1" applyAlignment="1">
      <alignment horizontal="left"/>
    </xf>
    <xf numFmtId="0" fontId="0" fillId="0" borderId="13" xfId="0" applyNumberFormat="1" applyFill="1" applyBorder="1" applyAlignment="1">
      <alignment horizontal="left"/>
    </xf>
    <xf numFmtId="0" fontId="13" fillId="0" borderId="0" xfId="0" applyFont="1" applyAlignment="1">
      <alignment horizontal="left" wrapText="1"/>
    </xf>
    <xf numFmtId="0" fontId="0" fillId="0" borderId="0" xfId="0" applyNumberFormat="1" applyFill="1" applyBorder="1" applyAlignment="1">
      <alignment horizontal="center"/>
    </xf>
    <xf numFmtId="0" fontId="0" fillId="0" borderId="17" xfId="0" applyNumberFormat="1" applyFill="1" applyBorder="1" applyAlignment="1">
      <alignment horizontal="left"/>
    </xf>
    <xf numFmtId="0" fontId="0" fillId="0" borderId="10" xfId="0" applyNumberFormat="1" applyFill="1" applyBorder="1" applyAlignment="1">
      <alignment horizontal="left"/>
    </xf>
    <xf numFmtId="0" fontId="0" fillId="0" borderId="11" xfId="0" applyNumberFormat="1" applyFill="1" applyBorder="1" applyAlignment="1">
      <alignment horizontal="left"/>
    </xf>
    <xf numFmtId="0" fontId="0" fillId="0" borderId="12" xfId="0" applyNumberFormat="1" applyFill="1" applyBorder="1" applyAlignment="1">
      <alignment horizontal="left"/>
    </xf>
    <xf numFmtId="0" fontId="0" fillId="10" borderId="12" xfId="0" applyFill="1" applyBorder="1" applyAlignment="1">
      <alignment horizontal="left"/>
    </xf>
    <xf numFmtId="0" fontId="0" fillId="10" borderId="0" xfId="0" applyNumberFormat="1" applyFill="1" applyBorder="1" applyAlignment="1">
      <alignment horizontal="left"/>
    </xf>
    <xf numFmtId="0" fontId="0" fillId="10" borderId="13" xfId="0" applyNumberFormat="1" applyFill="1" applyBorder="1" applyAlignment="1">
      <alignment horizontal="left"/>
    </xf>
    <xf numFmtId="0" fontId="0" fillId="10" borderId="14" xfId="0" applyNumberFormat="1" applyFill="1" applyBorder="1" applyAlignment="1">
      <alignment horizontal="left"/>
    </xf>
    <xf numFmtId="0" fontId="0" fillId="10" borderId="15" xfId="0" applyNumberFormat="1" applyFill="1" applyBorder="1" applyAlignment="1">
      <alignment horizontal="left"/>
    </xf>
    <xf numFmtId="0" fontId="0" fillId="10" borderId="16" xfId="0" applyNumberFormat="1" applyFill="1" applyBorder="1" applyAlignment="1">
      <alignment horizontal="left"/>
    </xf>
    <xf numFmtId="0" fontId="0" fillId="10" borderId="12" xfId="0" applyNumberFormat="1" applyFill="1" applyBorder="1" applyAlignment="1">
      <alignment horizontal="left"/>
    </xf>
    <xf numFmtId="0" fontId="0" fillId="10" borderId="4" xfId="0" applyNumberFormat="1" applyFill="1" applyBorder="1" applyAlignment="1">
      <alignment horizontal="left"/>
    </xf>
    <xf numFmtId="0" fontId="0" fillId="10" borderId="5" xfId="0" applyNumberFormat="1" applyFill="1" applyBorder="1" applyAlignment="1">
      <alignment horizontal="left"/>
    </xf>
    <xf numFmtId="0" fontId="0" fillId="10" borderId="14" xfId="0" applyFill="1" applyBorder="1" applyAlignment="1">
      <alignment horizontal="left"/>
    </xf>
    <xf numFmtId="0" fontId="0" fillId="10" borderId="7" xfId="0" applyNumberFormat="1" applyFill="1" applyBorder="1" applyAlignment="1">
      <alignment horizontal="left"/>
    </xf>
    <xf numFmtId="0" fontId="0" fillId="10" borderId="8" xfId="0" applyNumberFormat="1" applyFill="1" applyBorder="1" applyAlignment="1">
      <alignment horizontal="left"/>
    </xf>
    <xf numFmtId="0" fontId="0" fillId="0" borderId="0" xfId="0" applyAlignment="1">
      <alignment horizontal="center"/>
    </xf>
    <xf numFmtId="0" fontId="0" fillId="11" borderId="0" xfId="0" applyNumberFormat="1" applyFill="1" applyAlignment="1">
      <alignment horizontal="left"/>
    </xf>
    <xf numFmtId="0" fontId="0" fillId="12" borderId="0" xfId="0" applyNumberFormat="1" applyFill="1" applyAlignment="1">
      <alignment horizontal="left"/>
    </xf>
    <xf numFmtId="0" fontId="9" fillId="0" borderId="0" xfId="0" applyFont="1" applyAlignment="1">
      <alignment horizontal="center"/>
    </xf>
    <xf numFmtId="0" fontId="0" fillId="3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8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12" borderId="0" xfId="0" applyNumberFormat="1" applyFill="1" applyBorder="1" applyAlignment="1">
      <alignment horizontal="center" vertical="center"/>
    </xf>
    <xf numFmtId="0" fontId="0" fillId="13" borderId="0" xfId="0" applyFont="1" applyFill="1" applyBorder="1" applyAlignment="1">
      <alignment horizontal="center" vertical="center"/>
    </xf>
    <xf numFmtId="0" fontId="0" fillId="13" borderId="0" xfId="0" applyNumberFormat="1" applyFill="1" applyAlignment="1">
      <alignment horizontal="center" vertical="center"/>
    </xf>
    <xf numFmtId="0" fontId="0" fillId="13" borderId="1" xfId="0" applyNumberFormat="1" applyFill="1" applyBorder="1" applyAlignment="1">
      <alignment horizontal="left"/>
    </xf>
    <xf numFmtId="0" fontId="0" fillId="13" borderId="3" xfId="0" applyNumberFormat="1" applyFill="1" applyBorder="1" applyAlignment="1">
      <alignment horizontal="left"/>
    </xf>
    <xf numFmtId="0" fontId="0" fillId="13" borderId="4" xfId="0" applyNumberFormat="1" applyFill="1" applyBorder="1" applyAlignment="1">
      <alignment horizontal="left"/>
    </xf>
    <xf numFmtId="0" fontId="0" fillId="13" borderId="5" xfId="0" applyNumberFormat="1" applyFill="1" applyBorder="1" applyAlignment="1">
      <alignment horizontal="left"/>
    </xf>
    <xf numFmtId="0" fontId="0" fillId="13" borderId="6" xfId="0" applyNumberFormat="1" applyFill="1" applyBorder="1" applyAlignment="1">
      <alignment horizontal="left"/>
    </xf>
    <xf numFmtId="0" fontId="0" fillId="13" borderId="8" xfId="0" applyNumberFormat="1" applyFill="1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0" xfId="0" applyNumberFormat="1" applyFill="1"/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1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NumberFormat="1" applyFont="1" applyBorder="1" applyAlignment="1">
      <alignment horizontal="center" vertical="center"/>
    </xf>
    <xf numFmtId="0" fontId="0" fillId="14" borderId="0" xfId="0" applyFill="1" applyAlignment="1">
      <alignment horizontal="left"/>
    </xf>
    <xf numFmtId="0" fontId="0" fillId="14" borderId="0" xfId="0" applyFill="1" applyAlignment="1">
      <alignment horizontal="center" vertical="center"/>
    </xf>
    <xf numFmtId="0" fontId="0" fillId="13" borderId="0" xfId="0" applyFill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NumberFormat="1" applyFont="1" applyFill="1" applyAlignment="1">
      <alignment horizontal="center" vertical="center"/>
    </xf>
    <xf numFmtId="0" fontId="0" fillId="10" borderId="0" xfId="0" applyNumberFormat="1" applyFill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5" fillId="6" borderId="4" xfId="3" applyNumberFormat="1" applyFont="1" applyBorder="1" applyAlignment="1">
      <alignment horizontal="left"/>
    </xf>
    <xf numFmtId="0" fontId="5" fillId="6" borderId="0" xfId="3" applyNumberFormat="1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4" fillId="0" borderId="0" xfId="0" applyFont="1" applyFill="1" applyBorder="1"/>
    <xf numFmtId="0" fontId="0" fillId="0" borderId="0" xfId="0" quotePrefix="1" applyFill="1" applyBorder="1" applyAlignment="1">
      <alignment horizontal="left"/>
    </xf>
    <xf numFmtId="0" fontId="12" fillId="0" borderId="0" xfId="2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10" fillId="0" borderId="0" xfId="1" applyFont="1" applyFill="1" applyBorder="1" applyAlignment="1">
      <alignment horizontal="left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17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7" borderId="17" xfId="0" applyNumberFormat="1" applyFill="1" applyBorder="1" applyAlignment="1">
      <alignment horizontal="center"/>
    </xf>
    <xf numFmtId="0" fontId="0" fillId="7" borderId="10" xfId="0" applyNumberFormat="1" applyFill="1" applyBorder="1" applyAlignment="1">
      <alignment horizontal="center"/>
    </xf>
    <xf numFmtId="0" fontId="0" fillId="7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7" borderId="2" xfId="0" applyNumberFormat="1" applyFill="1" applyBorder="1" applyAlignment="1">
      <alignment horizontal="center"/>
    </xf>
    <xf numFmtId="0" fontId="0" fillId="7" borderId="3" xfId="0" applyNumberFormat="1" applyFill="1" applyBorder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D428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Época Alta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267648582762107E-2"/>
                  <c:y val="0.22310359774599045"/>
                </c:manualLayout>
              </c:layout>
              <c:numFmt formatCode="###0.00########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Questão2!$H$35:$H$37</c:f>
                <c:numCache>
                  <c:formatCode>General</c:formatCode>
                  <c:ptCount val="3"/>
                  <c:pt idx="0">
                    <c:v>13.273201031124641</c:v>
                  </c:pt>
                  <c:pt idx="1">
                    <c:v>18.188951169983156</c:v>
                  </c:pt>
                  <c:pt idx="2">
                    <c:v>6.7823299831252681</c:v>
                  </c:pt>
                </c:numCache>
              </c:numRef>
            </c:plus>
            <c:minus>
              <c:numRef>
                <c:f>Questão2!$H$35:$H$37</c:f>
                <c:numCache>
                  <c:formatCode>General</c:formatCode>
                  <c:ptCount val="3"/>
                  <c:pt idx="0">
                    <c:v>13.273201031124641</c:v>
                  </c:pt>
                  <c:pt idx="1">
                    <c:v>18.188951169983156</c:v>
                  </c:pt>
                  <c:pt idx="2">
                    <c:v>6.7823299831252681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Questão2!$F$35:$F$37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xVal>
          <c:yVal>
            <c:numRef>
              <c:f>Questão2!$G$35:$G$37</c:f>
              <c:numCache>
                <c:formatCode>General</c:formatCode>
                <c:ptCount val="3"/>
                <c:pt idx="0">
                  <c:v>403.78260869565219</c:v>
                </c:pt>
                <c:pt idx="1">
                  <c:v>476.26086956521738</c:v>
                </c:pt>
                <c:pt idx="2">
                  <c:v>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3-49C1-A69F-9C0B801EF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23295"/>
        <c:axId val="339913311"/>
      </c:scatterChart>
      <c:valAx>
        <c:axId val="33992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13311"/>
        <c:crosses val="autoZero"/>
        <c:crossBetween val="midCat"/>
      </c:valAx>
      <c:valAx>
        <c:axId val="33991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2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Época Baixa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267648582762107E-2"/>
                  <c:y val="0.22310359774599045"/>
                </c:manualLayout>
              </c:layout>
              <c:numFmt formatCode="###0.00########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Questão2!$H$15:$H$17</c:f>
                <c:numCache>
                  <c:formatCode>General</c:formatCode>
                  <c:ptCount val="3"/>
                  <c:pt idx="0">
                    <c:v>14.00590026257656</c:v>
                  </c:pt>
                  <c:pt idx="1">
                    <c:v>15.709524938366968</c:v>
                  </c:pt>
                  <c:pt idx="2">
                    <c:v>18.314986935260052</c:v>
                  </c:pt>
                </c:numCache>
              </c:numRef>
            </c:plus>
            <c:minus>
              <c:numRef>
                <c:f>Questão2!$H$15:$H$17</c:f>
                <c:numCache>
                  <c:formatCode>General</c:formatCode>
                  <c:ptCount val="3"/>
                  <c:pt idx="0">
                    <c:v>14.00590026257656</c:v>
                  </c:pt>
                  <c:pt idx="1">
                    <c:v>15.709524938366968</c:v>
                  </c:pt>
                  <c:pt idx="2">
                    <c:v>18.314986935260052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Questão2!$F$15:$F$17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xVal>
          <c:yVal>
            <c:numRef>
              <c:f>Questão2!$G$15:$G$17</c:f>
              <c:numCache>
                <c:formatCode>General</c:formatCode>
                <c:ptCount val="3"/>
                <c:pt idx="0">
                  <c:v>301.37037037037038</c:v>
                </c:pt>
                <c:pt idx="1">
                  <c:v>345.40740740740739</c:v>
                </c:pt>
                <c:pt idx="2">
                  <c:v>410.85185185185185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C4-44F1-8D45-C3532FA32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23295"/>
        <c:axId val="339913311"/>
      </c:scatterChart>
      <c:valAx>
        <c:axId val="33992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13311"/>
        <c:crosses val="autoZero"/>
        <c:crossBetween val="midCat"/>
      </c:valAx>
      <c:valAx>
        <c:axId val="33991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2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PT"/>
              <a:t>Anual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267648582762107E-2"/>
                  <c:y val="0.22310359774599045"/>
                </c:manualLayout>
              </c:layout>
              <c:numFmt formatCode="###0.00########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Questão2!$H$35:$H$37</c:f>
                <c:numCache>
                  <c:formatCode>General</c:formatCode>
                  <c:ptCount val="3"/>
                  <c:pt idx="0">
                    <c:v>13.273201031124641</c:v>
                  </c:pt>
                  <c:pt idx="1">
                    <c:v>18.188951169983156</c:v>
                  </c:pt>
                  <c:pt idx="2">
                    <c:v>6.7823299831252681</c:v>
                  </c:pt>
                </c:numCache>
              </c:numRef>
            </c:plus>
            <c:minus>
              <c:numRef>
                <c:f>Questão2!$H$35:$H$37</c:f>
                <c:numCache>
                  <c:formatCode>General</c:formatCode>
                  <c:ptCount val="3"/>
                  <c:pt idx="0">
                    <c:v>13.273201031124641</c:v>
                  </c:pt>
                  <c:pt idx="1">
                    <c:v>18.188951169983156</c:v>
                  </c:pt>
                  <c:pt idx="2">
                    <c:v>6.7823299831252681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Questão2!$F$56:$F$58</c:f>
              <c:numCache>
                <c:formatCode>General</c:formatCode>
                <c:ptCount val="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</c:numCache>
            </c:numRef>
          </c:xVal>
          <c:yVal>
            <c:numRef>
              <c:f>Questão2!$G$56:$G$58</c:f>
              <c:numCache>
                <c:formatCode>General</c:formatCode>
                <c:ptCount val="3"/>
                <c:pt idx="0">
                  <c:v>348.48</c:v>
                </c:pt>
                <c:pt idx="1">
                  <c:v>405.6</c:v>
                </c:pt>
                <c:pt idx="2">
                  <c:v>481.76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66-4D95-9196-88ADF31EB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23295"/>
        <c:axId val="339913311"/>
      </c:scatterChart>
      <c:valAx>
        <c:axId val="33992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13311"/>
        <c:crosses val="autoZero"/>
        <c:crossBetween val="midCat"/>
      </c:valAx>
      <c:valAx>
        <c:axId val="33991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3992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15897</xdr:colOff>
      <xdr:row>32</xdr:row>
      <xdr:rowOff>179293</xdr:rowOff>
    </xdr:from>
    <xdr:to>
      <xdr:col>11</xdr:col>
      <xdr:colOff>1290917</xdr:colOff>
      <xdr:row>48</xdr:row>
      <xdr:rowOff>143434</xdr:rowOff>
    </xdr:to>
    <xdr:graphicFrame macro="">
      <xdr:nvGraphicFramePr>
        <xdr:cNvPr id="66" name="Gráfico 3">
          <a:extLst>
            <a:ext uri="{FF2B5EF4-FFF2-40B4-BE49-F238E27FC236}">
              <a16:creationId xmlns:a16="http://schemas.microsoft.com/office/drawing/2014/main" id="{0293D05E-528C-47B1-A65F-EB4CC76668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17928</xdr:colOff>
      <xdr:row>13</xdr:row>
      <xdr:rowOff>8964</xdr:rowOff>
    </xdr:from>
    <xdr:to>
      <xdr:col>11</xdr:col>
      <xdr:colOff>1272988</xdr:colOff>
      <xdr:row>28</xdr:row>
      <xdr:rowOff>170328</xdr:rowOff>
    </xdr:to>
    <xdr:graphicFrame macro="">
      <xdr:nvGraphicFramePr>
        <xdr:cNvPr id="62" name="Gráfico 4">
          <a:extLst>
            <a:ext uri="{FF2B5EF4-FFF2-40B4-BE49-F238E27FC236}">
              <a16:creationId xmlns:a16="http://schemas.microsoft.com/office/drawing/2014/main" id="{4EF05B62-C600-4913-BA1C-53F75D50A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15897</xdr:colOff>
      <xdr:row>53</xdr:row>
      <xdr:rowOff>179293</xdr:rowOff>
    </xdr:from>
    <xdr:to>
      <xdr:col>11</xdr:col>
      <xdr:colOff>1290917</xdr:colOff>
      <xdr:row>69</xdr:row>
      <xdr:rowOff>143434</xdr:rowOff>
    </xdr:to>
    <xdr:graphicFrame macro="">
      <xdr:nvGraphicFramePr>
        <xdr:cNvPr id="58" name="Gráfico 3">
          <a:extLst>
            <a:ext uri="{FF2B5EF4-FFF2-40B4-BE49-F238E27FC236}">
              <a16:creationId xmlns:a16="http://schemas.microsoft.com/office/drawing/2014/main" id="{DA6234F6-5CB6-4451-ACAC-E213ADF53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4"/>
  <sheetViews>
    <sheetView tabSelected="1" zoomScale="85" zoomScaleNormal="85" workbookViewId="0">
      <selection activeCell="I49" sqref="I49"/>
    </sheetView>
  </sheetViews>
  <sheetFormatPr defaultColWidth="13.33203125" defaultRowHeight="14.4" outlineLevelRow="1"/>
  <cols>
    <col min="1" max="6" width="13.33203125" style="9"/>
    <col min="7" max="7" width="13.33203125" style="5"/>
    <col min="8" max="8" width="20.33203125" style="5" customWidth="1"/>
    <col min="9" max="9" width="14.33203125" style="5" customWidth="1"/>
    <col min="10" max="16384" width="13.33203125" style="5"/>
  </cols>
  <sheetData>
    <row r="1" spans="1:24">
      <c r="A1" s="162" t="s">
        <v>0</v>
      </c>
      <c r="B1" s="162"/>
      <c r="C1" s="162"/>
      <c r="D1" s="162"/>
      <c r="E1" s="59"/>
      <c r="F1" s="59"/>
      <c r="J1" s="2"/>
      <c r="K1" s="45"/>
      <c r="L1" s="2"/>
      <c r="W1" s="30"/>
    </row>
    <row r="2" spans="1:24">
      <c r="A2" s="162" t="s">
        <v>1</v>
      </c>
      <c r="B2" s="162"/>
      <c r="C2" s="162" t="s">
        <v>2</v>
      </c>
      <c r="D2" s="162"/>
      <c r="E2" s="59"/>
      <c r="F2" s="59"/>
      <c r="J2" s="2"/>
      <c r="K2" s="45"/>
      <c r="L2" s="2"/>
      <c r="W2" s="31"/>
    </row>
    <row r="3" spans="1:24">
      <c r="A3" s="162" t="s">
        <v>3</v>
      </c>
      <c r="B3" s="162"/>
      <c r="C3" s="162"/>
      <c r="D3" s="162"/>
      <c r="E3"/>
      <c r="F3" s="59"/>
      <c r="J3" s="2"/>
      <c r="K3" s="45"/>
      <c r="L3" s="2"/>
      <c r="W3" s="31"/>
    </row>
    <row r="4" spans="1:24">
      <c r="A4" s="67"/>
      <c r="B4" s="162" t="s">
        <v>4</v>
      </c>
      <c r="C4" s="162"/>
      <c r="D4" s="162"/>
      <c r="E4" s="143"/>
      <c r="F4" s="58"/>
      <c r="J4" s="2"/>
      <c r="K4" s="45"/>
      <c r="L4" s="2"/>
      <c r="W4" s="31"/>
    </row>
    <row r="5" spans="1:24">
      <c r="A5" s="67" t="s">
        <v>6</v>
      </c>
      <c r="B5" s="67">
        <v>2018</v>
      </c>
      <c r="C5" s="67">
        <v>2019</v>
      </c>
      <c r="D5" s="67">
        <v>2020</v>
      </c>
      <c r="E5" s="143"/>
      <c r="F5" s="144"/>
      <c r="J5" s="2"/>
      <c r="K5" s="45"/>
      <c r="L5" s="2"/>
      <c r="W5" s="31"/>
    </row>
    <row r="6" spans="1:24">
      <c r="A6" s="68">
        <v>1</v>
      </c>
      <c r="B6" s="13">
        <v>302</v>
      </c>
      <c r="C6" s="13">
        <v>347</v>
      </c>
      <c r="D6" s="13">
        <v>418</v>
      </c>
      <c r="E6" s="143"/>
      <c r="F6" s="58"/>
      <c r="J6" s="2"/>
      <c r="K6" s="2"/>
      <c r="L6" s="2"/>
      <c r="W6" s="31"/>
    </row>
    <row r="7" spans="1:24">
      <c r="A7" s="68">
        <v>2</v>
      </c>
      <c r="B7" s="13">
        <v>299</v>
      </c>
      <c r="C7" s="13">
        <v>364</v>
      </c>
      <c r="D7" s="13">
        <v>419</v>
      </c>
      <c r="E7" s="143"/>
      <c r="F7" s="5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2"/>
    </row>
    <row r="8" spans="1:24">
      <c r="A8" s="68">
        <v>3</v>
      </c>
      <c r="B8" s="13">
        <v>313</v>
      </c>
      <c r="C8" s="13">
        <v>378</v>
      </c>
      <c r="D8" s="13">
        <v>420</v>
      </c>
      <c r="E8" s="143"/>
      <c r="F8" s="58"/>
      <c r="J8" s="2"/>
      <c r="K8" s="2"/>
      <c r="L8" s="33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A9" s="68">
        <v>4</v>
      </c>
      <c r="B9" s="13">
        <v>329</v>
      </c>
      <c r="C9" s="13">
        <v>355</v>
      </c>
      <c r="D9" s="13">
        <v>421</v>
      </c>
      <c r="E9" s="143"/>
      <c r="F9" s="58"/>
      <c r="H9" s="7" t="s">
        <v>5</v>
      </c>
      <c r="I9" s="8"/>
      <c r="J9" s="2"/>
      <c r="K9" s="163" t="s">
        <v>11</v>
      </c>
      <c r="L9" s="164"/>
      <c r="M9" s="165"/>
      <c r="O9" s="163" t="s">
        <v>12</v>
      </c>
      <c r="P9" s="164"/>
      <c r="Q9" s="165"/>
      <c r="R9" s="2"/>
      <c r="S9" s="167" t="s">
        <v>13</v>
      </c>
      <c r="T9" s="167"/>
      <c r="U9" s="167"/>
      <c r="V9" s="167"/>
      <c r="W9" s="167"/>
      <c r="X9" s="167"/>
    </row>
    <row r="10" spans="1:24">
      <c r="A10" s="68">
        <v>5</v>
      </c>
      <c r="B10" s="13">
        <v>294</v>
      </c>
      <c r="C10" s="13">
        <v>336</v>
      </c>
      <c r="D10" s="13">
        <v>427</v>
      </c>
      <c r="E10" s="143"/>
      <c r="F10" s="58"/>
      <c r="H10" s="10"/>
      <c r="I10" s="11"/>
      <c r="J10" s="2"/>
      <c r="K10" s="27"/>
      <c r="L10" s="2"/>
      <c r="M10" s="24"/>
      <c r="O10" s="27"/>
      <c r="P10" s="2"/>
      <c r="Q10" s="24"/>
      <c r="R10" s="2"/>
      <c r="T10" s="2"/>
      <c r="V10" s="2"/>
      <c r="X10" s="2"/>
    </row>
    <row r="11" spans="1:24">
      <c r="A11" s="68">
        <v>6</v>
      </c>
      <c r="B11" s="13">
        <v>306</v>
      </c>
      <c r="C11" s="13">
        <v>333</v>
      </c>
      <c r="D11" s="13">
        <v>442</v>
      </c>
      <c r="E11" s="143"/>
      <c r="F11" s="58"/>
      <c r="H11" s="10" t="s">
        <v>7</v>
      </c>
      <c r="I11" s="11">
        <v>0.34499999999999997</v>
      </c>
      <c r="J11" s="2"/>
      <c r="K11" s="27" t="s">
        <v>14</v>
      </c>
      <c r="L11" s="2">
        <v>1700</v>
      </c>
      <c r="M11" s="24" t="s">
        <v>15</v>
      </c>
      <c r="O11" s="27" t="s">
        <v>16</v>
      </c>
      <c r="P11" s="2"/>
      <c r="Q11" s="24"/>
      <c r="R11" s="2"/>
      <c r="S11" s="168" t="s">
        <v>94</v>
      </c>
      <c r="T11" s="169"/>
      <c r="U11" s="170"/>
      <c r="V11" s="168" t="s">
        <v>17</v>
      </c>
      <c r="W11" s="169"/>
      <c r="X11" s="170"/>
    </row>
    <row r="12" spans="1:24">
      <c r="A12" s="68">
        <v>7</v>
      </c>
      <c r="B12" s="13">
        <v>298</v>
      </c>
      <c r="C12" s="13">
        <v>337</v>
      </c>
      <c r="D12" s="13">
        <v>403</v>
      </c>
      <c r="E12" s="143"/>
      <c r="F12" s="58"/>
      <c r="H12" s="10" t="s">
        <v>8</v>
      </c>
      <c r="I12" s="11">
        <v>36</v>
      </c>
      <c r="J12" s="2"/>
      <c r="K12" s="27" t="s">
        <v>18</v>
      </c>
      <c r="L12" s="2">
        <v>1200</v>
      </c>
      <c r="M12" s="24" t="s">
        <v>19</v>
      </c>
      <c r="O12" s="27" t="s">
        <v>20</v>
      </c>
      <c r="P12" s="2">
        <f>_xlfn.CEILING.MATH( SQRT((2*$I$13*I18)/$I$11))</f>
        <v>2047</v>
      </c>
      <c r="Q12" s="24" t="s">
        <v>19</v>
      </c>
      <c r="R12" s="2"/>
      <c r="S12" s="34"/>
      <c r="T12" s="2"/>
      <c r="U12" s="2"/>
      <c r="V12" s="34"/>
      <c r="W12" s="2"/>
      <c r="X12" s="35"/>
    </row>
    <row r="13" spans="1:24">
      <c r="A13" s="68">
        <v>8</v>
      </c>
      <c r="B13" s="13">
        <v>303</v>
      </c>
      <c r="C13" s="13">
        <v>316</v>
      </c>
      <c r="D13" s="13">
        <v>428</v>
      </c>
      <c r="E13" s="143"/>
      <c r="F13" s="58"/>
      <c r="H13" s="10" t="s">
        <v>9</v>
      </c>
      <c r="I13" s="11">
        <v>1500</v>
      </c>
      <c r="J13" s="2"/>
      <c r="K13" s="27"/>
      <c r="L13" s="2"/>
      <c r="M13" s="24"/>
      <c r="O13" s="73" t="s">
        <v>21</v>
      </c>
      <c r="P13" s="70">
        <f>($I$11*P12)/($I$12*I18)</f>
        <v>4.0719618343850322E-2</v>
      </c>
      <c r="Q13" s="24"/>
      <c r="R13" s="2"/>
      <c r="S13" s="34" t="s">
        <v>22</v>
      </c>
      <c r="T13" s="2"/>
      <c r="U13" s="2"/>
      <c r="V13" s="34" t="s">
        <v>23</v>
      </c>
      <c r="W13" s="2"/>
      <c r="X13" s="35"/>
    </row>
    <row r="14" spans="1:24">
      <c r="A14" s="68">
        <v>9</v>
      </c>
      <c r="B14" s="13">
        <v>298</v>
      </c>
      <c r="C14" s="13">
        <v>353</v>
      </c>
      <c r="D14" s="13">
        <v>397</v>
      </c>
      <c r="E14" s="143"/>
      <c r="F14" s="58"/>
      <c r="H14" s="14" t="s">
        <v>10</v>
      </c>
      <c r="I14" s="15">
        <v>1.93</v>
      </c>
      <c r="J14" s="2"/>
      <c r="K14" s="27" t="s">
        <v>24</v>
      </c>
      <c r="L14" s="2"/>
      <c r="M14" s="24"/>
      <c r="O14" s="74" t="s">
        <v>25</v>
      </c>
      <c r="P14" s="38">
        <v>58</v>
      </c>
      <c r="Q14" s="75"/>
      <c r="R14" s="2"/>
      <c r="S14" s="34" t="s">
        <v>26</v>
      </c>
      <c r="T14" s="2">
        <f>_xlfn.CEILING.MATH( SQRT((2*$I$13*I25)/$I$11))</f>
        <v>1891</v>
      </c>
      <c r="U14" s="2"/>
      <c r="V14" s="34" t="s">
        <v>26</v>
      </c>
      <c r="W14" s="2">
        <v>2217</v>
      </c>
      <c r="X14" s="35"/>
    </row>
    <row r="15" spans="1:24">
      <c r="A15" s="68">
        <v>10</v>
      </c>
      <c r="B15" s="13">
        <v>286</v>
      </c>
      <c r="C15" s="13">
        <v>345</v>
      </c>
      <c r="D15" s="13">
        <v>432</v>
      </c>
      <c r="E15" s="143"/>
      <c r="F15" s="58"/>
      <c r="J15" s="2"/>
      <c r="K15" s="27" t="s">
        <v>27</v>
      </c>
      <c r="L15" s="2">
        <f>I18*$I$14</f>
        <v>929.79679999999996</v>
      </c>
      <c r="M15" s="24" t="s">
        <v>19</v>
      </c>
      <c r="O15" s="27" t="s">
        <v>28</v>
      </c>
      <c r="P15" s="2">
        <f>Q15*P29</f>
        <v>1.5891095490044456</v>
      </c>
      <c r="Q15" s="24">
        <v>1.4501999999999999E-2</v>
      </c>
      <c r="R15" s="2"/>
      <c r="S15" s="34" t="s">
        <v>29</v>
      </c>
      <c r="T15" s="2">
        <f>($I$11*T14)/($I$12*I25)</f>
        <v>4.4108559451906608E-2</v>
      </c>
      <c r="U15" s="2" t="s">
        <v>30</v>
      </c>
      <c r="V15" s="34" t="s">
        <v>31</v>
      </c>
      <c r="W15" s="2">
        <v>3.7600000000000001E-2</v>
      </c>
      <c r="X15" s="35"/>
    </row>
    <row r="16" spans="1:24">
      <c r="A16" s="68">
        <v>11</v>
      </c>
      <c r="B16" s="13">
        <v>279</v>
      </c>
      <c r="C16" s="13">
        <v>350</v>
      </c>
      <c r="D16" s="13">
        <v>398</v>
      </c>
      <c r="E16" s="142"/>
      <c r="F16" s="58"/>
      <c r="J16" s="2"/>
      <c r="K16" s="27" t="s">
        <v>32</v>
      </c>
      <c r="L16" s="2">
        <f>SQRT( I19*I19*$I$14)</f>
        <v>109.57864770407156</v>
      </c>
      <c r="M16" s="24" t="s">
        <v>19</v>
      </c>
      <c r="O16" s="27"/>
      <c r="P16" s="2"/>
      <c r="Q16" s="24"/>
      <c r="R16" s="2"/>
      <c r="S16" s="147" t="s">
        <v>25</v>
      </c>
      <c r="T16" s="148">
        <v>57</v>
      </c>
      <c r="U16" s="148">
        <v>4.2283000000000001E-2</v>
      </c>
      <c r="V16" s="36" t="s">
        <v>25</v>
      </c>
      <c r="W16" s="38">
        <v>59</v>
      </c>
      <c r="X16" s="37"/>
    </row>
    <row r="17" spans="1:25">
      <c r="A17" s="68">
        <v>12</v>
      </c>
      <c r="B17" s="13">
        <v>309</v>
      </c>
      <c r="C17" s="13">
        <v>336</v>
      </c>
      <c r="D17" s="13">
        <v>386</v>
      </c>
      <c r="E17" s="142"/>
      <c r="F17" s="58"/>
      <c r="J17" s="2"/>
      <c r="K17" s="27"/>
      <c r="L17" s="2"/>
      <c r="M17" s="24"/>
      <c r="O17" s="27" t="s">
        <v>33</v>
      </c>
      <c r="P17" s="2"/>
      <c r="Q17" s="24"/>
      <c r="R17" s="2"/>
      <c r="S17" s="34" t="s">
        <v>34</v>
      </c>
      <c r="T17" s="2">
        <f>U17*T25</f>
        <v>0.40023401015049698</v>
      </c>
      <c r="U17" s="2">
        <v>1.5730000000000001E-2</v>
      </c>
      <c r="V17" s="34" t="s">
        <v>28</v>
      </c>
      <c r="W17" s="82">
        <v>9.06E-2</v>
      </c>
      <c r="X17" s="35"/>
    </row>
    <row r="18" spans="1:25">
      <c r="A18" s="68">
        <v>13</v>
      </c>
      <c r="B18" s="13">
        <v>299</v>
      </c>
      <c r="C18" s="13">
        <v>320</v>
      </c>
      <c r="D18" s="13">
        <v>403</v>
      </c>
      <c r="E18" s="142"/>
      <c r="F18" s="58"/>
      <c r="H18" s="101" t="s">
        <v>35</v>
      </c>
      <c r="I18" s="5">
        <f>AVERAGE(D6:D55)</f>
        <v>481.76</v>
      </c>
      <c r="J18" s="2"/>
      <c r="K18" s="27" t="s">
        <v>36</v>
      </c>
      <c r="L18" s="2">
        <f>(L12-L15)/L16</f>
        <v>2.4658380593426528</v>
      </c>
      <c r="M18" s="24"/>
      <c r="O18" s="27" t="s">
        <v>20</v>
      </c>
      <c r="P18" s="2">
        <f>_xlfn.CEILING.MATH(SQRT((2*($I$13+$I$12*P15)*I18)/$I$11))</f>
        <v>2086</v>
      </c>
      <c r="Q18" s="24"/>
      <c r="R18" s="2"/>
      <c r="S18" s="34"/>
      <c r="T18" s="2"/>
      <c r="U18" s="2"/>
      <c r="V18" s="34"/>
      <c r="W18" s="2"/>
      <c r="X18" s="39" t="s">
        <v>37</v>
      </c>
    </row>
    <row r="19" spans="1:25" outlineLevel="1">
      <c r="A19" s="68">
        <v>14</v>
      </c>
      <c r="B19" s="13">
        <v>305</v>
      </c>
      <c r="C19" s="13">
        <v>346</v>
      </c>
      <c r="D19" s="13">
        <v>404</v>
      </c>
      <c r="E19" s="142"/>
      <c r="F19" s="58"/>
      <c r="H19" s="101" t="s">
        <v>38</v>
      </c>
      <c r="I19" s="5">
        <f>STDEV(D6:D55)</f>
        <v>78.876436563132984</v>
      </c>
      <c r="J19" s="2"/>
      <c r="K19" s="27" t="s">
        <v>39</v>
      </c>
      <c r="L19" s="2">
        <f>(L18*100)/3</f>
        <v>82.194601978088428</v>
      </c>
      <c r="M19" s="24"/>
      <c r="O19" s="27" t="s">
        <v>31</v>
      </c>
      <c r="P19" s="70">
        <f>($I$11*P18)/($I$12*I18)</f>
        <v>4.1495419572677952E-2</v>
      </c>
      <c r="Q19" s="24"/>
      <c r="R19" s="2"/>
      <c r="S19" s="34" t="s">
        <v>40</v>
      </c>
      <c r="T19" s="2"/>
      <c r="U19" s="2"/>
      <c r="V19" s="34" t="s">
        <v>33</v>
      </c>
      <c r="W19" s="2"/>
      <c r="X19" s="35"/>
    </row>
    <row r="20" spans="1:25">
      <c r="A20" s="68">
        <v>15</v>
      </c>
      <c r="B20" s="13">
        <v>310</v>
      </c>
      <c r="C20" s="13">
        <v>362</v>
      </c>
      <c r="D20" s="13">
        <v>385</v>
      </c>
      <c r="E20" s="142"/>
      <c r="F20" s="58"/>
      <c r="J20" s="2"/>
      <c r="K20" s="27" t="s">
        <v>41</v>
      </c>
      <c r="L20" s="2">
        <v>1.157E-3</v>
      </c>
      <c r="M20" s="24"/>
      <c r="O20" s="76" t="s">
        <v>25</v>
      </c>
      <c r="P20" s="72">
        <v>57</v>
      </c>
      <c r="Q20" s="77"/>
      <c r="R20" s="2"/>
      <c r="S20" s="34" t="s">
        <v>14</v>
      </c>
      <c r="T20" s="2">
        <f>_xlfn.CEILING.MATH(SQRT((2*($I$13+$I$12*T17)*I25)/$I$11))</f>
        <v>1900</v>
      </c>
      <c r="U20" s="2"/>
      <c r="V20" s="34" t="s">
        <v>20</v>
      </c>
      <c r="W20" s="2">
        <v>2219</v>
      </c>
      <c r="X20" s="35"/>
    </row>
    <row r="21" spans="1:25">
      <c r="A21" s="68">
        <v>16</v>
      </c>
      <c r="B21" s="13">
        <v>314</v>
      </c>
      <c r="C21" s="13">
        <v>326</v>
      </c>
      <c r="D21" s="13">
        <v>404</v>
      </c>
      <c r="E21" s="142"/>
      <c r="F21" s="58"/>
      <c r="H21" s="102" t="s">
        <v>42</v>
      </c>
      <c r="I21" s="5">
        <f>AVERAGE(D28:D50)</f>
        <v>565</v>
      </c>
      <c r="J21" s="2"/>
      <c r="K21" s="27" t="s">
        <v>34</v>
      </c>
      <c r="L21" s="55">
        <f>L20*L16</f>
        <v>0.12678249539361081</v>
      </c>
      <c r="M21" s="71"/>
      <c r="O21" s="27" t="s">
        <v>43</v>
      </c>
      <c r="P21" s="2">
        <f>P29*Q21</f>
        <v>1.7236721283850458</v>
      </c>
      <c r="Q21" s="78">
        <v>1.5730000000000001E-2</v>
      </c>
      <c r="R21" s="2"/>
      <c r="S21" s="34" t="s">
        <v>29</v>
      </c>
      <c r="T21" s="2">
        <f>($I$11*T20)/($I$12*I25)</f>
        <v>4.431848913729379E-2</v>
      </c>
      <c r="U21" s="2"/>
      <c r="V21" s="34" t="s">
        <v>44</v>
      </c>
      <c r="W21" s="5">
        <v>3.7600000000000001E-2</v>
      </c>
      <c r="X21" s="35"/>
    </row>
    <row r="22" spans="1:25">
      <c r="A22" s="68">
        <v>17</v>
      </c>
      <c r="B22" s="13">
        <v>314</v>
      </c>
      <c r="C22" s="13">
        <v>353</v>
      </c>
      <c r="D22" s="13">
        <v>415</v>
      </c>
      <c r="E22" s="142"/>
      <c r="F22" s="58"/>
      <c r="H22" s="102" t="s">
        <v>38</v>
      </c>
      <c r="I22" s="5">
        <f>STDEV(D28:D50)</f>
        <v>6.7823299831252681</v>
      </c>
      <c r="J22" s="2"/>
      <c r="K22" s="27"/>
      <c r="L22" s="2"/>
      <c r="M22" s="24"/>
      <c r="O22" s="27"/>
      <c r="P22" s="2"/>
      <c r="Q22" s="24"/>
      <c r="R22" s="2"/>
      <c r="S22" s="40" t="s">
        <v>25</v>
      </c>
      <c r="T22" s="41">
        <v>57</v>
      </c>
      <c r="U22" s="42" t="s">
        <v>45</v>
      </c>
      <c r="V22" s="40" t="s">
        <v>25</v>
      </c>
      <c r="W22" s="41">
        <v>59</v>
      </c>
      <c r="X22" s="41" t="s">
        <v>45</v>
      </c>
      <c r="Y22" s="34"/>
    </row>
    <row r="23" spans="1:25">
      <c r="A23" s="68">
        <v>18</v>
      </c>
      <c r="B23" s="13">
        <v>301</v>
      </c>
      <c r="C23" s="13">
        <v>363</v>
      </c>
      <c r="D23" s="13">
        <v>421</v>
      </c>
      <c r="E23" s="142"/>
      <c r="F23" s="58"/>
      <c r="J23" s="2"/>
      <c r="K23" s="27" t="s">
        <v>46</v>
      </c>
      <c r="L23" s="2">
        <f xml:space="preserve"> I11*((L11/2) + L12-L15) + I12*(I18/L11) * L21 + I13*(I18/L11)</f>
        <v>812.84588897606454</v>
      </c>
      <c r="M23" s="24" t="s">
        <v>47</v>
      </c>
      <c r="O23" s="27" t="s">
        <v>48</v>
      </c>
      <c r="P23" s="2"/>
      <c r="Q23" s="24"/>
      <c r="R23" s="2"/>
      <c r="S23" s="34"/>
      <c r="T23" s="2"/>
      <c r="U23" s="2"/>
      <c r="V23" s="34"/>
      <c r="W23" s="2"/>
      <c r="X23" s="35"/>
    </row>
    <row r="24" spans="1:25">
      <c r="A24" s="68">
        <v>19</v>
      </c>
      <c r="B24" s="13">
        <v>292</v>
      </c>
      <c r="C24" s="13">
        <v>335</v>
      </c>
      <c r="D24" s="13">
        <v>400</v>
      </c>
      <c r="E24" s="142"/>
      <c r="F24" s="58"/>
      <c r="J24" s="2"/>
      <c r="K24" s="27"/>
      <c r="L24" s="2"/>
      <c r="M24" s="24"/>
      <c r="O24" s="27" t="s">
        <v>20</v>
      </c>
      <c r="P24" s="2">
        <f>_xlfn.CEILING.MATH(SQRT((2*($I$13+$I$12*P21)*I18)/$I$11))</f>
        <v>2089</v>
      </c>
      <c r="Q24" s="24"/>
      <c r="R24" s="2"/>
      <c r="S24" s="34" t="s">
        <v>27</v>
      </c>
      <c r="T24" s="2">
        <f>I25*$I$14</f>
        <v>792.94407407407402</v>
      </c>
      <c r="U24" s="2"/>
      <c r="V24" s="34" t="s">
        <v>27</v>
      </c>
      <c r="W24" s="2">
        <f>$I$14*I21</f>
        <v>1090.45</v>
      </c>
      <c r="X24" s="35"/>
    </row>
    <row r="25" spans="1:25">
      <c r="A25" s="68">
        <v>20</v>
      </c>
      <c r="B25" s="13">
        <v>263</v>
      </c>
      <c r="C25" s="13">
        <v>357</v>
      </c>
      <c r="D25" s="13">
        <v>383</v>
      </c>
      <c r="E25" s="142"/>
      <c r="F25" s="58"/>
      <c r="H25" s="64" t="s">
        <v>49</v>
      </c>
      <c r="I25" s="5">
        <f>AVERAGE(D6:D27,D51:D55)</f>
        <v>410.85185185185185</v>
      </c>
      <c r="J25" s="2"/>
      <c r="K25" s="88" t="s">
        <v>50</v>
      </c>
      <c r="L25" s="89">
        <f>50*L23</f>
        <v>40642.29444880323</v>
      </c>
      <c r="M25" s="90" t="s">
        <v>51</v>
      </c>
      <c r="O25" s="27" t="s">
        <v>21</v>
      </c>
      <c r="P25" s="70">
        <f>($I$11*P24)/($I$12*I18)</f>
        <v>4.1555096590280081E-2</v>
      </c>
      <c r="Q25" s="24"/>
      <c r="R25" s="2"/>
      <c r="S25" s="34" t="s">
        <v>32</v>
      </c>
      <c r="T25" s="2">
        <f>SQRT( I26*I26*$I$14)</f>
        <v>25.443993016560519</v>
      </c>
      <c r="U25" s="2"/>
      <c r="V25" s="34" t="s">
        <v>32</v>
      </c>
      <c r="W25" s="5">
        <f>SQRT( I22*I22*$I$14)</f>
        <v>9.4223139408533818</v>
      </c>
      <c r="X25" s="35"/>
    </row>
    <row r="26" spans="1:25">
      <c r="A26" s="68">
        <v>21</v>
      </c>
      <c r="B26" s="13">
        <v>311</v>
      </c>
      <c r="C26" s="13">
        <v>325</v>
      </c>
      <c r="D26" s="13">
        <v>369</v>
      </c>
      <c r="E26" s="142"/>
      <c r="F26" s="58"/>
      <c r="H26" s="64" t="s">
        <v>38</v>
      </c>
      <c r="I26" s="5">
        <f>STDEV(D6:D27,D51:D55)</f>
        <v>18.314986935260052</v>
      </c>
      <c r="J26" s="2"/>
      <c r="K26" s="91" t="s">
        <v>52</v>
      </c>
      <c r="L26" s="92">
        <f>_xlfn.CEILING.MATH(L21*(I18*50/L11))</f>
        <v>2</v>
      </c>
      <c r="M26" s="93" t="s">
        <v>53</v>
      </c>
      <c r="O26" s="79" t="s">
        <v>25</v>
      </c>
      <c r="P26" s="42">
        <v>57</v>
      </c>
      <c r="Q26" s="80" t="s">
        <v>45</v>
      </c>
      <c r="R26" s="43"/>
      <c r="S26" s="2" t="s">
        <v>54</v>
      </c>
      <c r="T26" s="2">
        <f>(3*T22)/100</f>
        <v>1.71</v>
      </c>
      <c r="U26" s="2"/>
      <c r="V26" s="34" t="s">
        <v>54</v>
      </c>
      <c r="W26" s="2">
        <f>(3*W22)/100</f>
        <v>1.77</v>
      </c>
      <c r="X26" s="35"/>
    </row>
    <row r="27" spans="1:25">
      <c r="A27" s="68">
        <v>22</v>
      </c>
      <c r="B27" s="13">
        <v>305</v>
      </c>
      <c r="C27" s="13">
        <v>330</v>
      </c>
      <c r="D27" s="13">
        <v>430</v>
      </c>
      <c r="E27" s="142"/>
      <c r="F27" s="58"/>
      <c r="J27" s="2"/>
      <c r="O27" s="27" t="s">
        <v>43</v>
      </c>
      <c r="P27" s="70">
        <f xml:space="preserve"> Q21*P29</f>
        <v>1.7236721283850458</v>
      </c>
      <c r="Q27" s="24"/>
      <c r="R27" s="2"/>
      <c r="S27" s="34" t="s">
        <v>55</v>
      </c>
      <c r="T27" s="2">
        <f>_xlfn.CEILING.MATH(T24+T26*T25)</f>
        <v>837</v>
      </c>
      <c r="U27" s="2"/>
      <c r="V27" s="34" t="s">
        <v>55</v>
      </c>
      <c r="W27" s="2">
        <f>_xlfn.CEILING.MATH(W24+W26*W25)</f>
        <v>1108</v>
      </c>
      <c r="X27" s="35"/>
    </row>
    <row r="28" spans="1:25">
      <c r="A28" s="68">
        <v>23</v>
      </c>
      <c r="B28" s="16">
        <v>414</v>
      </c>
      <c r="C28" s="16">
        <v>455</v>
      </c>
      <c r="D28" s="16">
        <v>554</v>
      </c>
      <c r="E28" s="142"/>
      <c r="F28" s="58"/>
      <c r="J28" s="2"/>
      <c r="O28" s="27" t="s">
        <v>27</v>
      </c>
      <c r="P28" s="2">
        <f>I18*$I$14</f>
        <v>929.79679999999996</v>
      </c>
      <c r="Q28" s="24"/>
      <c r="R28" s="2"/>
      <c r="S28" s="34"/>
      <c r="T28" s="2"/>
      <c r="U28" s="2"/>
      <c r="V28" s="34"/>
      <c r="W28" s="2"/>
      <c r="X28" s="35"/>
    </row>
    <row r="29" spans="1:25">
      <c r="A29" s="68">
        <v>24</v>
      </c>
      <c r="B29" s="16">
        <v>397</v>
      </c>
      <c r="C29" s="16">
        <v>445</v>
      </c>
      <c r="D29" s="16">
        <v>555</v>
      </c>
      <c r="E29" s="142"/>
      <c r="F29" s="58"/>
      <c r="J29" s="2"/>
      <c r="O29" s="27" t="s">
        <v>32</v>
      </c>
      <c r="P29" s="2">
        <f>SQRT( I19*I19*$I$14)</f>
        <v>109.57864770407156</v>
      </c>
      <c r="Q29" s="24"/>
      <c r="R29" s="2"/>
      <c r="S29" s="34" t="s">
        <v>56</v>
      </c>
      <c r="T29" s="2">
        <f xml:space="preserve"> $I$11*(T20/2 + T27 - T24) + $I$12 * (I25/T20) * T17 + $I$13 * (I25/T20)</f>
        <v>670.42166581843242</v>
      </c>
      <c r="U29" s="35" t="s">
        <v>47</v>
      </c>
      <c r="V29" s="34" t="s">
        <v>57</v>
      </c>
      <c r="W29" s="2">
        <f xml:space="preserve"> $I$11*(W20/2 + W27 - W24) + $I$12 * (I21/W20) * W17 + $I$13 * (I21/W20)</f>
        <v>771.59151273095972</v>
      </c>
      <c r="X29" s="35" t="s">
        <v>47</v>
      </c>
    </row>
    <row r="30" spans="1:25">
      <c r="A30" s="68">
        <v>25</v>
      </c>
      <c r="B30" s="16">
        <v>422</v>
      </c>
      <c r="C30" s="16">
        <v>499</v>
      </c>
      <c r="D30" s="16">
        <v>556</v>
      </c>
      <c r="E30" s="142"/>
      <c r="F30" s="58"/>
      <c r="J30" s="2"/>
      <c r="O30" s="27" t="s">
        <v>54</v>
      </c>
      <c r="P30" s="2">
        <f>(3*P26)/100</f>
        <v>1.71</v>
      </c>
      <c r="Q30" s="24"/>
      <c r="R30" s="2"/>
      <c r="S30" s="34"/>
      <c r="T30" s="2"/>
      <c r="U30" s="35"/>
      <c r="V30" s="2"/>
      <c r="W30" s="2"/>
      <c r="X30" s="35"/>
    </row>
    <row r="31" spans="1:25">
      <c r="A31" s="68">
        <v>26</v>
      </c>
      <c r="B31" s="16">
        <v>435</v>
      </c>
      <c r="C31" s="16">
        <v>490</v>
      </c>
      <c r="D31" s="16">
        <v>557</v>
      </c>
      <c r="E31" s="142"/>
      <c r="F31" s="58"/>
      <c r="H31" s="44"/>
      <c r="I31" s="44"/>
      <c r="J31" s="45"/>
      <c r="O31" s="27" t="s">
        <v>55</v>
      </c>
      <c r="P31" s="2">
        <f>_xlfn.CEILING.MATH(P28+P30*P29)</f>
        <v>1118</v>
      </c>
      <c r="Q31" s="24"/>
      <c r="R31" s="2"/>
      <c r="S31" s="95" t="s">
        <v>95</v>
      </c>
      <c r="T31" s="89">
        <f>28*T29</f>
        <v>18771.806642916108</v>
      </c>
      <c r="U31" s="89" t="s">
        <v>58</v>
      </c>
      <c r="V31" s="95" t="s">
        <v>59</v>
      </c>
      <c r="W31" s="89">
        <f>22*W29</f>
        <v>16975.013280081115</v>
      </c>
      <c r="X31" s="96" t="s">
        <v>60</v>
      </c>
    </row>
    <row r="32" spans="1:25">
      <c r="A32" s="68">
        <v>27</v>
      </c>
      <c r="B32" s="16">
        <v>400</v>
      </c>
      <c r="C32" s="16">
        <v>453</v>
      </c>
      <c r="D32" s="16">
        <v>558</v>
      </c>
      <c r="E32" s="142"/>
      <c r="F32" s="58"/>
      <c r="H32" s="46"/>
      <c r="I32" s="44"/>
      <c r="J32" s="45"/>
      <c r="O32" s="27"/>
      <c r="P32" s="2"/>
      <c r="Q32" s="24"/>
      <c r="R32" s="2"/>
      <c r="S32" s="97" t="s">
        <v>61</v>
      </c>
      <c r="T32" s="98">
        <f>_xlfn.CEILING.MATH(T17*(I25*28/T20))</f>
        <v>3</v>
      </c>
      <c r="U32" s="98" t="s">
        <v>53</v>
      </c>
      <c r="V32" s="97" t="s">
        <v>61</v>
      </c>
      <c r="W32" s="98">
        <f>_xlfn.CEILING.MATH(W17*(I21*22/W20))</f>
        <v>1</v>
      </c>
      <c r="X32" s="99" t="s">
        <v>53</v>
      </c>
    </row>
    <row r="33" spans="1:45">
      <c r="A33" s="68">
        <v>28</v>
      </c>
      <c r="B33" s="16">
        <v>393</v>
      </c>
      <c r="C33" s="16">
        <v>480</v>
      </c>
      <c r="D33" s="16">
        <v>559</v>
      </c>
      <c r="E33" s="142"/>
      <c r="F33" s="58"/>
      <c r="H33" s="46"/>
      <c r="I33" s="46"/>
      <c r="J33" s="45"/>
      <c r="O33" s="27" t="s">
        <v>56</v>
      </c>
      <c r="P33" s="2">
        <f xml:space="preserve"> $I$11*(P24/2 + P31 - P28) + $I$12 * (I18/P24) * P21 + $I$13 * (I18/P24)</f>
        <v>785.51920823386695</v>
      </c>
      <c r="Q33" s="24" t="s">
        <v>47</v>
      </c>
      <c r="R33" s="2"/>
      <c r="S33" s="84"/>
      <c r="T33" s="85"/>
      <c r="U33" s="85"/>
      <c r="V33" s="85"/>
      <c r="W33" s="22"/>
      <c r="X33" s="86"/>
      <c r="AA33" s="45"/>
    </row>
    <row r="34" spans="1:45">
      <c r="A34" s="68">
        <v>29</v>
      </c>
      <c r="B34" s="16">
        <v>419</v>
      </c>
      <c r="C34" s="16">
        <v>511</v>
      </c>
      <c r="D34" s="16">
        <v>560</v>
      </c>
      <c r="E34" s="142"/>
      <c r="F34" s="58"/>
      <c r="H34" s="44"/>
      <c r="I34" s="44"/>
      <c r="J34" s="45"/>
      <c r="O34" s="27"/>
      <c r="P34" s="2"/>
      <c r="Q34" s="24"/>
      <c r="R34" s="2"/>
      <c r="S34" s="87"/>
      <c r="T34" s="89" t="s">
        <v>62</v>
      </c>
      <c r="U34" s="89">
        <f>T31+W31</f>
        <v>35746.819922997223</v>
      </c>
      <c r="V34" s="89" t="s">
        <v>51</v>
      </c>
      <c r="W34" s="89"/>
      <c r="X34" s="81"/>
      <c r="AA34" s="45"/>
    </row>
    <row r="35" spans="1:45">
      <c r="A35" s="68">
        <v>30</v>
      </c>
      <c r="B35" s="16">
        <v>396</v>
      </c>
      <c r="C35" s="16">
        <v>484</v>
      </c>
      <c r="D35" s="16">
        <v>561</v>
      </c>
      <c r="E35" s="142"/>
      <c r="F35" s="58"/>
      <c r="H35" s="44"/>
      <c r="I35" s="44"/>
      <c r="J35" s="44"/>
      <c r="O35" s="94" t="s">
        <v>50</v>
      </c>
      <c r="P35" s="89">
        <f xml:space="preserve"> 50*P33</f>
        <v>39275.960411693348</v>
      </c>
      <c r="Q35" s="90" t="s">
        <v>51</v>
      </c>
      <c r="R35" s="45"/>
      <c r="S35" s="28"/>
      <c r="T35" s="92" t="s">
        <v>52</v>
      </c>
      <c r="U35" s="92">
        <f>T32+W32</f>
        <v>4</v>
      </c>
      <c r="V35" s="92" t="s">
        <v>53</v>
      </c>
      <c r="W35" s="92"/>
      <c r="X35" s="29"/>
      <c r="Y35" s="45"/>
      <c r="AA35" s="45"/>
    </row>
    <row r="36" spans="1:45">
      <c r="A36" s="68">
        <v>31</v>
      </c>
      <c r="B36" s="16">
        <v>408</v>
      </c>
      <c r="C36" s="16">
        <v>469</v>
      </c>
      <c r="D36" s="16">
        <v>562</v>
      </c>
      <c r="E36" s="142"/>
      <c r="F36" s="58"/>
      <c r="H36" s="46"/>
      <c r="I36" s="46"/>
      <c r="J36" s="44"/>
      <c r="O36" s="91" t="s">
        <v>52</v>
      </c>
      <c r="P36" s="92">
        <f>_xlfn.CEILING.MATH(P27*(I18*50/P24))</f>
        <v>20</v>
      </c>
      <c r="Q36" s="93" t="s">
        <v>53</v>
      </c>
      <c r="V36" s="45"/>
      <c r="W36" s="45"/>
      <c r="X36" s="45"/>
      <c r="Y36" s="45"/>
      <c r="Z36" s="45"/>
      <c r="AA36" s="45"/>
    </row>
    <row r="37" spans="1:45">
      <c r="A37" s="68">
        <v>32</v>
      </c>
      <c r="B37" s="16">
        <v>388</v>
      </c>
      <c r="C37" s="16">
        <v>488</v>
      </c>
      <c r="D37" s="16">
        <v>563</v>
      </c>
      <c r="E37" s="142"/>
      <c r="F37" s="58"/>
      <c r="H37" s="46"/>
      <c r="I37" s="46"/>
      <c r="J37" s="44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spans="1:45">
      <c r="A38" s="68">
        <v>33</v>
      </c>
      <c r="B38" s="16">
        <v>387</v>
      </c>
      <c r="C38" s="16">
        <v>492</v>
      </c>
      <c r="D38" s="16">
        <v>564</v>
      </c>
      <c r="E38" s="142"/>
      <c r="F38" s="58"/>
      <c r="H38" s="44"/>
      <c r="I38" s="44"/>
      <c r="J38" s="44"/>
      <c r="K38" s="69"/>
      <c r="L38" s="69"/>
      <c r="M38" s="69"/>
      <c r="N38" s="69"/>
      <c r="O38" s="166"/>
      <c r="P38" s="166"/>
      <c r="Q38" s="166"/>
      <c r="R38" s="149"/>
      <c r="S38" s="166"/>
      <c r="T38" s="166"/>
      <c r="U38" s="166"/>
      <c r="V38" s="166"/>
      <c r="W38" s="166"/>
      <c r="X38" s="166"/>
    </row>
    <row r="39" spans="1:45">
      <c r="A39" s="68">
        <v>34</v>
      </c>
      <c r="B39" s="16">
        <v>416</v>
      </c>
      <c r="C39" s="16">
        <v>461</v>
      </c>
      <c r="D39" s="16">
        <v>565</v>
      </c>
      <c r="E39" s="142"/>
      <c r="F39" s="58"/>
      <c r="H39" s="44"/>
      <c r="I39" s="44"/>
      <c r="J39" s="44"/>
      <c r="K39" s="69"/>
      <c r="L39" s="69"/>
      <c r="M39" s="69"/>
      <c r="N39" s="69"/>
      <c r="O39" s="149"/>
      <c r="P39" s="149"/>
      <c r="Q39" s="149"/>
      <c r="R39" s="149"/>
      <c r="S39" s="149"/>
      <c r="T39" s="149"/>
      <c r="U39" s="149"/>
      <c r="V39" s="149"/>
      <c r="W39" s="45"/>
      <c r="X39" s="149"/>
    </row>
    <row r="40" spans="1:45">
      <c r="A40" s="68">
        <v>35</v>
      </c>
      <c r="B40" s="16">
        <v>401</v>
      </c>
      <c r="C40" s="16">
        <v>471</v>
      </c>
      <c r="D40" s="16">
        <v>566</v>
      </c>
      <c r="E40" s="142"/>
      <c r="F40" s="58"/>
      <c r="H40" s="44"/>
      <c r="I40" s="44"/>
      <c r="J40" s="44"/>
      <c r="K40" s="69"/>
      <c r="L40" s="69"/>
      <c r="M40" s="69"/>
      <c r="N40" s="69"/>
      <c r="O40" s="149"/>
      <c r="P40" s="149"/>
      <c r="Q40" s="149"/>
      <c r="R40" s="149"/>
      <c r="S40" s="166"/>
      <c r="T40" s="166"/>
      <c r="U40" s="166"/>
      <c r="V40" s="166"/>
      <c r="W40" s="166"/>
      <c r="X40" s="166"/>
    </row>
    <row r="41" spans="1:45">
      <c r="A41" s="68">
        <v>36</v>
      </c>
      <c r="B41" s="16">
        <v>394</v>
      </c>
      <c r="C41" s="16">
        <v>486</v>
      </c>
      <c r="D41" s="16">
        <v>567</v>
      </c>
      <c r="E41" s="142"/>
      <c r="F41" s="58"/>
      <c r="H41" s="44"/>
      <c r="I41" s="44"/>
      <c r="J41" s="44"/>
      <c r="K41" s="69"/>
      <c r="L41" s="69"/>
      <c r="M41" s="69"/>
      <c r="N41" s="69"/>
      <c r="O41" s="149"/>
      <c r="P41" s="149"/>
      <c r="Q41" s="149"/>
      <c r="R41" s="149"/>
      <c r="S41" s="149"/>
      <c r="T41" s="149"/>
      <c r="U41" s="149"/>
      <c r="V41" s="149"/>
      <c r="W41" s="149"/>
      <c r="X41" s="149"/>
    </row>
    <row r="42" spans="1:45">
      <c r="A42" s="68">
        <v>37</v>
      </c>
      <c r="B42" s="16">
        <v>409</v>
      </c>
      <c r="C42" s="16">
        <v>487</v>
      </c>
      <c r="D42" s="16">
        <v>568</v>
      </c>
      <c r="E42" s="142"/>
      <c r="F42" s="58"/>
      <c r="H42" s="44"/>
      <c r="I42" s="44"/>
      <c r="J42" s="44"/>
      <c r="K42" s="69"/>
      <c r="M42" s="69"/>
      <c r="N42" s="69"/>
      <c r="O42" s="149"/>
      <c r="P42" s="149"/>
      <c r="Q42" s="149"/>
      <c r="R42" s="149"/>
      <c r="S42" s="149"/>
      <c r="T42" s="149"/>
      <c r="U42" s="149"/>
      <c r="V42" s="149"/>
      <c r="W42" s="149"/>
      <c r="X42" s="149"/>
    </row>
    <row r="43" spans="1:45">
      <c r="A43" s="68">
        <v>38</v>
      </c>
      <c r="B43" s="16">
        <v>383</v>
      </c>
      <c r="C43" s="16">
        <v>490</v>
      </c>
      <c r="D43" s="16">
        <v>569</v>
      </c>
      <c r="E43" s="142"/>
      <c r="F43" s="58"/>
      <c r="K43" s="69"/>
      <c r="L43" s="69"/>
      <c r="M43" s="69"/>
      <c r="N43" s="69"/>
      <c r="O43" s="150"/>
      <c r="P43" s="150"/>
      <c r="Q43" s="150"/>
      <c r="R43" s="149"/>
      <c r="S43" s="149"/>
      <c r="T43" s="149"/>
      <c r="U43" s="149"/>
      <c r="V43" s="149"/>
      <c r="W43" s="149"/>
      <c r="X43" s="14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O43" s="69"/>
      <c r="AS43" s="69"/>
    </row>
    <row r="44" spans="1:45">
      <c r="A44" s="68">
        <v>39</v>
      </c>
      <c r="B44" s="16">
        <v>402</v>
      </c>
      <c r="C44" s="16">
        <v>454</v>
      </c>
      <c r="D44" s="16">
        <v>570</v>
      </c>
      <c r="E44" s="142"/>
      <c r="F44" s="58"/>
      <c r="K44" s="69"/>
      <c r="L44" s="69"/>
      <c r="M44" s="69"/>
      <c r="N44" s="69"/>
      <c r="O44" s="149"/>
      <c r="P44" s="149"/>
      <c r="Q44" s="149"/>
      <c r="R44" s="149"/>
      <c r="S44" s="149"/>
      <c r="T44" s="149"/>
      <c r="U44" s="149"/>
      <c r="V44" s="149"/>
      <c r="W44" s="149"/>
      <c r="X44" s="14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O44" s="69"/>
      <c r="AS44" s="69"/>
    </row>
    <row r="45" spans="1:45" ht="15.6">
      <c r="A45" s="68">
        <v>40</v>
      </c>
      <c r="B45" s="16">
        <v>412</v>
      </c>
      <c r="C45" s="16">
        <v>473</v>
      </c>
      <c r="D45" s="16">
        <v>571</v>
      </c>
      <c r="E45" s="142"/>
      <c r="F45" s="58"/>
      <c r="K45" s="69"/>
      <c r="L45" s="69"/>
      <c r="M45" s="69"/>
      <c r="N45" s="69"/>
      <c r="O45" s="149"/>
      <c r="P45" s="149"/>
      <c r="Q45" s="149"/>
      <c r="R45" s="149"/>
      <c r="S45" s="150"/>
      <c r="T45" s="150"/>
      <c r="U45" s="150"/>
      <c r="V45" s="150"/>
      <c r="W45" s="150"/>
      <c r="X45" s="151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Q45" s="69"/>
      <c r="AS45" s="69"/>
    </row>
    <row r="46" spans="1:45">
      <c r="A46" s="68">
        <v>41</v>
      </c>
      <c r="B46" s="16">
        <v>402</v>
      </c>
      <c r="C46" s="16">
        <v>446</v>
      </c>
      <c r="D46" s="16">
        <v>572</v>
      </c>
      <c r="E46" s="142"/>
      <c r="F46" s="58"/>
      <c r="K46" s="69"/>
      <c r="L46" s="69"/>
      <c r="M46" s="69"/>
      <c r="N46" s="69"/>
      <c r="O46" s="149"/>
      <c r="P46" s="149"/>
      <c r="Q46" s="149"/>
      <c r="R46" s="149"/>
      <c r="S46" s="149"/>
      <c r="T46" s="149"/>
      <c r="U46" s="149"/>
      <c r="V46" s="149"/>
      <c r="W46" s="149"/>
      <c r="X46" s="14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S46" s="69"/>
    </row>
    <row r="47" spans="1:45">
      <c r="A47" s="68">
        <v>42</v>
      </c>
      <c r="B47" s="16">
        <v>384</v>
      </c>
      <c r="C47" s="16">
        <v>466</v>
      </c>
      <c r="D47" s="16">
        <v>573</v>
      </c>
      <c r="E47" s="142"/>
      <c r="F47" s="58"/>
      <c r="K47" s="69"/>
      <c r="L47" s="69"/>
      <c r="M47" s="69"/>
      <c r="N47" s="69"/>
      <c r="O47" s="149"/>
      <c r="P47" s="149"/>
      <c r="Q47" s="149"/>
      <c r="R47" s="149"/>
      <c r="S47" s="149"/>
      <c r="T47" s="149"/>
      <c r="U47" s="149"/>
      <c r="V47" s="149"/>
      <c r="W47" s="149"/>
      <c r="X47" s="152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S47" s="69"/>
    </row>
    <row r="48" spans="1:45">
      <c r="A48" s="68">
        <v>43</v>
      </c>
      <c r="B48" s="16">
        <v>401</v>
      </c>
      <c r="C48" s="16">
        <v>501</v>
      </c>
      <c r="D48" s="16">
        <v>574</v>
      </c>
      <c r="E48" s="142"/>
      <c r="F48" s="58"/>
      <c r="K48" s="69"/>
      <c r="L48" s="69"/>
      <c r="M48" s="69"/>
      <c r="N48" s="6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1:45">
      <c r="A49" s="68">
        <v>44</v>
      </c>
      <c r="B49" s="16">
        <v>404</v>
      </c>
      <c r="C49" s="16">
        <v>470</v>
      </c>
      <c r="D49" s="16">
        <v>575</v>
      </c>
      <c r="E49" s="142"/>
      <c r="F49" s="58"/>
      <c r="K49" s="69"/>
      <c r="L49" s="69"/>
      <c r="M49" s="69"/>
      <c r="N49" s="69"/>
      <c r="O49" s="153"/>
      <c r="P49" s="153"/>
      <c r="Q49" s="153"/>
      <c r="R49" s="149"/>
      <c r="S49" s="149"/>
      <c r="T49" s="149"/>
      <c r="U49" s="149"/>
      <c r="V49" s="149"/>
      <c r="W49" s="149"/>
      <c r="X49" s="14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1:45">
      <c r="A50" s="68">
        <v>45</v>
      </c>
      <c r="B50" s="16">
        <v>420</v>
      </c>
      <c r="C50" s="16">
        <v>483</v>
      </c>
      <c r="D50" s="16">
        <v>576</v>
      </c>
      <c r="E50" s="142"/>
      <c r="F50" s="58"/>
      <c r="K50" s="69"/>
      <c r="L50" s="69"/>
      <c r="M50" s="69"/>
      <c r="N50" s="69"/>
      <c r="O50" s="149"/>
      <c r="P50" s="149"/>
      <c r="Q50" s="154"/>
      <c r="R50" s="149"/>
      <c r="S50" s="149"/>
      <c r="T50" s="149"/>
      <c r="U50" s="149"/>
      <c r="V50" s="149"/>
      <c r="W50" s="149"/>
      <c r="X50" s="14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</row>
    <row r="51" spans="1:45">
      <c r="A51" s="68">
        <v>46</v>
      </c>
      <c r="B51" s="13">
        <v>279</v>
      </c>
      <c r="C51" s="13">
        <v>329</v>
      </c>
      <c r="D51" s="13">
        <v>393</v>
      </c>
      <c r="E51" s="142"/>
      <c r="F51" s="58"/>
      <c r="K51" s="69"/>
      <c r="L51" s="69"/>
      <c r="M51" s="69"/>
      <c r="N51" s="69"/>
      <c r="O51" s="149"/>
      <c r="P51" s="149"/>
      <c r="Q51" s="149"/>
      <c r="R51" s="149"/>
      <c r="S51" s="155"/>
      <c r="T51" s="155"/>
      <c r="U51" s="155"/>
      <c r="V51" s="155"/>
      <c r="W51" s="155"/>
      <c r="X51" s="155"/>
      <c r="Y51" s="69"/>
      <c r="Z51" s="69"/>
      <c r="AA51" s="69"/>
      <c r="AB51" s="69"/>
      <c r="AD51" s="69"/>
      <c r="AE51" s="69"/>
      <c r="AF51" s="69"/>
      <c r="AH51" s="69"/>
      <c r="AI51" s="69"/>
      <c r="AJ51" s="69"/>
      <c r="AK51" s="69"/>
      <c r="AL51" s="69"/>
      <c r="AM51" s="69"/>
      <c r="AN51" s="69"/>
      <c r="AQ51" s="69"/>
      <c r="AR51" s="69"/>
      <c r="AS51" s="69"/>
    </row>
    <row r="52" spans="1:45">
      <c r="A52" s="68">
        <v>47</v>
      </c>
      <c r="B52" s="13">
        <v>301</v>
      </c>
      <c r="C52" s="13">
        <v>362</v>
      </c>
      <c r="D52" s="13">
        <v>418</v>
      </c>
      <c r="E52" s="142"/>
      <c r="F52" s="58"/>
      <c r="K52" s="69"/>
      <c r="L52" s="69"/>
      <c r="M52" s="69"/>
      <c r="N52" s="69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R52" s="69"/>
      <c r="AS52" s="69"/>
    </row>
    <row r="53" spans="1:45">
      <c r="A53" s="68">
        <v>48</v>
      </c>
      <c r="B53" s="13">
        <v>310</v>
      </c>
      <c r="C53" s="13">
        <v>359</v>
      </c>
      <c r="D53" s="13">
        <v>424</v>
      </c>
      <c r="E53" s="142"/>
      <c r="F53" s="58"/>
      <c r="K53" s="69"/>
      <c r="L53" s="69"/>
      <c r="M53" s="69"/>
      <c r="N53" s="69"/>
      <c r="O53" s="149"/>
      <c r="P53" s="149"/>
      <c r="Q53" s="149"/>
      <c r="R53" s="149"/>
      <c r="S53" s="149"/>
      <c r="T53" s="149"/>
      <c r="U53" s="149"/>
      <c r="V53" s="149"/>
      <c r="W53" s="149"/>
      <c r="X53" s="149"/>
      <c r="Y53" s="69"/>
      <c r="AD53" s="69"/>
      <c r="AQ53" s="69"/>
      <c r="AR53" s="69"/>
    </row>
    <row r="54" spans="1:45">
      <c r="A54" s="68">
        <v>49</v>
      </c>
      <c r="B54" s="13">
        <v>292</v>
      </c>
      <c r="C54" s="13">
        <v>347</v>
      </c>
      <c r="D54" s="13">
        <v>441</v>
      </c>
      <c r="E54" s="142"/>
      <c r="F54" s="58"/>
      <c r="K54" s="69"/>
      <c r="L54" s="69"/>
      <c r="M54" s="69"/>
      <c r="N54" s="6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AR54" s="69"/>
    </row>
    <row r="55" spans="1:45">
      <c r="A55" s="68">
        <v>50</v>
      </c>
      <c r="B55" s="13">
        <v>325</v>
      </c>
      <c r="C55" s="13">
        <v>362</v>
      </c>
      <c r="D55" s="13">
        <v>412</v>
      </c>
      <c r="E55" s="142"/>
      <c r="F55" s="58"/>
      <c r="K55" s="69"/>
      <c r="L55" s="69"/>
      <c r="M55" s="69"/>
      <c r="N55" s="69"/>
      <c r="O55" s="149"/>
      <c r="P55" s="149"/>
      <c r="Q55" s="149"/>
      <c r="R55" s="149"/>
      <c r="S55" s="149"/>
      <c r="T55" s="149"/>
      <c r="U55" s="149"/>
      <c r="V55" s="149"/>
      <c r="W55" s="149"/>
      <c r="X55" s="149"/>
    </row>
    <row r="56" spans="1:45">
      <c r="K56" s="69"/>
      <c r="L56" s="69"/>
      <c r="M56" s="69"/>
      <c r="N56" s="69"/>
      <c r="O56" s="149"/>
      <c r="P56" s="149"/>
      <c r="Q56" s="149"/>
      <c r="R56" s="149"/>
      <c r="S56" s="149"/>
      <c r="T56" s="149"/>
      <c r="U56" s="149"/>
      <c r="V56" s="149"/>
      <c r="W56" s="149"/>
      <c r="X56" s="149"/>
    </row>
    <row r="57" spans="1:45">
      <c r="A57" s="48"/>
      <c r="B57" s="48"/>
      <c r="C57" s="48"/>
      <c r="D57" s="48"/>
      <c r="K57" s="69"/>
      <c r="L57" s="69"/>
      <c r="M57" s="69"/>
      <c r="N57" s="69"/>
      <c r="O57" s="149"/>
      <c r="P57" s="149"/>
      <c r="Q57" s="149"/>
      <c r="R57" s="149"/>
      <c r="S57" s="149"/>
      <c r="T57" s="149"/>
      <c r="U57" s="149"/>
      <c r="V57" s="149"/>
      <c r="W57" s="149"/>
      <c r="X57" s="149"/>
    </row>
    <row r="58" spans="1:45">
      <c r="H58" s="17"/>
      <c r="K58" s="69"/>
      <c r="L58" s="69"/>
      <c r="M58" s="69"/>
      <c r="N58" s="69"/>
      <c r="O58" s="149"/>
      <c r="P58" s="149"/>
      <c r="Q58" s="149"/>
      <c r="R58" s="149"/>
      <c r="S58" s="149"/>
      <c r="T58" s="149"/>
      <c r="U58" s="149"/>
      <c r="V58" s="149"/>
      <c r="W58" s="149"/>
      <c r="X58" s="149"/>
    </row>
    <row r="59" spans="1:45">
      <c r="F59" s="18"/>
      <c r="K59" s="69"/>
      <c r="L59" s="69"/>
      <c r="M59" s="69"/>
      <c r="N59" s="69"/>
      <c r="O59" s="149"/>
      <c r="P59" s="149"/>
      <c r="Q59" s="149"/>
      <c r="R59" s="149"/>
      <c r="S59" s="149"/>
      <c r="T59" s="149"/>
      <c r="U59" s="149"/>
      <c r="V59" s="149"/>
      <c r="W59" s="149"/>
      <c r="X59" s="149"/>
    </row>
    <row r="60" spans="1:45">
      <c r="K60" s="69"/>
      <c r="L60" s="69"/>
      <c r="M60" s="69"/>
      <c r="N60" s="69"/>
      <c r="O60" s="149"/>
      <c r="P60" s="149"/>
      <c r="Q60" s="149"/>
      <c r="R60" s="149"/>
      <c r="S60" s="149"/>
      <c r="T60" s="149"/>
      <c r="U60" s="149"/>
      <c r="V60" s="149"/>
      <c r="W60" s="149"/>
      <c r="X60" s="149"/>
    </row>
    <row r="61" spans="1:45">
      <c r="K61" s="69"/>
      <c r="L61" s="69"/>
      <c r="M61" s="69"/>
      <c r="N61" s="69"/>
      <c r="O61" s="149"/>
      <c r="P61" s="149"/>
      <c r="Q61" s="149"/>
      <c r="R61" s="149"/>
      <c r="S61" s="149"/>
      <c r="T61" s="149"/>
      <c r="U61" s="149"/>
      <c r="V61" s="149"/>
      <c r="W61" s="149"/>
      <c r="X61" s="149"/>
    </row>
    <row r="62" spans="1:45">
      <c r="K62" s="69"/>
      <c r="L62" s="69"/>
      <c r="M62" s="69"/>
      <c r="N62" s="69"/>
      <c r="O62" s="45"/>
      <c r="P62" s="45"/>
      <c r="Q62" s="45"/>
      <c r="R62" s="149"/>
      <c r="S62" s="149"/>
      <c r="T62" s="149"/>
      <c r="U62" s="149"/>
      <c r="V62" s="149"/>
      <c r="W62" s="149"/>
      <c r="X62" s="149"/>
    </row>
    <row r="63" spans="1:45">
      <c r="A63" s="19"/>
      <c r="B63" s="19"/>
      <c r="C63" s="19"/>
      <c r="D63" s="19"/>
      <c r="E63" s="19"/>
      <c r="F63" s="19"/>
      <c r="G63" s="19"/>
      <c r="H63" s="19"/>
      <c r="I63" s="19"/>
      <c r="M63" s="69"/>
      <c r="N63" s="69"/>
      <c r="O63" s="45"/>
      <c r="P63" s="45"/>
      <c r="Q63" s="45"/>
      <c r="R63" s="149"/>
      <c r="S63" s="149"/>
      <c r="T63" s="149"/>
      <c r="U63" s="149"/>
      <c r="V63" s="149"/>
      <c r="W63" s="149"/>
      <c r="X63" s="149"/>
    </row>
    <row r="64" spans="1:45">
      <c r="A64" s="19"/>
      <c r="B64" s="19"/>
      <c r="C64" s="19"/>
      <c r="D64" s="19"/>
      <c r="E64" s="19"/>
      <c r="F64" s="19"/>
      <c r="G64" s="19"/>
      <c r="H64" s="19"/>
      <c r="I64" s="19"/>
      <c r="K64" s="69"/>
      <c r="L64" s="69"/>
      <c r="M64" s="69"/>
      <c r="N64" s="69"/>
      <c r="O64" s="45"/>
      <c r="P64" s="45"/>
      <c r="Q64" s="45"/>
      <c r="R64" s="149"/>
      <c r="S64" s="149"/>
      <c r="T64" s="149"/>
      <c r="U64" s="149"/>
      <c r="V64" s="149"/>
      <c r="W64" s="149"/>
      <c r="X64" s="149"/>
    </row>
    <row r="65" spans="1:26">
      <c r="A65" s="20"/>
      <c r="B65" s="20"/>
      <c r="C65" s="19"/>
      <c r="D65" s="19"/>
      <c r="E65" s="19"/>
      <c r="F65" s="19"/>
      <c r="G65" s="19"/>
      <c r="H65" s="19"/>
      <c r="I65" s="19"/>
      <c r="N65" s="69"/>
      <c r="O65" s="45"/>
      <c r="P65" s="45"/>
      <c r="Q65" s="45"/>
      <c r="R65" s="149"/>
      <c r="S65" s="149"/>
      <c r="T65" s="149"/>
      <c r="U65" s="149"/>
      <c r="V65" s="149"/>
      <c r="W65" s="149"/>
      <c r="X65" s="149"/>
    </row>
    <row r="66" spans="1:26">
      <c r="A66" s="21"/>
      <c r="B66" s="21"/>
      <c r="C66" s="19"/>
      <c r="D66" s="19"/>
      <c r="E66" s="19"/>
      <c r="F66" s="19"/>
      <c r="G66" s="19"/>
      <c r="H66" s="19"/>
      <c r="I66" s="19"/>
      <c r="M66" s="69"/>
      <c r="N66" s="69"/>
      <c r="O66" s="149"/>
      <c r="P66" s="149"/>
      <c r="Q66" s="149"/>
      <c r="R66" s="149"/>
      <c r="S66" s="149"/>
      <c r="T66" s="149"/>
      <c r="U66" s="149"/>
      <c r="V66" s="149"/>
      <c r="W66" s="149"/>
      <c r="X66" s="45"/>
      <c r="Y66" s="69"/>
    </row>
    <row r="67" spans="1:26">
      <c r="A67" s="21"/>
      <c r="B67" s="21"/>
      <c r="C67" s="19"/>
      <c r="D67" s="19"/>
      <c r="E67" s="19"/>
      <c r="F67" s="19"/>
      <c r="G67" s="19"/>
      <c r="H67" s="19"/>
      <c r="I67" s="1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>
      <c r="A68" s="21"/>
      <c r="B68" s="21"/>
      <c r="C68" s="19"/>
      <c r="D68" s="19"/>
      <c r="E68" s="19"/>
      <c r="F68" s="19"/>
      <c r="G68" s="19"/>
      <c r="H68" s="19"/>
      <c r="I68" s="1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</row>
    <row r="69" spans="1:26">
      <c r="A69" s="21"/>
      <c r="B69" s="21"/>
      <c r="C69" s="19"/>
      <c r="D69" s="19"/>
      <c r="E69" s="19"/>
      <c r="F69" s="19"/>
      <c r="G69" s="19"/>
      <c r="H69" s="19"/>
      <c r="I69" s="19"/>
      <c r="J69" s="2"/>
      <c r="K69" s="2"/>
      <c r="L69" s="2"/>
      <c r="M69" s="2"/>
      <c r="N69" s="2"/>
      <c r="O69" s="2"/>
      <c r="P69" s="2"/>
      <c r="Q69" s="2"/>
      <c r="R69" s="2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2"/>
      <c r="K70" s="2"/>
      <c r="L70" s="2"/>
      <c r="M70" s="2"/>
      <c r="N70" s="2"/>
      <c r="O70" s="2"/>
      <c r="P70" s="2"/>
      <c r="Q70" s="2"/>
      <c r="R70" s="2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2"/>
      <c r="K71" s="112"/>
      <c r="L71" s="106"/>
      <c r="M71" s="112"/>
      <c r="N71" s="112"/>
      <c r="O71" s="114"/>
      <c r="P71" s="112"/>
      <c r="Q71" s="112"/>
      <c r="R71" s="2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2"/>
      <c r="K72" s="113"/>
      <c r="L72" s="135"/>
      <c r="M72" s="106"/>
      <c r="N72" s="112"/>
      <c r="O72" s="112"/>
      <c r="P72" s="112"/>
      <c r="Q72" s="112"/>
      <c r="R72" s="2"/>
    </row>
    <row r="73" spans="1:26">
      <c r="A73" s="49"/>
      <c r="B73" s="49"/>
      <c r="C73" s="49"/>
      <c r="D73" s="49"/>
      <c r="E73" s="49"/>
      <c r="F73" s="49"/>
      <c r="G73" s="50"/>
      <c r="H73" s="50"/>
      <c r="I73" s="50"/>
      <c r="J73" s="45"/>
      <c r="K73" s="112"/>
      <c r="L73" s="135"/>
      <c r="M73" s="112"/>
      <c r="N73" s="112"/>
      <c r="O73" s="112"/>
      <c r="P73" s="112"/>
      <c r="Q73" s="112"/>
      <c r="R73" s="2"/>
    </row>
    <row r="74" spans="1:26">
      <c r="A74" s="21"/>
      <c r="B74" s="21"/>
      <c r="C74" s="21"/>
      <c r="D74" s="21"/>
      <c r="E74" s="21"/>
      <c r="F74" s="21"/>
      <c r="G74" s="50"/>
      <c r="H74" s="50"/>
      <c r="I74" s="50"/>
      <c r="J74" s="45"/>
      <c r="K74" s="113"/>
      <c r="L74" s="112"/>
      <c r="M74" s="112"/>
      <c r="N74" s="112"/>
      <c r="O74" s="112"/>
      <c r="P74" s="112"/>
      <c r="Q74" s="112"/>
      <c r="R74" s="2"/>
    </row>
    <row r="75" spans="1:26">
      <c r="A75" s="21"/>
      <c r="B75" s="21"/>
      <c r="C75" s="21"/>
      <c r="D75" s="21"/>
      <c r="E75" s="21"/>
      <c r="F75" s="21"/>
      <c r="G75" s="50"/>
      <c r="H75" s="50"/>
      <c r="I75" s="50"/>
      <c r="J75" s="50"/>
      <c r="K75" s="113"/>
      <c r="L75" s="112"/>
      <c r="M75" s="112"/>
      <c r="N75" s="112"/>
      <c r="O75" s="112"/>
      <c r="P75" s="112"/>
      <c r="Q75" s="112"/>
      <c r="R75" s="2"/>
    </row>
    <row r="76" spans="1:26">
      <c r="A76" s="50"/>
      <c r="B76" s="50"/>
      <c r="C76" s="50"/>
      <c r="D76" s="50"/>
      <c r="E76" s="50"/>
      <c r="F76" s="50"/>
      <c r="G76" s="50"/>
      <c r="H76" s="50"/>
      <c r="J76" s="45"/>
      <c r="K76" s="113"/>
      <c r="L76" s="113"/>
      <c r="M76" s="112"/>
      <c r="N76" s="112"/>
      <c r="O76" s="112"/>
      <c r="P76" s="112"/>
      <c r="Q76" s="112"/>
      <c r="R76" s="2"/>
    </row>
    <row r="77" spans="1:26">
      <c r="A77" s="50"/>
      <c r="B77" s="50"/>
      <c r="C77" s="50"/>
      <c r="D77" s="50"/>
      <c r="E77" s="50"/>
      <c r="F77" s="50"/>
      <c r="G77" s="50"/>
      <c r="H77" s="50"/>
      <c r="I77" s="50"/>
      <c r="J77" s="45"/>
      <c r="K77" s="113"/>
      <c r="L77" s="113"/>
      <c r="M77" s="112"/>
      <c r="N77" s="112"/>
      <c r="O77" s="112"/>
      <c r="P77" s="112"/>
      <c r="Q77" s="112"/>
      <c r="R77" s="2"/>
    </row>
    <row r="78" spans="1:26">
      <c r="A78" s="49"/>
      <c r="B78" s="49"/>
      <c r="C78" s="49"/>
      <c r="D78" s="49"/>
      <c r="E78" s="49"/>
      <c r="F78" s="49"/>
      <c r="G78" s="49"/>
      <c r="H78" s="49"/>
      <c r="I78" s="49"/>
      <c r="J78" s="45"/>
      <c r="K78" s="113"/>
      <c r="L78" s="113"/>
      <c r="M78" s="112"/>
      <c r="N78" s="112"/>
      <c r="O78" s="112"/>
      <c r="P78" s="112"/>
      <c r="Q78" s="112"/>
      <c r="R78" s="2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45"/>
      <c r="K79" s="113"/>
      <c r="L79" s="113"/>
      <c r="M79" s="112"/>
      <c r="N79" s="112"/>
      <c r="O79" s="112"/>
      <c r="P79" s="112"/>
      <c r="Q79" s="112"/>
      <c r="R79" s="2"/>
    </row>
    <row r="80" spans="1:26">
      <c r="A80" s="50"/>
      <c r="B80" s="50"/>
      <c r="C80" s="50"/>
      <c r="D80" s="50"/>
      <c r="E80" s="50"/>
      <c r="F80" s="50"/>
      <c r="G80" s="50"/>
      <c r="H80" s="50"/>
      <c r="I80" s="50"/>
      <c r="J80" s="45"/>
      <c r="K80" s="113"/>
      <c r="L80" s="113"/>
      <c r="M80" s="112"/>
      <c r="N80" s="112"/>
      <c r="O80" s="112"/>
      <c r="P80" s="112"/>
      <c r="Q80" s="112"/>
      <c r="R80" s="2"/>
    </row>
    <row r="81" spans="1:18">
      <c r="A81" s="50"/>
      <c r="B81" s="50"/>
      <c r="C81" s="50"/>
      <c r="D81" s="50"/>
      <c r="E81" s="50"/>
      <c r="F81" s="50"/>
      <c r="G81" s="50"/>
      <c r="H81" s="50"/>
      <c r="I81" s="50"/>
      <c r="J81" s="45"/>
      <c r="K81" s="113"/>
      <c r="L81" s="113"/>
      <c r="M81" s="112"/>
      <c r="N81" s="112"/>
      <c r="O81" s="112"/>
      <c r="P81" s="112"/>
      <c r="Q81" s="112"/>
      <c r="R81" s="2"/>
    </row>
    <row r="82" spans="1:18">
      <c r="A82" s="50"/>
      <c r="B82" s="50"/>
      <c r="C82" s="50"/>
      <c r="D82" s="50"/>
      <c r="E82" s="50"/>
      <c r="F82" s="50"/>
      <c r="G82" s="50"/>
      <c r="H82" s="50"/>
      <c r="I82" s="50"/>
      <c r="J82" s="51"/>
      <c r="K82" s="113"/>
      <c r="L82" s="113"/>
      <c r="M82" s="112"/>
      <c r="N82" s="112"/>
      <c r="O82" s="112"/>
      <c r="P82" s="112"/>
      <c r="Q82" s="112"/>
      <c r="R82" s="2"/>
    </row>
    <row r="83" spans="1:18">
      <c r="A83" s="45"/>
      <c r="B83" s="45"/>
      <c r="C83" s="45"/>
      <c r="D83" s="52"/>
      <c r="E83" s="45"/>
      <c r="F83" s="45"/>
      <c r="G83" s="45"/>
      <c r="H83" s="45"/>
      <c r="I83" s="50"/>
      <c r="J83" s="3"/>
      <c r="K83" s="113"/>
      <c r="L83" s="113"/>
      <c r="M83" s="112"/>
      <c r="N83" s="112"/>
      <c r="O83" s="112"/>
      <c r="P83" s="112"/>
      <c r="Q83" s="112"/>
      <c r="R83" s="2"/>
    </row>
    <row r="84" spans="1:18">
      <c r="A84" s="53"/>
      <c r="B84" s="53"/>
      <c r="C84" s="45"/>
      <c r="D84" s="52"/>
      <c r="E84" s="53"/>
      <c r="F84" s="45"/>
      <c r="G84" s="45"/>
      <c r="H84" s="45"/>
      <c r="I84" s="45"/>
      <c r="J84" s="3"/>
      <c r="K84" s="3"/>
      <c r="L84" s="3"/>
      <c r="M84" s="2"/>
      <c r="N84" s="2"/>
      <c r="O84" s="2"/>
      <c r="P84" s="2"/>
      <c r="Q84" s="2"/>
      <c r="R84" s="2"/>
    </row>
    <row r="85" spans="1:18">
      <c r="A85" s="53"/>
      <c r="B85" s="53"/>
      <c r="C85" s="45"/>
      <c r="D85" s="52"/>
      <c r="E85" s="53"/>
      <c r="F85" s="45"/>
      <c r="G85" s="45"/>
      <c r="H85" s="45"/>
      <c r="I85" s="45"/>
      <c r="J85" s="3"/>
      <c r="K85" s="3"/>
      <c r="L85" s="3"/>
      <c r="M85" s="2"/>
      <c r="N85" s="2"/>
      <c r="O85" s="2"/>
      <c r="P85" s="2"/>
      <c r="Q85" s="2"/>
      <c r="R85" s="2"/>
    </row>
    <row r="86" spans="1:18">
      <c r="A86" s="53"/>
      <c r="B86" s="53"/>
      <c r="C86" s="45"/>
      <c r="D86" s="52"/>
      <c r="E86" s="53"/>
      <c r="F86" s="45"/>
      <c r="G86" s="45"/>
      <c r="H86" s="45"/>
      <c r="I86" s="45"/>
      <c r="J86" s="3"/>
      <c r="K86" s="3"/>
      <c r="L86" s="3"/>
      <c r="M86" s="2"/>
      <c r="N86" s="2"/>
      <c r="O86" s="2"/>
      <c r="P86" s="2"/>
      <c r="Q86" s="2"/>
      <c r="R86" s="2"/>
    </row>
    <row r="87" spans="1:18">
      <c r="A87" s="53"/>
      <c r="B87" s="53"/>
      <c r="C87" s="45"/>
      <c r="D87" s="52"/>
      <c r="E87" s="53"/>
      <c r="F87" s="45"/>
      <c r="G87" s="45"/>
      <c r="H87" s="45"/>
      <c r="I87" s="45"/>
      <c r="J87" s="3"/>
      <c r="K87" s="3"/>
      <c r="L87" s="3"/>
      <c r="M87" s="23"/>
      <c r="N87" s="2"/>
      <c r="O87" s="2"/>
      <c r="P87" s="2"/>
      <c r="Q87" s="2"/>
      <c r="R87" s="2"/>
    </row>
    <row r="88" spans="1:18">
      <c r="A88" s="53"/>
      <c r="B88" s="53"/>
      <c r="C88" s="45"/>
      <c r="D88" s="52"/>
      <c r="E88" s="53"/>
      <c r="F88" s="45"/>
      <c r="G88" s="45"/>
      <c r="H88" s="45"/>
      <c r="I88" s="45"/>
      <c r="J88" s="3"/>
      <c r="K88" s="3"/>
      <c r="L88" s="3"/>
      <c r="M88" s="2"/>
      <c r="N88" s="2"/>
      <c r="O88" s="2"/>
      <c r="P88" s="2"/>
      <c r="Q88" s="2"/>
      <c r="R88" s="2"/>
    </row>
    <row r="89" spans="1:18">
      <c r="A89" s="53"/>
      <c r="B89" s="53"/>
      <c r="C89" s="45"/>
      <c r="D89" s="52"/>
      <c r="E89" s="53"/>
      <c r="F89" s="45"/>
      <c r="G89" s="45"/>
      <c r="H89" s="45"/>
      <c r="I89" s="45"/>
      <c r="J89" s="3"/>
      <c r="K89" s="3"/>
      <c r="L89" s="3"/>
      <c r="M89" s="2"/>
      <c r="N89" s="2"/>
      <c r="O89" s="2"/>
      <c r="P89" s="2"/>
      <c r="Q89" s="2"/>
      <c r="R89" s="2"/>
    </row>
    <row r="90" spans="1:18">
      <c r="A90" s="53"/>
      <c r="B90" s="53"/>
      <c r="C90" s="45"/>
      <c r="D90" s="52"/>
      <c r="E90" s="53"/>
      <c r="F90" s="45"/>
      <c r="G90" s="45"/>
      <c r="H90" s="45"/>
      <c r="I90" s="45"/>
      <c r="J90" s="2"/>
      <c r="K90" s="2"/>
      <c r="L90" s="2"/>
      <c r="M90" s="2"/>
      <c r="N90" s="2"/>
      <c r="O90" s="2"/>
      <c r="P90" s="2"/>
      <c r="Q90" s="2"/>
      <c r="R90" s="2"/>
    </row>
    <row r="91" spans="1:18">
      <c r="A91" s="53"/>
      <c r="B91" s="53"/>
      <c r="C91" s="45"/>
      <c r="D91" s="52"/>
      <c r="E91" s="53"/>
      <c r="F91" s="45"/>
      <c r="G91" s="45"/>
      <c r="H91" s="45"/>
      <c r="I91" s="45"/>
      <c r="J91" s="2"/>
      <c r="K91" s="2"/>
      <c r="L91" s="2"/>
      <c r="M91" s="2"/>
      <c r="N91" s="2"/>
      <c r="O91" s="2"/>
      <c r="P91" s="2"/>
      <c r="Q91" s="2"/>
      <c r="R91" s="2"/>
    </row>
    <row r="92" spans="1:18">
      <c r="A92" s="53"/>
      <c r="B92" s="53"/>
      <c r="C92" s="45"/>
      <c r="D92" s="52"/>
      <c r="E92" s="53"/>
      <c r="F92" s="45"/>
      <c r="G92" s="45"/>
      <c r="H92" s="45"/>
      <c r="I92" s="45"/>
      <c r="J92" s="2"/>
      <c r="K92" s="2"/>
      <c r="L92" s="2"/>
      <c r="M92" s="2"/>
      <c r="N92" s="2"/>
      <c r="O92" s="2"/>
      <c r="P92" s="2"/>
      <c r="Q92" s="2"/>
      <c r="R92" s="2"/>
    </row>
    <row r="93" spans="1:18">
      <c r="A93" s="53"/>
      <c r="B93" s="53"/>
      <c r="C93" s="45"/>
      <c r="D93" s="52"/>
      <c r="E93" s="53"/>
      <c r="F93" s="45"/>
      <c r="G93" s="45"/>
      <c r="H93" s="45"/>
      <c r="I93" s="45"/>
      <c r="J93" s="2"/>
      <c r="K93" s="2"/>
      <c r="L93" s="2"/>
      <c r="M93" s="2"/>
      <c r="N93" s="2"/>
      <c r="O93" s="2"/>
      <c r="P93" s="2"/>
      <c r="Q93" s="2"/>
      <c r="R93" s="2"/>
    </row>
    <row r="94" spans="1:18">
      <c r="A94" s="53"/>
      <c r="B94" s="53"/>
      <c r="C94" s="45"/>
      <c r="D94" s="52"/>
      <c r="E94" s="53"/>
      <c r="F94" s="45"/>
      <c r="G94" s="45"/>
      <c r="H94" s="45"/>
      <c r="I94" s="45"/>
      <c r="J94" s="2"/>
      <c r="K94" s="2"/>
      <c r="L94" s="2"/>
      <c r="M94" s="2"/>
      <c r="N94" s="2"/>
      <c r="O94" s="2"/>
      <c r="P94" s="2"/>
      <c r="Q94" s="2"/>
      <c r="R94" s="2"/>
    </row>
    <row r="95" spans="1:18">
      <c r="A95" s="53"/>
      <c r="B95" s="53"/>
      <c r="C95" s="45"/>
      <c r="D95" s="52"/>
      <c r="E95" s="53"/>
      <c r="F95" s="45"/>
      <c r="G95" s="45"/>
      <c r="H95" s="45"/>
      <c r="I95" s="45"/>
      <c r="J95" s="2"/>
      <c r="K95" s="2"/>
      <c r="L95" s="2"/>
      <c r="M95" s="2"/>
      <c r="N95" s="2"/>
      <c r="O95" s="2"/>
      <c r="P95" s="2"/>
      <c r="Q95" s="2"/>
      <c r="R95" s="2"/>
    </row>
    <row r="96" spans="1:18">
      <c r="A96" s="53"/>
      <c r="B96" s="53"/>
      <c r="C96" s="45"/>
      <c r="D96" s="52"/>
      <c r="E96" s="53"/>
      <c r="F96" s="45"/>
      <c r="G96" s="45"/>
      <c r="H96" s="45"/>
      <c r="I96" s="45"/>
      <c r="J96" s="2"/>
      <c r="K96" s="2"/>
      <c r="L96" s="2"/>
      <c r="M96" s="2"/>
      <c r="N96" s="2"/>
      <c r="O96" s="2"/>
      <c r="P96" s="2"/>
      <c r="Q96" s="2"/>
      <c r="R96" s="2"/>
    </row>
    <row r="97" spans="1:18">
      <c r="A97" s="53"/>
      <c r="B97" s="53"/>
      <c r="C97" s="45"/>
      <c r="D97" s="52"/>
      <c r="E97" s="53"/>
      <c r="F97" s="45"/>
      <c r="G97" s="45"/>
      <c r="H97" s="45"/>
      <c r="I97" s="45"/>
      <c r="J97" s="2"/>
      <c r="K97" s="2"/>
      <c r="L97" s="2"/>
      <c r="M97" s="2"/>
      <c r="N97" s="2"/>
      <c r="O97" s="2"/>
      <c r="P97" s="2"/>
      <c r="Q97" s="2"/>
      <c r="R97" s="2"/>
    </row>
    <row r="98" spans="1:18">
      <c r="A98" s="53"/>
      <c r="B98" s="53"/>
      <c r="C98" s="45"/>
      <c r="D98" s="52"/>
      <c r="E98" s="53"/>
      <c r="F98" s="45"/>
      <c r="G98" s="45"/>
      <c r="H98" s="45"/>
      <c r="I98" s="45"/>
      <c r="J98" s="2"/>
      <c r="K98" s="2"/>
      <c r="L98" s="2"/>
      <c r="M98" s="2"/>
      <c r="N98" s="2"/>
      <c r="O98" s="2"/>
      <c r="P98" s="2"/>
      <c r="Q98" s="2"/>
      <c r="R98" s="2"/>
    </row>
    <row r="99" spans="1:18">
      <c r="A99" s="53"/>
      <c r="B99" s="53"/>
      <c r="C99" s="45"/>
      <c r="D99" s="52"/>
      <c r="E99" s="53"/>
      <c r="F99" s="45"/>
      <c r="G99" s="45"/>
      <c r="H99" s="45"/>
      <c r="I99" s="45"/>
      <c r="J99" s="2"/>
      <c r="K99" s="2"/>
      <c r="L99" s="2"/>
      <c r="M99" s="2"/>
      <c r="N99" s="2"/>
      <c r="O99" s="2"/>
      <c r="P99" s="2"/>
      <c r="Q99" s="2"/>
      <c r="R99" s="2"/>
    </row>
    <row r="100" spans="1:18">
      <c r="A100" s="53"/>
      <c r="B100" s="53"/>
      <c r="C100" s="45"/>
      <c r="D100" s="52"/>
      <c r="E100" s="53"/>
      <c r="F100" s="45"/>
      <c r="G100" s="45"/>
      <c r="H100" s="45"/>
      <c r="I100" s="45"/>
      <c r="J100" s="2"/>
      <c r="K100" s="2"/>
      <c r="L100" s="2"/>
      <c r="M100" s="2"/>
      <c r="N100" s="2"/>
      <c r="O100" s="2"/>
      <c r="P100" s="2"/>
      <c r="Q100" s="2"/>
      <c r="R100" s="2"/>
    </row>
    <row r="101" spans="1:18">
      <c r="A101" s="53"/>
      <c r="B101" s="53"/>
      <c r="C101" s="45"/>
      <c r="D101" s="52"/>
      <c r="E101" s="53"/>
      <c r="F101" s="45"/>
      <c r="G101" s="45"/>
      <c r="H101" s="45"/>
      <c r="I101" s="45"/>
      <c r="J101" s="2"/>
      <c r="K101" s="2"/>
      <c r="L101" s="2"/>
      <c r="M101" s="2"/>
      <c r="N101" s="2"/>
      <c r="O101" s="2"/>
      <c r="P101" s="2"/>
      <c r="Q101" s="2"/>
      <c r="R101" s="2"/>
    </row>
    <row r="102" spans="1:18">
      <c r="A102" s="53"/>
      <c r="B102" s="53"/>
      <c r="C102" s="45"/>
      <c r="D102" s="52"/>
      <c r="E102" s="53"/>
      <c r="F102" s="45"/>
      <c r="G102" s="45"/>
      <c r="H102" s="45"/>
      <c r="I102" s="45"/>
      <c r="J102" s="2"/>
      <c r="K102" s="2"/>
      <c r="L102" s="2"/>
      <c r="M102" s="2"/>
      <c r="N102" s="2"/>
      <c r="O102" s="2"/>
      <c r="P102" s="2"/>
      <c r="Q102" s="2"/>
      <c r="R102" s="2"/>
    </row>
    <row r="103" spans="1:18">
      <c r="A103" s="53"/>
      <c r="B103" s="53"/>
      <c r="C103" s="45"/>
      <c r="D103" s="52"/>
      <c r="E103" s="53"/>
      <c r="F103" s="45"/>
      <c r="G103" s="45"/>
      <c r="H103" s="45"/>
      <c r="I103" s="45"/>
      <c r="J103" s="2"/>
      <c r="K103" s="2"/>
      <c r="L103" s="2"/>
      <c r="M103" s="2"/>
      <c r="N103" s="2"/>
      <c r="O103" s="2"/>
      <c r="P103" s="2"/>
      <c r="Q103" s="2"/>
      <c r="R103" s="2"/>
    </row>
    <row r="104" spans="1:18">
      <c r="A104" s="53"/>
      <c r="B104" s="53"/>
      <c r="C104" s="45"/>
      <c r="D104" s="52"/>
      <c r="E104" s="53"/>
      <c r="F104" s="45"/>
      <c r="G104" s="45"/>
      <c r="H104" s="45"/>
      <c r="I104" s="45"/>
      <c r="J104" s="2"/>
      <c r="K104" s="2"/>
      <c r="L104" s="2"/>
      <c r="M104" s="2"/>
      <c r="N104" s="2"/>
      <c r="O104" s="2"/>
      <c r="P104" s="2"/>
      <c r="Q104" s="2"/>
      <c r="R104" s="2"/>
    </row>
    <row r="105" spans="1:18">
      <c r="A105" s="53"/>
      <c r="B105" s="53"/>
      <c r="C105" s="45"/>
      <c r="D105" s="52"/>
      <c r="E105" s="53"/>
      <c r="F105" s="53"/>
      <c r="G105" s="45"/>
      <c r="H105" s="45"/>
      <c r="I105" s="45"/>
      <c r="J105" s="2"/>
      <c r="K105" s="2"/>
      <c r="L105" s="2"/>
      <c r="M105" s="2"/>
      <c r="N105" s="2"/>
      <c r="O105" s="2"/>
      <c r="P105" s="2"/>
      <c r="Q105" s="2"/>
      <c r="R105" s="2"/>
    </row>
    <row r="106" spans="1:18">
      <c r="A106" s="53"/>
      <c r="B106" s="53"/>
      <c r="C106" s="45"/>
      <c r="D106" s="52"/>
      <c r="E106" s="53"/>
      <c r="F106" s="53"/>
      <c r="G106" s="45"/>
      <c r="H106" s="45"/>
      <c r="I106" s="45"/>
      <c r="J106" s="2"/>
      <c r="K106" s="2"/>
      <c r="L106" s="2"/>
      <c r="M106" s="2"/>
      <c r="N106" s="2"/>
      <c r="O106" s="2"/>
      <c r="P106" s="2"/>
      <c r="Q106" s="2"/>
      <c r="R106" s="2"/>
    </row>
    <row r="107" spans="1:18">
      <c r="A107" s="53"/>
      <c r="B107" s="53"/>
      <c r="C107" s="45"/>
      <c r="D107" s="52"/>
      <c r="E107" s="53"/>
      <c r="F107" s="53"/>
      <c r="G107" s="45"/>
      <c r="H107" s="45"/>
      <c r="I107" s="45"/>
      <c r="J107" s="2"/>
      <c r="K107" s="2"/>
      <c r="L107" s="2"/>
      <c r="M107" s="2"/>
      <c r="N107" s="2"/>
      <c r="O107" s="2"/>
      <c r="P107" s="2"/>
      <c r="Q107" s="2"/>
      <c r="R107" s="2"/>
    </row>
    <row r="108" spans="1:18">
      <c r="A108" s="53"/>
      <c r="B108" s="53"/>
      <c r="C108" s="45"/>
      <c r="D108" s="52"/>
      <c r="E108" s="53"/>
      <c r="F108" s="53"/>
      <c r="G108" s="45"/>
      <c r="H108" s="45"/>
      <c r="I108" s="45"/>
      <c r="J108" s="2"/>
      <c r="K108" s="2"/>
      <c r="L108" s="2"/>
      <c r="M108" s="2"/>
      <c r="N108" s="2"/>
      <c r="O108" s="2"/>
      <c r="P108" s="2"/>
      <c r="Q108" s="2"/>
      <c r="R108" s="2"/>
    </row>
    <row r="109" spans="1:18">
      <c r="A109" s="53"/>
      <c r="B109" s="53"/>
      <c r="C109" s="45"/>
      <c r="D109" s="52"/>
      <c r="E109" s="53"/>
      <c r="F109" s="53"/>
      <c r="G109" s="45"/>
      <c r="H109" s="45"/>
      <c r="I109" s="45"/>
      <c r="J109" s="2"/>
      <c r="K109" s="2"/>
      <c r="L109" s="2"/>
      <c r="M109" s="2"/>
      <c r="N109" s="2"/>
      <c r="O109" s="2"/>
      <c r="P109" s="2"/>
      <c r="Q109" s="2"/>
      <c r="R109" s="2"/>
    </row>
    <row r="110" spans="1:18">
      <c r="A110" s="53"/>
      <c r="B110" s="53"/>
      <c r="C110" s="45"/>
      <c r="D110" s="52"/>
      <c r="E110" s="53"/>
      <c r="F110" s="53"/>
      <c r="G110" s="45"/>
      <c r="H110" s="45"/>
      <c r="I110" s="45"/>
      <c r="J110" s="2"/>
      <c r="K110" s="2"/>
      <c r="L110" s="2"/>
      <c r="M110" s="2"/>
      <c r="N110" s="2"/>
      <c r="O110" s="2"/>
      <c r="P110" s="2"/>
      <c r="Q110" s="2"/>
      <c r="R110" s="2"/>
    </row>
    <row r="111" spans="1:18">
      <c r="A111" s="53"/>
      <c r="B111" s="53"/>
      <c r="C111" s="45"/>
      <c r="D111" s="52"/>
      <c r="E111" s="53"/>
      <c r="F111" s="53"/>
      <c r="G111" s="45"/>
      <c r="H111" s="45"/>
      <c r="I111" s="45"/>
      <c r="J111" s="2"/>
      <c r="K111" s="2"/>
      <c r="L111" s="2"/>
      <c r="M111" s="2"/>
      <c r="N111" s="2"/>
      <c r="O111" s="2"/>
      <c r="P111" s="2"/>
      <c r="Q111" s="2"/>
      <c r="R111" s="2"/>
    </row>
    <row r="112" spans="1:18">
      <c r="A112" s="53"/>
      <c r="B112" s="53"/>
      <c r="C112" s="45"/>
      <c r="D112" s="52"/>
      <c r="E112" s="53"/>
      <c r="F112" s="53"/>
      <c r="G112" s="45"/>
      <c r="H112" s="45"/>
      <c r="I112" s="45"/>
      <c r="J112" s="2"/>
      <c r="K112" s="2"/>
      <c r="L112" s="2"/>
      <c r="M112" s="2"/>
      <c r="N112" s="2"/>
      <c r="O112" s="2"/>
      <c r="P112" s="2"/>
      <c r="Q112" s="2"/>
      <c r="R112" s="2"/>
    </row>
    <row r="113" spans="1:18">
      <c r="A113" s="53"/>
      <c r="B113" s="53"/>
      <c r="C113" s="45"/>
      <c r="D113" s="52"/>
      <c r="E113" s="53"/>
      <c r="F113" s="53"/>
      <c r="G113" s="45"/>
      <c r="H113" s="45"/>
      <c r="I113" s="45"/>
      <c r="J113" s="2"/>
      <c r="K113" s="2"/>
      <c r="L113" s="2"/>
      <c r="M113" s="2"/>
      <c r="N113" s="2"/>
      <c r="O113" s="2"/>
      <c r="P113" s="2"/>
      <c r="Q113" s="2"/>
      <c r="R113" s="2"/>
    </row>
    <row r="114" spans="1:18">
      <c r="A114" s="53"/>
      <c r="B114" s="53"/>
      <c r="C114" s="45"/>
      <c r="D114" s="52"/>
      <c r="E114" s="53"/>
      <c r="F114" s="53"/>
      <c r="G114" s="45"/>
      <c r="H114" s="45"/>
      <c r="I114" s="45"/>
      <c r="J114" s="2"/>
      <c r="K114" s="2"/>
      <c r="L114" s="2"/>
      <c r="M114" s="2"/>
      <c r="N114" s="2"/>
      <c r="O114" s="2"/>
      <c r="P114" s="2"/>
      <c r="Q114" s="2"/>
      <c r="R114" s="2"/>
    </row>
    <row r="115" spans="1:18">
      <c r="A115" s="53"/>
      <c r="B115" s="53"/>
      <c r="C115" s="45"/>
      <c r="D115" s="52"/>
      <c r="E115" s="53"/>
      <c r="F115" s="53"/>
      <c r="G115" s="45"/>
      <c r="H115" s="45"/>
      <c r="I115" s="45"/>
      <c r="J115" s="2"/>
      <c r="K115" s="2"/>
      <c r="L115" s="2"/>
      <c r="M115" s="2"/>
      <c r="N115" s="2"/>
      <c r="O115" s="2"/>
      <c r="P115" s="2"/>
      <c r="Q115" s="2"/>
      <c r="R115" s="2"/>
    </row>
    <row r="116" spans="1:18">
      <c r="A116" s="53"/>
      <c r="B116" s="53"/>
      <c r="C116" s="45"/>
      <c r="D116" s="52"/>
      <c r="E116" s="53"/>
      <c r="F116" s="53"/>
      <c r="G116" s="45"/>
      <c r="H116" s="45"/>
      <c r="I116" s="45"/>
      <c r="J116" s="2"/>
      <c r="K116" s="2"/>
      <c r="L116" s="2"/>
      <c r="M116" s="2"/>
      <c r="N116" s="2"/>
      <c r="O116" s="2"/>
      <c r="P116" s="2"/>
      <c r="Q116" s="2"/>
      <c r="R116" s="2"/>
    </row>
    <row r="117" spans="1:18">
      <c r="A117" s="53"/>
      <c r="B117" s="53"/>
      <c r="C117" s="45"/>
      <c r="D117" s="52"/>
      <c r="E117" s="53"/>
      <c r="F117" s="53"/>
      <c r="G117" s="45"/>
      <c r="H117" s="45"/>
      <c r="I117" s="45"/>
    </row>
    <row r="118" spans="1:18">
      <c r="A118" s="53"/>
      <c r="B118" s="53"/>
      <c r="C118" s="45"/>
      <c r="D118" s="52"/>
      <c r="E118" s="53"/>
      <c r="F118" s="53"/>
      <c r="G118" s="45"/>
      <c r="H118" s="45"/>
      <c r="I118" s="45"/>
    </row>
    <row r="119" spans="1:18">
      <c r="A119" s="53"/>
      <c r="B119" s="53"/>
      <c r="C119" s="45"/>
      <c r="D119" s="52"/>
      <c r="E119" s="53"/>
      <c r="F119" s="53"/>
      <c r="G119" s="45"/>
      <c r="H119" s="45"/>
      <c r="I119" s="45"/>
    </row>
    <row r="120" spans="1:18">
      <c r="A120" s="53"/>
      <c r="B120" s="53"/>
      <c r="C120" s="45"/>
      <c r="D120" s="52"/>
      <c r="E120" s="53"/>
      <c r="F120" s="53"/>
      <c r="G120" s="45"/>
      <c r="H120" s="45"/>
      <c r="I120" s="45"/>
    </row>
    <row r="121" spans="1:18">
      <c r="A121" s="53"/>
      <c r="B121" s="53"/>
      <c r="C121" s="45"/>
      <c r="D121" s="52"/>
      <c r="E121" s="53"/>
      <c r="F121" s="53"/>
      <c r="G121" s="45"/>
      <c r="H121" s="45"/>
      <c r="I121" s="45"/>
    </row>
    <row r="122" spans="1:18">
      <c r="A122" s="53"/>
      <c r="B122" s="53"/>
      <c r="C122" s="45"/>
      <c r="D122" s="52"/>
      <c r="E122" s="53"/>
      <c r="F122" s="53"/>
      <c r="G122" s="45"/>
      <c r="H122" s="45"/>
      <c r="I122" s="45"/>
    </row>
    <row r="123" spans="1:18">
      <c r="A123" s="53"/>
      <c r="B123" s="53"/>
      <c r="C123" s="45"/>
      <c r="D123" s="52"/>
      <c r="E123" s="53"/>
      <c r="F123" s="53"/>
      <c r="G123" s="45"/>
      <c r="H123" s="45"/>
      <c r="I123" s="45"/>
    </row>
    <row r="124" spans="1:18">
      <c r="A124" s="53"/>
      <c r="B124" s="53"/>
      <c r="C124" s="45"/>
      <c r="D124" s="52"/>
      <c r="E124" s="53"/>
      <c r="F124" s="53"/>
      <c r="G124" s="45"/>
      <c r="H124" s="45"/>
      <c r="I124" s="45"/>
    </row>
    <row r="125" spans="1:18">
      <c r="A125" s="53"/>
      <c r="B125" s="53"/>
      <c r="C125" s="45"/>
      <c r="D125" s="52"/>
      <c r="E125" s="53"/>
      <c r="F125" s="53"/>
      <c r="G125" s="45"/>
      <c r="H125" s="45"/>
      <c r="I125" s="45"/>
    </row>
    <row r="126" spans="1:18">
      <c r="A126" s="53"/>
      <c r="B126" s="53"/>
      <c r="C126" s="45"/>
      <c r="D126" s="52"/>
      <c r="E126" s="53"/>
      <c r="F126" s="53"/>
      <c r="G126" s="45"/>
      <c r="H126" s="45"/>
      <c r="I126" s="45"/>
    </row>
    <row r="127" spans="1:18">
      <c r="A127" s="53"/>
      <c r="B127" s="53"/>
      <c r="C127" s="45"/>
      <c r="D127" s="52"/>
      <c r="E127" s="53"/>
      <c r="F127" s="53"/>
      <c r="G127" s="45"/>
      <c r="H127" s="45"/>
      <c r="I127" s="45"/>
    </row>
    <row r="128" spans="1:18">
      <c r="A128" s="53"/>
      <c r="B128" s="53"/>
      <c r="C128" s="45"/>
      <c r="D128" s="52"/>
      <c r="E128" s="53"/>
      <c r="F128" s="53"/>
      <c r="G128" s="45"/>
      <c r="H128" s="45"/>
      <c r="I128" s="45"/>
    </row>
    <row r="129" spans="1:9">
      <c r="A129" s="53"/>
      <c r="B129" s="53"/>
      <c r="C129" s="45"/>
      <c r="D129" s="52"/>
      <c r="E129" s="53"/>
      <c r="F129" s="53"/>
      <c r="G129" s="45"/>
      <c r="H129" s="45"/>
      <c r="I129" s="45"/>
    </row>
    <row r="130" spans="1:9">
      <c r="A130" s="53"/>
      <c r="B130" s="53"/>
      <c r="C130" s="45"/>
      <c r="D130" s="52"/>
      <c r="E130" s="53"/>
      <c r="F130" s="53"/>
      <c r="G130" s="45"/>
      <c r="H130" s="45"/>
      <c r="I130" s="45"/>
    </row>
    <row r="131" spans="1:9">
      <c r="A131" s="53"/>
      <c r="B131" s="53"/>
      <c r="C131" s="45"/>
      <c r="D131" s="52"/>
      <c r="E131" s="53"/>
      <c r="F131" s="53"/>
      <c r="G131" s="45"/>
      <c r="H131" s="45"/>
      <c r="I131" s="45"/>
    </row>
    <row r="132" spans="1:9">
      <c r="A132" s="53"/>
      <c r="B132" s="53"/>
      <c r="C132" s="45"/>
      <c r="D132" s="52"/>
      <c r="E132" s="53"/>
      <c r="F132" s="53"/>
      <c r="G132" s="45"/>
      <c r="H132" s="45"/>
      <c r="I132" s="45"/>
    </row>
    <row r="133" spans="1:9">
      <c r="A133" s="54"/>
      <c r="B133" s="54"/>
      <c r="C133" s="54"/>
      <c r="D133" s="54"/>
      <c r="E133" s="54"/>
      <c r="F133" s="54"/>
      <c r="G133" s="45"/>
      <c r="H133" s="45"/>
      <c r="I133" s="45"/>
    </row>
    <row r="134" spans="1:9">
      <c r="A134" s="54"/>
      <c r="B134" s="54"/>
      <c r="C134" s="54"/>
      <c r="D134" s="54"/>
      <c r="E134" s="54"/>
      <c r="F134" s="54"/>
      <c r="G134" s="45"/>
      <c r="H134" s="45"/>
      <c r="I134" s="45"/>
    </row>
  </sheetData>
  <mergeCells count="14">
    <mergeCell ref="O38:Q38"/>
    <mergeCell ref="S38:X38"/>
    <mergeCell ref="S40:U40"/>
    <mergeCell ref="V40:X40"/>
    <mergeCell ref="B4:D4"/>
    <mergeCell ref="O9:Q9"/>
    <mergeCell ref="S9:X9"/>
    <mergeCell ref="S11:U11"/>
    <mergeCell ref="V11:X11"/>
    <mergeCell ref="A1:D1"/>
    <mergeCell ref="A2:B2"/>
    <mergeCell ref="C2:D2"/>
    <mergeCell ref="A3:D3"/>
    <mergeCell ref="K9:M9"/>
  </mergeCells>
  <phoneticPr fontId="1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E1A2-936B-444D-943B-CE17CBD47D7B}">
  <dimension ref="A1:AG145"/>
  <sheetViews>
    <sheetView topLeftCell="A14" zoomScale="85" zoomScaleNormal="70" workbookViewId="0">
      <selection activeCell="I81" sqref="I81"/>
    </sheetView>
  </sheetViews>
  <sheetFormatPr defaultColWidth="13.6640625" defaultRowHeight="14.4"/>
  <cols>
    <col min="1" max="7" width="13.6640625" style="6"/>
    <col min="8" max="12" width="19.109375" style="6" customWidth="1"/>
    <col min="13" max="20" width="16.5546875" style="9" customWidth="1"/>
    <col min="21" max="16384" width="13.6640625" style="6"/>
  </cols>
  <sheetData>
    <row r="1" spans="1:33">
      <c r="A1" s="171" t="s">
        <v>0</v>
      </c>
      <c r="B1" s="171"/>
      <c r="C1" s="171"/>
      <c r="D1" s="171"/>
      <c r="E1" s="59"/>
      <c r="F1" s="59"/>
      <c r="G1" s="5"/>
      <c r="J1" s="5"/>
      <c r="K1" s="5"/>
      <c r="L1" s="5"/>
    </row>
    <row r="2" spans="1:33">
      <c r="A2" s="171" t="s">
        <v>1</v>
      </c>
      <c r="B2" s="171"/>
      <c r="C2" s="171" t="s">
        <v>2</v>
      </c>
      <c r="D2" s="171"/>
      <c r="E2" s="59"/>
      <c r="F2" s="59"/>
      <c r="G2" s="5"/>
      <c r="I2" s="19"/>
      <c r="J2" s="2"/>
      <c r="K2" s="2"/>
      <c r="L2" s="2"/>
      <c r="M2" s="106"/>
      <c r="N2" s="106"/>
      <c r="O2" s="54"/>
      <c r="P2" s="54"/>
      <c r="Q2" s="107"/>
      <c r="R2" s="107"/>
      <c r="S2" s="107"/>
      <c r="T2" s="107"/>
      <c r="U2" s="66"/>
      <c r="V2" s="66"/>
      <c r="W2" s="66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>
      <c r="A3" s="171" t="s">
        <v>3</v>
      </c>
      <c r="B3" s="171"/>
      <c r="C3" s="171"/>
      <c r="D3" s="171"/>
      <c r="F3" s="122" t="s">
        <v>5</v>
      </c>
      <c r="G3" s="123"/>
      <c r="H3" s="5"/>
      <c r="I3" s="3"/>
      <c r="J3" s="3"/>
      <c r="K3" s="3"/>
      <c r="L3" s="3"/>
      <c r="M3" s="108"/>
      <c r="N3" s="108"/>
      <c r="O3" s="107"/>
      <c r="P3" s="107"/>
      <c r="Q3" s="107"/>
      <c r="R3" s="107"/>
      <c r="S3" s="107"/>
      <c r="T3" s="107"/>
      <c r="U3" s="66"/>
      <c r="V3" s="66"/>
      <c r="W3" s="66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>
      <c r="A4" s="67"/>
      <c r="B4" s="172" t="s">
        <v>4</v>
      </c>
      <c r="C4" s="172"/>
      <c r="D4" s="172"/>
      <c r="F4" s="124"/>
      <c r="G4" s="125"/>
      <c r="H4" s="5"/>
      <c r="I4" s="3"/>
      <c r="J4" s="3"/>
      <c r="K4" s="3"/>
      <c r="L4" s="3"/>
      <c r="M4" s="108"/>
      <c r="N4" s="108"/>
      <c r="O4" s="109"/>
      <c r="P4" s="109"/>
      <c r="Q4" s="107"/>
      <c r="R4" s="107"/>
      <c r="S4" s="107"/>
      <c r="T4" s="107"/>
      <c r="U4" s="66"/>
      <c r="V4" s="66"/>
      <c r="W4" s="66"/>
      <c r="X4" s="50"/>
      <c r="Y4" s="50"/>
      <c r="Z4" s="50"/>
      <c r="AA4" s="50"/>
      <c r="AB4" s="50"/>
      <c r="AC4" s="50"/>
      <c r="AD4" s="50"/>
      <c r="AE4" s="50"/>
      <c r="AF4" s="50"/>
      <c r="AG4" s="50"/>
    </row>
    <row r="5" spans="1:33">
      <c r="A5" s="67" t="s">
        <v>6</v>
      </c>
      <c r="B5" s="67">
        <v>2018</v>
      </c>
      <c r="C5" s="67">
        <v>2019</v>
      </c>
      <c r="D5" s="67">
        <v>2020</v>
      </c>
      <c r="F5" s="124" t="s">
        <v>7</v>
      </c>
      <c r="G5" s="125">
        <v>0.34499999999999997</v>
      </c>
      <c r="H5" s="44"/>
      <c r="I5" s="65"/>
      <c r="J5" s="65"/>
      <c r="K5" s="3"/>
      <c r="L5" s="3"/>
      <c r="M5" s="108"/>
      <c r="N5" s="108"/>
      <c r="O5" s="107"/>
      <c r="P5" s="107"/>
      <c r="Q5" s="107"/>
      <c r="R5" s="107"/>
      <c r="S5" s="107"/>
      <c r="T5" s="107"/>
      <c r="U5" s="66"/>
      <c r="V5" s="66"/>
      <c r="W5" s="66"/>
      <c r="X5" s="50"/>
      <c r="Y5" s="50"/>
      <c r="Z5" s="50"/>
      <c r="AA5" s="50"/>
      <c r="AB5" s="50"/>
      <c r="AC5" s="50"/>
      <c r="AD5" s="50"/>
      <c r="AE5" s="50"/>
      <c r="AF5" s="50"/>
      <c r="AG5" s="50"/>
    </row>
    <row r="6" spans="1:33">
      <c r="A6" s="142">
        <v>1</v>
      </c>
      <c r="B6" s="13">
        <v>302</v>
      </c>
      <c r="C6" s="13">
        <v>347</v>
      </c>
      <c r="D6" s="13">
        <v>418</v>
      </c>
      <c r="F6" s="124" t="s">
        <v>8</v>
      </c>
      <c r="G6" s="125">
        <v>36</v>
      </c>
      <c r="H6" s="44"/>
      <c r="I6" s="1"/>
      <c r="J6" s="1"/>
      <c r="K6" s="3"/>
      <c r="L6" s="3"/>
      <c r="M6" s="108"/>
      <c r="N6" s="108"/>
      <c r="O6" s="107"/>
      <c r="P6" s="107"/>
      <c r="Q6" s="107"/>
      <c r="R6" s="107"/>
      <c r="S6" s="107"/>
      <c r="T6" s="107"/>
      <c r="U6" s="66"/>
      <c r="V6" s="66"/>
      <c r="W6" s="66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1:33">
      <c r="A7" s="142">
        <v>2</v>
      </c>
      <c r="B7" s="13">
        <v>299</v>
      </c>
      <c r="C7" s="13">
        <v>364</v>
      </c>
      <c r="D7" s="13">
        <v>419</v>
      </c>
      <c r="F7" s="124" t="s">
        <v>9</v>
      </c>
      <c r="G7" s="125">
        <v>1500</v>
      </c>
      <c r="H7" s="44"/>
      <c r="I7" s="1"/>
      <c r="J7" s="1"/>
      <c r="K7" s="3"/>
      <c r="L7" s="3"/>
      <c r="M7" s="108"/>
      <c r="N7" s="108"/>
      <c r="O7" s="107"/>
      <c r="P7" s="107"/>
      <c r="Q7" s="107"/>
      <c r="R7" s="107"/>
      <c r="S7" s="107"/>
      <c r="T7" s="107"/>
      <c r="U7" s="66"/>
      <c r="V7" s="66"/>
      <c r="W7" s="66"/>
      <c r="X7" s="50"/>
      <c r="Y7" s="50"/>
      <c r="Z7" s="50"/>
      <c r="AA7" s="50"/>
      <c r="AB7" s="50"/>
      <c r="AC7" s="50"/>
      <c r="AD7" s="50"/>
      <c r="AE7" s="50"/>
      <c r="AF7" s="50"/>
      <c r="AG7" s="50"/>
    </row>
    <row r="8" spans="1:33">
      <c r="A8" s="142">
        <v>3</v>
      </c>
      <c r="B8" s="13">
        <v>313</v>
      </c>
      <c r="C8" s="13">
        <v>378</v>
      </c>
      <c r="D8" s="13">
        <v>420</v>
      </c>
      <c r="F8" s="124" t="s">
        <v>10</v>
      </c>
      <c r="G8" s="125">
        <v>1.93</v>
      </c>
      <c r="H8" s="44"/>
      <c r="I8" s="1"/>
      <c r="J8" s="1"/>
      <c r="K8" s="3"/>
      <c r="L8" s="3"/>
      <c r="M8" s="108"/>
      <c r="N8" s="108"/>
      <c r="O8" s="107"/>
      <c r="P8" s="107"/>
      <c r="Q8" s="107"/>
      <c r="R8" s="107"/>
      <c r="S8" s="107"/>
      <c r="T8" s="107"/>
      <c r="U8" s="66"/>
      <c r="V8" s="66"/>
      <c r="W8" s="66"/>
      <c r="X8" s="50"/>
      <c r="Y8" s="50"/>
      <c r="Z8" s="50"/>
      <c r="AA8" s="50"/>
      <c r="AB8" s="50"/>
      <c r="AC8" s="50"/>
      <c r="AD8" s="50"/>
      <c r="AE8" s="50"/>
      <c r="AF8" s="50"/>
      <c r="AG8" s="50"/>
    </row>
    <row r="9" spans="1:33">
      <c r="A9" s="142">
        <v>4</v>
      </c>
      <c r="B9" s="13">
        <v>329</v>
      </c>
      <c r="C9" s="13">
        <v>355</v>
      </c>
      <c r="D9" s="13">
        <v>421</v>
      </c>
      <c r="F9" s="126" t="s">
        <v>63</v>
      </c>
      <c r="G9" s="127">
        <v>4</v>
      </c>
      <c r="H9" s="44"/>
      <c r="I9" s="1"/>
      <c r="J9" s="1"/>
      <c r="K9" s="3"/>
      <c r="L9" s="3"/>
      <c r="M9" s="108"/>
      <c r="N9" s="108"/>
      <c r="O9" s="107"/>
      <c r="P9" s="107"/>
      <c r="Q9" s="107"/>
      <c r="R9" s="107"/>
      <c r="S9" s="107"/>
      <c r="T9" s="107"/>
      <c r="U9" s="66"/>
      <c r="V9" s="66"/>
      <c r="W9" s="66"/>
      <c r="X9" s="50"/>
      <c r="Y9" s="50"/>
      <c r="Z9" s="50"/>
      <c r="AA9" s="50"/>
      <c r="AB9" s="50"/>
      <c r="AC9" s="50"/>
      <c r="AD9" s="50"/>
      <c r="AE9" s="50"/>
      <c r="AF9" s="50"/>
      <c r="AG9" s="50"/>
    </row>
    <row r="10" spans="1:33">
      <c r="A10" s="142">
        <v>5</v>
      </c>
      <c r="B10" s="13">
        <v>294</v>
      </c>
      <c r="C10" s="13">
        <v>336</v>
      </c>
      <c r="D10" s="13">
        <v>427</v>
      </c>
      <c r="F10" s="5"/>
      <c r="G10" s="5"/>
      <c r="H10" s="44"/>
      <c r="I10" s="1"/>
      <c r="J10" s="1"/>
      <c r="K10" s="3"/>
      <c r="L10" s="3"/>
      <c r="M10" s="108"/>
      <c r="N10" s="108"/>
      <c r="O10" s="107"/>
      <c r="P10" s="107"/>
      <c r="Q10" s="107"/>
      <c r="R10" s="107"/>
      <c r="S10" s="107"/>
      <c r="T10" s="107"/>
      <c r="U10" s="66"/>
      <c r="V10" s="66"/>
      <c r="W10" s="66"/>
      <c r="X10" s="50"/>
      <c r="Y10" s="50"/>
      <c r="Z10" s="50"/>
      <c r="AA10" s="50"/>
      <c r="AB10" s="50"/>
      <c r="AC10" s="50"/>
      <c r="AD10" s="50"/>
      <c r="AE10" s="50"/>
      <c r="AF10" s="50"/>
      <c r="AG10" s="50"/>
    </row>
    <row r="11" spans="1:33">
      <c r="A11" s="142">
        <v>6</v>
      </c>
      <c r="B11" s="13">
        <v>306</v>
      </c>
      <c r="C11" s="13">
        <v>333</v>
      </c>
      <c r="D11" s="13">
        <v>442</v>
      </c>
      <c r="F11" s="5"/>
      <c r="G11" s="5"/>
      <c r="H11" s="44"/>
      <c r="I11" s="3"/>
      <c r="J11" s="3"/>
      <c r="K11" s="3"/>
      <c r="L11" s="3"/>
      <c r="M11" s="108"/>
      <c r="N11" s="108"/>
      <c r="O11" s="107"/>
      <c r="P11" s="107"/>
      <c r="Q11" s="107"/>
      <c r="R11" s="107"/>
      <c r="S11" s="107"/>
      <c r="T11" s="107"/>
      <c r="U11" s="66"/>
      <c r="V11" s="66"/>
      <c r="W11" s="66"/>
      <c r="X11" s="50"/>
      <c r="Y11" s="50"/>
      <c r="Z11" s="50"/>
      <c r="AA11" s="50"/>
      <c r="AB11" s="50"/>
      <c r="AC11" s="50"/>
      <c r="AD11" s="50"/>
      <c r="AE11" s="50"/>
      <c r="AF11" s="50"/>
      <c r="AG11" s="50"/>
    </row>
    <row r="12" spans="1:33">
      <c r="A12" s="142">
        <v>7</v>
      </c>
      <c r="B12" s="13">
        <v>298</v>
      </c>
      <c r="C12" s="13">
        <v>337</v>
      </c>
      <c r="D12" s="13">
        <v>403</v>
      </c>
      <c r="F12" s="57" t="s">
        <v>64</v>
      </c>
      <c r="G12" s="57"/>
      <c r="H12" s="64"/>
      <c r="I12" s="64"/>
      <c r="J12" s="64"/>
      <c r="K12" s="64"/>
      <c r="L12" s="64"/>
      <c r="M12" s="110"/>
      <c r="N12" s="110"/>
      <c r="O12" s="111"/>
      <c r="P12" s="111"/>
      <c r="Q12" s="111"/>
      <c r="R12" s="111"/>
      <c r="S12" s="111"/>
      <c r="T12" s="111"/>
      <c r="U12" s="111"/>
      <c r="V12" s="66"/>
      <c r="W12" s="66"/>
      <c r="X12" s="50"/>
      <c r="Y12" s="50"/>
      <c r="Z12" s="50"/>
      <c r="AA12" s="50"/>
      <c r="AB12" s="50"/>
      <c r="AC12" s="50"/>
      <c r="AD12" s="50"/>
      <c r="AE12" s="50"/>
      <c r="AF12" s="50"/>
      <c r="AG12" s="50"/>
    </row>
    <row r="13" spans="1:33">
      <c r="A13" s="142">
        <v>8</v>
      </c>
      <c r="B13" s="13">
        <v>303</v>
      </c>
      <c r="C13" s="13">
        <v>316</v>
      </c>
      <c r="D13" s="13">
        <v>428</v>
      </c>
      <c r="H13" s="44"/>
      <c r="I13" s="4"/>
      <c r="J13" s="4"/>
      <c r="K13" s="4"/>
      <c r="L13" s="4"/>
      <c r="T13" s="107"/>
      <c r="U13" s="66"/>
      <c r="V13" s="66"/>
      <c r="W13" s="66"/>
      <c r="X13" s="50"/>
      <c r="Y13" s="50"/>
      <c r="Z13" s="50"/>
      <c r="AA13" s="50"/>
      <c r="AB13" s="50"/>
      <c r="AC13" s="50"/>
      <c r="AD13" s="50"/>
      <c r="AE13" s="50"/>
      <c r="AF13" s="50"/>
      <c r="AG13" s="50"/>
    </row>
    <row r="14" spans="1:33">
      <c r="A14" s="142">
        <v>9</v>
      </c>
      <c r="B14" s="13">
        <v>298</v>
      </c>
      <c r="C14" s="13">
        <v>353</v>
      </c>
      <c r="D14" s="13">
        <v>397</v>
      </c>
      <c r="F14" s="128" t="s">
        <v>65</v>
      </c>
      <c r="G14" s="128" t="s">
        <v>66</v>
      </c>
      <c r="H14" s="129" t="s">
        <v>67</v>
      </c>
      <c r="I14" s="1"/>
      <c r="J14" s="1"/>
      <c r="K14" s="1"/>
      <c r="L14" s="1"/>
      <c r="T14" s="107"/>
      <c r="U14" s="66"/>
      <c r="V14" s="66"/>
      <c r="W14" s="66"/>
      <c r="X14" s="50"/>
      <c r="Y14" s="50"/>
      <c r="Z14" s="50"/>
      <c r="AA14" s="50"/>
      <c r="AB14" s="50"/>
      <c r="AC14" s="50"/>
      <c r="AD14" s="50"/>
      <c r="AE14" s="50"/>
      <c r="AF14" s="50"/>
      <c r="AG14" s="50"/>
    </row>
    <row r="15" spans="1:33">
      <c r="A15" s="142">
        <v>10</v>
      </c>
      <c r="B15" s="13">
        <v>286</v>
      </c>
      <c r="C15" s="13">
        <v>345</v>
      </c>
      <c r="D15" s="13">
        <v>432</v>
      </c>
      <c r="F15" s="60">
        <v>2018</v>
      </c>
      <c r="G15" s="60">
        <f>AVERAGE(B6:B27,B51:B55)</f>
        <v>301.37037037037038</v>
      </c>
      <c r="H15" s="60">
        <f>STDEVA(B6:B27,B51:B55)</f>
        <v>14.00590026257656</v>
      </c>
      <c r="I15" s="1"/>
      <c r="J15" s="1"/>
      <c r="K15" s="1"/>
      <c r="L15" s="1"/>
      <c r="M15" s="120" t="s">
        <v>68</v>
      </c>
      <c r="N15" s="121" t="s">
        <v>69</v>
      </c>
      <c r="O15" s="130" t="s">
        <v>70</v>
      </c>
      <c r="P15" s="130" t="s">
        <v>71</v>
      </c>
      <c r="Q15" s="120" t="s">
        <v>72</v>
      </c>
      <c r="R15" s="120" t="s">
        <v>73</v>
      </c>
      <c r="S15" s="120" t="s">
        <v>74</v>
      </c>
      <c r="T15" s="120" t="s">
        <v>75</v>
      </c>
      <c r="U15" s="120" t="s">
        <v>76</v>
      </c>
      <c r="V15" s="116"/>
      <c r="W15" s="66"/>
      <c r="X15" s="50"/>
      <c r="Y15" s="50"/>
      <c r="Z15" s="50"/>
      <c r="AA15" s="50"/>
      <c r="AB15" s="50"/>
      <c r="AC15" s="50"/>
      <c r="AD15" s="50"/>
      <c r="AE15" s="50"/>
      <c r="AF15" s="50"/>
      <c r="AG15" s="50"/>
    </row>
    <row r="16" spans="1:33">
      <c r="A16" s="142">
        <v>11</v>
      </c>
      <c r="B16" s="13">
        <v>279</v>
      </c>
      <c r="C16" s="13">
        <v>350</v>
      </c>
      <c r="D16" s="13">
        <v>398</v>
      </c>
      <c r="E16" s="58"/>
      <c r="F16" s="60">
        <v>2019</v>
      </c>
      <c r="G16" s="60">
        <f>AVERAGE(C6:C27,C51:C55)</f>
        <v>345.40740740740739</v>
      </c>
      <c r="H16" s="60">
        <f>STDEVA(C6:C27,C51:C55)</f>
        <v>15.709524938366968</v>
      </c>
      <c r="I16" s="1"/>
      <c r="J16" s="1"/>
      <c r="K16" s="1"/>
      <c r="L16" s="1"/>
      <c r="M16" s="9">
        <f>O16*(T16+U16)</f>
        <v>2739.8059059195616</v>
      </c>
      <c r="N16" s="9">
        <f>SQRT(P16*P16*(U16+T16))</f>
        <v>38.987232248438694</v>
      </c>
      <c r="O16" s="9">
        <f>G29</f>
        <v>462.02460470818914</v>
      </c>
      <c r="P16" s="9">
        <f>H19</f>
        <v>16.010137378734527</v>
      </c>
      <c r="Q16" s="112">
        <f>$G$5</f>
        <v>0.34499999999999997</v>
      </c>
      <c r="R16" s="112">
        <f>$G$6</f>
        <v>36</v>
      </c>
      <c r="S16" s="112">
        <f>$G$7</f>
        <v>1500</v>
      </c>
      <c r="T16" s="113">
        <f>$G$8</f>
        <v>1.93</v>
      </c>
      <c r="U16" s="112">
        <f>$G$9</f>
        <v>4</v>
      </c>
      <c r="V16" s="116"/>
      <c r="W16" s="66"/>
      <c r="X16" s="50"/>
      <c r="Y16" s="50"/>
      <c r="Z16" s="50"/>
      <c r="AA16" s="50"/>
      <c r="AB16" s="50"/>
      <c r="AC16" s="50"/>
      <c r="AD16" s="50"/>
      <c r="AE16" s="50"/>
      <c r="AF16" s="50"/>
      <c r="AG16" s="50"/>
    </row>
    <row r="17" spans="1:33">
      <c r="A17" s="142">
        <v>12</v>
      </c>
      <c r="B17" s="13">
        <v>309</v>
      </c>
      <c r="C17" s="13">
        <v>336</v>
      </c>
      <c r="D17" s="13">
        <v>386</v>
      </c>
      <c r="E17" s="58"/>
      <c r="F17" s="60">
        <v>2020</v>
      </c>
      <c r="G17" s="60">
        <f>AVERAGE(D6:D27,D51:D55)</f>
        <v>410.85185185185185</v>
      </c>
      <c r="H17" s="60">
        <f>STDEVA(D6:D27,D51:D55)</f>
        <v>18.314986935260052</v>
      </c>
      <c r="I17" s="3"/>
      <c r="J17" s="3"/>
      <c r="K17" s="3"/>
      <c r="L17" s="3"/>
      <c r="T17" s="117"/>
      <c r="U17" s="4"/>
      <c r="V17" s="4"/>
      <c r="W17" s="4"/>
      <c r="X17" s="50"/>
      <c r="Y17" s="50"/>
      <c r="Z17" s="50"/>
      <c r="AA17" s="50"/>
      <c r="AB17" s="50"/>
      <c r="AC17" s="50"/>
      <c r="AD17" s="50"/>
      <c r="AE17" s="50"/>
      <c r="AF17" s="50"/>
      <c r="AG17" s="50"/>
    </row>
    <row r="18" spans="1:33">
      <c r="A18" s="142">
        <v>13</v>
      </c>
      <c r="B18" s="13">
        <v>299</v>
      </c>
      <c r="C18" s="13">
        <v>320</v>
      </c>
      <c r="D18" s="13">
        <v>403</v>
      </c>
      <c r="E18" s="58"/>
      <c r="F18" s="60"/>
      <c r="G18" s="44"/>
      <c r="H18" s="61"/>
      <c r="I18" s="4"/>
      <c r="J18" s="4"/>
      <c r="K18" s="4"/>
      <c r="L18" s="4"/>
      <c r="M18" s="112" t="s">
        <v>77</v>
      </c>
      <c r="O18" s="9" t="s">
        <v>20</v>
      </c>
      <c r="P18" s="9" t="s">
        <v>78</v>
      </c>
      <c r="T18" s="116"/>
      <c r="U18" s="1"/>
      <c r="V18" s="1"/>
      <c r="W18" s="1"/>
      <c r="X18" s="50"/>
      <c r="Y18" s="50"/>
      <c r="Z18" s="50"/>
      <c r="AA18" s="50"/>
      <c r="AB18" s="50"/>
      <c r="AC18" s="50"/>
      <c r="AD18" s="50"/>
      <c r="AE18" s="50"/>
      <c r="AF18" s="50"/>
      <c r="AG18" s="50"/>
    </row>
    <row r="19" spans="1:33">
      <c r="A19" s="142">
        <v>14</v>
      </c>
      <c r="B19" s="13">
        <v>305</v>
      </c>
      <c r="C19" s="13">
        <v>346</v>
      </c>
      <c r="D19" s="13">
        <v>404</v>
      </c>
      <c r="E19" s="58"/>
      <c r="F19" s="173" t="s">
        <v>79</v>
      </c>
      <c r="G19" s="173"/>
      <c r="H19" s="45">
        <f>AVERAGE(H15:H17)</f>
        <v>16.010137378734527</v>
      </c>
      <c r="I19" s="1"/>
      <c r="J19" s="1"/>
      <c r="K19" s="1"/>
      <c r="L19" s="1"/>
      <c r="M19" s="112">
        <f>1/((2*50)/4)</f>
        <v>0.04</v>
      </c>
      <c r="O19" s="9">
        <f>ROUNDUP(SQRT(2*S16*O16/Q16),0)</f>
        <v>2005</v>
      </c>
      <c r="P19" s="9">
        <f>0.014502*N16</f>
        <v>0.56539284206685791</v>
      </c>
      <c r="T19" s="116"/>
      <c r="U19" s="1"/>
      <c r="V19" s="1"/>
      <c r="W19" s="1"/>
      <c r="X19" s="50"/>
      <c r="Y19" s="50"/>
      <c r="Z19" s="50"/>
      <c r="AA19" s="50"/>
      <c r="AB19" s="50"/>
      <c r="AC19" s="50"/>
      <c r="AD19" s="50"/>
      <c r="AE19" s="50"/>
      <c r="AF19" s="50"/>
      <c r="AG19" s="50"/>
    </row>
    <row r="20" spans="1:33">
      <c r="A20" s="142">
        <v>15</v>
      </c>
      <c r="B20" s="13">
        <v>310</v>
      </c>
      <c r="C20" s="13">
        <v>362</v>
      </c>
      <c r="D20" s="13">
        <v>385</v>
      </c>
      <c r="E20" s="58"/>
      <c r="I20" s="1"/>
      <c r="J20" s="1"/>
      <c r="K20" s="1"/>
      <c r="L20" s="1"/>
      <c r="M20" s="9" t="s">
        <v>25</v>
      </c>
      <c r="N20" s="9">
        <v>58</v>
      </c>
      <c r="T20" s="116"/>
      <c r="U20" s="66"/>
      <c r="V20" s="66"/>
      <c r="W20" s="66"/>
      <c r="X20" s="50"/>
      <c r="Y20" s="50"/>
      <c r="Z20" s="50"/>
      <c r="AA20" s="50"/>
      <c r="AB20" s="50"/>
      <c r="AC20" s="50"/>
      <c r="AD20" s="50"/>
      <c r="AE20" s="50"/>
      <c r="AF20" s="50"/>
      <c r="AG20" s="50"/>
    </row>
    <row r="21" spans="1:33">
      <c r="A21" s="142">
        <v>16</v>
      </c>
      <c r="B21" s="13">
        <v>314</v>
      </c>
      <c r="C21" s="13">
        <v>326</v>
      </c>
      <c r="D21" s="13">
        <v>404</v>
      </c>
      <c r="E21" s="58"/>
      <c r="F21" s="129" t="s">
        <v>80</v>
      </c>
      <c r="G21" s="44">
        <v>54.740740704704699</v>
      </c>
      <c r="H21" s="45"/>
      <c r="I21" s="3"/>
      <c r="J21" s="3"/>
      <c r="K21" s="3"/>
      <c r="L21" s="3"/>
      <c r="O21" s="58"/>
      <c r="P21" s="58"/>
      <c r="Q21" s="58"/>
      <c r="R21" s="58"/>
      <c r="S21" s="58"/>
      <c r="T21" s="107"/>
      <c r="U21" s="66"/>
      <c r="V21" s="66"/>
      <c r="W21" s="66"/>
      <c r="X21" s="50"/>
      <c r="Y21" s="50"/>
      <c r="Z21" s="50"/>
      <c r="AA21" s="50"/>
      <c r="AB21" s="50"/>
      <c r="AC21" s="50"/>
      <c r="AD21" s="50"/>
      <c r="AE21" s="50"/>
      <c r="AF21" s="50"/>
      <c r="AG21" s="50"/>
    </row>
    <row r="22" spans="1:33">
      <c r="A22" s="142">
        <v>17</v>
      </c>
      <c r="B22" s="13">
        <v>314</v>
      </c>
      <c r="C22" s="13">
        <v>353</v>
      </c>
      <c r="D22" s="13">
        <v>415</v>
      </c>
      <c r="E22" s="58"/>
      <c r="F22" s="129" t="s">
        <v>81</v>
      </c>
      <c r="G22" s="44">
        <v>-110169.0123595</v>
      </c>
      <c r="H22" s="45"/>
      <c r="I22" s="3"/>
      <c r="J22" s="3"/>
      <c r="K22" s="3"/>
      <c r="L22" s="3"/>
      <c r="M22" s="9" t="s">
        <v>55</v>
      </c>
      <c r="N22" s="9">
        <f>ROUNDUP((M16+(((3*N20)/100)*N16)),0)</f>
        <v>2808</v>
      </c>
      <c r="O22" s="58"/>
      <c r="P22" s="161"/>
      <c r="Q22" s="109"/>
      <c r="R22" s="109"/>
      <c r="S22" s="109"/>
      <c r="T22" s="107"/>
      <c r="U22" s="66"/>
      <c r="V22" s="66"/>
      <c r="W22" s="66"/>
      <c r="X22" s="50"/>
      <c r="Y22" s="50"/>
      <c r="Z22" s="50"/>
      <c r="AA22" s="50"/>
      <c r="AB22" s="50"/>
      <c r="AC22" s="50"/>
      <c r="AD22" s="50"/>
      <c r="AE22" s="50"/>
      <c r="AF22" s="50"/>
      <c r="AG22" s="50"/>
    </row>
    <row r="23" spans="1:33">
      <c r="A23" s="142">
        <v>18</v>
      </c>
      <c r="B23" s="13">
        <v>301</v>
      </c>
      <c r="C23" s="13">
        <v>363</v>
      </c>
      <c r="D23" s="13">
        <v>421</v>
      </c>
      <c r="E23" s="58"/>
      <c r="F23" s="60"/>
      <c r="G23" s="44"/>
      <c r="H23" s="45"/>
      <c r="I23" s="3"/>
      <c r="J23" s="3"/>
      <c r="K23" s="3"/>
      <c r="L23" s="3"/>
      <c r="M23" s="9" t="s">
        <v>82</v>
      </c>
      <c r="N23" s="9">
        <f>ROUNDUP((N22+((O16*U16)/2)-O19),0)</f>
        <v>1728</v>
      </c>
      <c r="O23" s="58"/>
      <c r="P23" s="142"/>
      <c r="Q23" s="107"/>
      <c r="R23" s="107"/>
      <c r="S23" s="107"/>
      <c r="T23" s="107"/>
      <c r="U23" s="66"/>
      <c r="V23" s="66"/>
      <c r="W23" s="66"/>
      <c r="X23" s="50"/>
      <c r="Y23" s="50"/>
      <c r="Z23" s="50"/>
      <c r="AA23" s="50"/>
      <c r="AB23" s="50"/>
      <c r="AC23" s="50"/>
      <c r="AD23" s="50"/>
      <c r="AE23" s="50"/>
      <c r="AF23" s="50"/>
      <c r="AG23" s="50"/>
    </row>
    <row r="24" spans="1:33">
      <c r="A24" s="142">
        <v>19</v>
      </c>
      <c r="B24" s="13">
        <v>292</v>
      </c>
      <c r="C24" s="13">
        <v>335</v>
      </c>
      <c r="D24" s="13">
        <v>400</v>
      </c>
      <c r="E24" s="58"/>
      <c r="F24" s="174" t="s">
        <v>83</v>
      </c>
      <c r="G24" s="174"/>
      <c r="H24" s="45"/>
      <c r="I24" s="3"/>
      <c r="J24" s="3"/>
      <c r="K24" s="3"/>
      <c r="L24" s="3"/>
      <c r="O24" s="58"/>
      <c r="P24" s="142"/>
      <c r="Q24" s="107"/>
      <c r="R24" s="107"/>
      <c r="S24" s="107"/>
      <c r="T24" s="107"/>
      <c r="U24" s="66"/>
      <c r="V24" s="66"/>
      <c r="W24" s="66"/>
      <c r="X24" s="50"/>
      <c r="Y24" s="50"/>
      <c r="Z24" s="50"/>
      <c r="AA24" s="50"/>
      <c r="AB24" s="50"/>
      <c r="AC24" s="50"/>
      <c r="AD24" s="50"/>
      <c r="AE24" s="50"/>
      <c r="AF24" s="50"/>
      <c r="AG24" s="50"/>
    </row>
    <row r="25" spans="1:33">
      <c r="A25" s="142">
        <v>20</v>
      </c>
      <c r="B25" s="13">
        <v>263</v>
      </c>
      <c r="C25" s="13">
        <v>357</v>
      </c>
      <c r="D25" s="13">
        <v>383</v>
      </c>
      <c r="E25" s="58"/>
      <c r="F25" s="133" t="s">
        <v>65</v>
      </c>
      <c r="G25" s="133" t="s">
        <v>66</v>
      </c>
      <c r="H25" s="100" t="s">
        <v>84</v>
      </c>
      <c r="I25" s="3"/>
      <c r="J25" s="3"/>
      <c r="K25" s="3"/>
      <c r="L25" s="3"/>
      <c r="M25" s="9" t="s">
        <v>85</v>
      </c>
      <c r="N25" s="132">
        <f>Q16*(N22-O16*T16-((O16*U16)/2))+R16*(1/U16)*P19 +S16*(1/U16)</f>
        <v>722.41247528500344</v>
      </c>
      <c r="O25" s="58"/>
      <c r="P25" s="58"/>
      <c r="Q25" s="107"/>
      <c r="R25" s="107"/>
      <c r="S25" s="107"/>
      <c r="T25" s="109"/>
      <c r="U25" s="4"/>
      <c r="V25" s="66"/>
      <c r="W25" s="66"/>
      <c r="X25" s="50"/>
      <c r="Y25" s="50"/>
      <c r="Z25" s="50"/>
      <c r="AA25" s="50"/>
      <c r="AB25" s="50"/>
      <c r="AC25" s="50"/>
      <c r="AD25" s="50"/>
      <c r="AE25" s="50"/>
      <c r="AF25" s="50"/>
      <c r="AG25" s="50"/>
    </row>
    <row r="26" spans="1:33">
      <c r="A26" s="142">
        <v>21</v>
      </c>
      <c r="B26" s="13">
        <v>311</v>
      </c>
      <c r="C26" s="13">
        <v>325</v>
      </c>
      <c r="D26" s="13">
        <v>369</v>
      </c>
      <c r="E26" s="58"/>
      <c r="F26" s="134">
        <v>2018</v>
      </c>
      <c r="G26" s="44">
        <f>$G$21*F26+$G$22</f>
        <v>297.80238259407633</v>
      </c>
      <c r="H26" s="100" t="s">
        <v>84</v>
      </c>
      <c r="I26" s="4"/>
      <c r="J26" s="4"/>
      <c r="K26" s="3"/>
      <c r="L26" s="3"/>
      <c r="M26" s="9" t="s">
        <v>86</v>
      </c>
      <c r="N26" s="132">
        <f>N25*28</f>
        <v>20227.549307980094</v>
      </c>
      <c r="O26" s="58"/>
      <c r="P26" s="58"/>
      <c r="Q26" s="58"/>
      <c r="R26" s="58"/>
      <c r="S26" s="58"/>
      <c r="T26" s="107"/>
      <c r="U26" s="1"/>
      <c r="V26" s="66"/>
      <c r="W26" s="66"/>
      <c r="X26" s="50"/>
      <c r="Y26" s="50"/>
      <c r="Z26" s="50"/>
      <c r="AA26" s="50"/>
      <c r="AB26" s="50"/>
      <c r="AC26" s="50"/>
      <c r="AD26" s="50"/>
      <c r="AE26" s="50"/>
      <c r="AF26" s="50"/>
      <c r="AG26" s="50"/>
    </row>
    <row r="27" spans="1:33">
      <c r="A27" s="142">
        <v>22</v>
      </c>
      <c r="B27" s="13">
        <v>305</v>
      </c>
      <c r="C27" s="13">
        <v>330</v>
      </c>
      <c r="D27" s="13">
        <v>430</v>
      </c>
      <c r="E27" s="58"/>
      <c r="F27" s="134">
        <v>2019</v>
      </c>
      <c r="G27" s="44">
        <f>$G$21*F27+$G$22</f>
        <v>352.54312329877575</v>
      </c>
      <c r="H27" s="100" t="s">
        <v>84</v>
      </c>
      <c r="I27" s="1"/>
      <c r="J27" s="1"/>
      <c r="K27" s="3"/>
      <c r="L27" s="3"/>
      <c r="M27" s="9" t="s">
        <v>87</v>
      </c>
      <c r="N27" s="9">
        <f xml:space="preserve"> ROUNDUP(P19*(O16*28/O19),0)</f>
        <v>4</v>
      </c>
      <c r="O27" s="58"/>
      <c r="P27" s="58"/>
      <c r="Q27" s="58"/>
      <c r="R27" s="58"/>
      <c r="S27" s="58"/>
      <c r="T27" s="107"/>
      <c r="U27" s="1"/>
      <c r="V27" s="66"/>
      <c r="W27" s="66"/>
      <c r="X27" s="50"/>
      <c r="Y27" s="50"/>
      <c r="Z27" s="50"/>
      <c r="AA27" s="50"/>
      <c r="AB27" s="50"/>
      <c r="AC27" s="50"/>
      <c r="AD27" s="50"/>
      <c r="AE27" s="50"/>
      <c r="AF27" s="50"/>
      <c r="AG27" s="50"/>
    </row>
    <row r="28" spans="1:33">
      <c r="A28" s="142">
        <v>23</v>
      </c>
      <c r="B28" s="16">
        <v>414</v>
      </c>
      <c r="C28" s="16">
        <v>455</v>
      </c>
      <c r="D28" s="16">
        <v>554</v>
      </c>
      <c r="E28" s="58"/>
      <c r="F28" s="134">
        <v>2020</v>
      </c>
      <c r="G28" s="44">
        <f>$G$21*F28+$G$22</f>
        <v>407.28386400348973</v>
      </c>
      <c r="H28" s="100" t="s">
        <v>84</v>
      </c>
      <c r="I28" s="1"/>
      <c r="J28" s="1"/>
      <c r="K28" s="3"/>
      <c r="L28" s="3"/>
      <c r="O28" s="58"/>
      <c r="P28" s="58"/>
      <c r="Q28" s="58"/>
      <c r="R28" s="58"/>
      <c r="S28" s="58"/>
      <c r="T28" s="107"/>
      <c r="U28" s="1"/>
      <c r="V28" s="66"/>
      <c r="W28" s="66"/>
      <c r="X28" s="50"/>
      <c r="Y28" s="50"/>
      <c r="Z28" s="50"/>
      <c r="AA28" s="50"/>
      <c r="AB28" s="50"/>
      <c r="AC28" s="50"/>
      <c r="AD28" s="50"/>
      <c r="AE28" s="50"/>
      <c r="AF28" s="50"/>
      <c r="AG28" s="50"/>
    </row>
    <row r="29" spans="1:33">
      <c r="A29" s="142">
        <v>24</v>
      </c>
      <c r="B29" s="16">
        <v>397</v>
      </c>
      <c r="C29" s="16">
        <v>445</v>
      </c>
      <c r="D29" s="16">
        <v>555</v>
      </c>
      <c r="E29" s="58"/>
      <c r="F29" s="62">
        <v>2021</v>
      </c>
      <c r="G29" s="63">
        <f>$G$21*F29+$G$22</f>
        <v>462.02460470818914</v>
      </c>
      <c r="H29" s="100" t="s">
        <v>84</v>
      </c>
      <c r="I29" s="3"/>
      <c r="J29" s="3"/>
      <c r="K29" s="3"/>
      <c r="L29" s="3"/>
      <c r="M29" s="113"/>
      <c r="N29" s="113"/>
      <c r="O29" s="112"/>
      <c r="P29" s="112"/>
      <c r="Q29" s="112"/>
      <c r="R29" s="105"/>
      <c r="S29" s="105"/>
      <c r="T29" s="54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</row>
    <row r="30" spans="1:33">
      <c r="A30" s="142">
        <v>25</v>
      </c>
      <c r="B30" s="16">
        <v>422</v>
      </c>
      <c r="C30" s="16">
        <v>499</v>
      </c>
      <c r="D30" s="16">
        <v>556</v>
      </c>
      <c r="E30" s="58"/>
      <c r="F30" s="60"/>
      <c r="G30" s="44"/>
      <c r="H30" s="100"/>
      <c r="I30"/>
      <c r="J30"/>
      <c r="K30"/>
      <c r="L30"/>
      <c r="M30" s="115"/>
      <c r="N30" s="115"/>
      <c r="O30" s="112"/>
      <c r="P30" s="112"/>
      <c r="Q30" s="112"/>
      <c r="R30" s="105"/>
      <c r="S30" s="105"/>
      <c r="T30" s="54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</row>
    <row r="31" spans="1:33">
      <c r="A31" s="142">
        <v>26</v>
      </c>
      <c r="B31" s="16">
        <v>435</v>
      </c>
      <c r="C31" s="16">
        <v>490</v>
      </c>
      <c r="D31" s="16">
        <v>557</v>
      </c>
      <c r="E31" s="58"/>
      <c r="I31" s="45"/>
      <c r="J31" s="45"/>
      <c r="K31" s="5"/>
      <c r="L31" s="5"/>
      <c r="M31" s="12"/>
      <c r="N31" s="12"/>
      <c r="O31" s="105"/>
      <c r="P31" s="105"/>
      <c r="Q31" s="105"/>
      <c r="R31" s="105"/>
      <c r="S31" s="105"/>
      <c r="T31" s="54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</row>
    <row r="32" spans="1:33">
      <c r="A32" s="142">
        <v>27</v>
      </c>
      <c r="B32" s="16">
        <v>400</v>
      </c>
      <c r="C32" s="16">
        <v>453</v>
      </c>
      <c r="D32" s="16">
        <v>558</v>
      </c>
      <c r="E32" s="58"/>
      <c r="F32" s="16" t="s">
        <v>88</v>
      </c>
      <c r="G32" s="16"/>
      <c r="H32" s="16"/>
      <c r="I32" s="16"/>
      <c r="J32" s="16"/>
      <c r="K32" s="16"/>
      <c r="L32" s="16"/>
      <c r="M32" s="104"/>
      <c r="N32" s="104"/>
      <c r="O32" s="118"/>
      <c r="P32" s="118"/>
      <c r="Q32" s="118"/>
      <c r="R32" s="118"/>
      <c r="S32" s="118"/>
      <c r="T32" s="119"/>
      <c r="U32" s="131"/>
      <c r="V32" s="54"/>
      <c r="W32" s="54"/>
      <c r="X32" s="54"/>
      <c r="Y32" s="54"/>
      <c r="Z32" s="54"/>
      <c r="AA32" s="54"/>
      <c r="AB32" s="54"/>
      <c r="AC32" s="54"/>
      <c r="AD32" s="50"/>
      <c r="AE32" s="50"/>
      <c r="AF32" s="50"/>
      <c r="AG32" s="50"/>
    </row>
    <row r="33" spans="1:33">
      <c r="A33" s="142">
        <v>28</v>
      </c>
      <c r="B33" s="16">
        <v>393</v>
      </c>
      <c r="C33" s="16">
        <v>480</v>
      </c>
      <c r="D33" s="16">
        <v>559</v>
      </c>
      <c r="E33" s="58"/>
      <c r="H33" s="56"/>
      <c r="I33" s="56"/>
      <c r="J33" s="45"/>
      <c r="K33" s="5"/>
      <c r="L33" s="5"/>
      <c r="O33" s="107"/>
      <c r="P33" s="107"/>
      <c r="Q33" s="107"/>
      <c r="R33" s="107"/>
      <c r="S33" s="107"/>
      <c r="T33" s="107"/>
      <c r="U33" s="66"/>
      <c r="V33" s="66"/>
      <c r="W33" s="66"/>
      <c r="X33" s="50"/>
      <c r="Y33" s="50"/>
      <c r="Z33" s="50"/>
      <c r="AA33" s="50"/>
      <c r="AB33" s="50"/>
      <c r="AC33" s="50"/>
      <c r="AD33" s="50"/>
      <c r="AE33" s="50"/>
      <c r="AF33" s="50"/>
      <c r="AG33" s="50"/>
    </row>
    <row r="34" spans="1:33">
      <c r="A34" s="142">
        <v>29</v>
      </c>
      <c r="B34" s="16">
        <v>419</v>
      </c>
      <c r="C34" s="16">
        <v>511</v>
      </c>
      <c r="D34" s="16">
        <v>560</v>
      </c>
      <c r="E34" s="58"/>
      <c r="F34" s="128" t="s">
        <v>65</v>
      </c>
      <c r="G34" s="128" t="s">
        <v>66</v>
      </c>
      <c r="H34" s="129" t="s">
        <v>67</v>
      </c>
      <c r="J34" s="45"/>
      <c r="K34" s="5"/>
      <c r="L34" s="5"/>
      <c r="O34" s="109"/>
      <c r="P34" s="109"/>
      <c r="Q34" s="107"/>
      <c r="R34" s="107"/>
      <c r="S34" s="107"/>
      <c r="T34" s="107"/>
      <c r="U34" s="66"/>
      <c r="V34" s="66"/>
      <c r="W34" s="66"/>
      <c r="X34" s="50"/>
      <c r="Y34" s="50"/>
      <c r="Z34" s="50"/>
      <c r="AA34" s="50"/>
      <c r="AB34" s="50"/>
      <c r="AC34" s="50"/>
      <c r="AD34" s="50"/>
      <c r="AE34" s="50"/>
      <c r="AF34" s="50"/>
      <c r="AG34" s="50"/>
    </row>
    <row r="35" spans="1:33">
      <c r="A35" s="142">
        <v>30</v>
      </c>
      <c r="B35" s="16">
        <v>396</v>
      </c>
      <c r="C35" s="16">
        <v>484</v>
      </c>
      <c r="D35" s="16">
        <v>561</v>
      </c>
      <c r="E35" s="58"/>
      <c r="F35" s="60">
        <v>2018</v>
      </c>
      <c r="G35" s="60">
        <f>AVERAGE(B28:B50)</f>
        <v>403.78260869565219</v>
      </c>
      <c r="H35" s="60">
        <f>STDEVA(B28:B50)</f>
        <v>13.273201031124641</v>
      </c>
      <c r="I35" s="45"/>
      <c r="J35" s="45"/>
      <c r="K35" s="5"/>
      <c r="L35" s="5"/>
      <c r="M35" s="130" t="s">
        <v>68</v>
      </c>
      <c r="N35" s="130" t="s">
        <v>69</v>
      </c>
      <c r="O35" s="130" t="s">
        <v>70</v>
      </c>
      <c r="P35" s="130" t="s">
        <v>71</v>
      </c>
      <c r="Q35" s="130" t="s">
        <v>72</v>
      </c>
      <c r="R35" s="130" t="s">
        <v>73</v>
      </c>
      <c r="S35" s="130" t="s">
        <v>74</v>
      </c>
      <c r="T35" s="130" t="s">
        <v>75</v>
      </c>
      <c r="U35" s="130" t="s">
        <v>76</v>
      </c>
      <c r="V35" s="66"/>
      <c r="W35" s="66"/>
      <c r="X35" s="50"/>
      <c r="Y35" s="50"/>
      <c r="Z35" s="50"/>
      <c r="AA35" s="50"/>
      <c r="AB35" s="50"/>
      <c r="AC35" s="50"/>
      <c r="AD35" s="50"/>
      <c r="AE35" s="50"/>
      <c r="AF35" s="50"/>
      <c r="AG35" s="50"/>
    </row>
    <row r="36" spans="1:33">
      <c r="A36" s="142">
        <v>31</v>
      </c>
      <c r="B36" s="16">
        <v>408</v>
      </c>
      <c r="C36" s="16">
        <v>469</v>
      </c>
      <c r="D36" s="16">
        <v>562</v>
      </c>
      <c r="E36" s="58"/>
      <c r="F36" s="60">
        <v>2019</v>
      </c>
      <c r="G36" s="60">
        <f>AVERAGE(C28:C50)</f>
        <v>476.26086956521738</v>
      </c>
      <c r="H36" s="60">
        <f>STDEVA(C28:C50)</f>
        <v>18.188951169983156</v>
      </c>
      <c r="K36" s="5"/>
      <c r="L36" s="5"/>
      <c r="M36" s="68">
        <f>O36*(T36+U36)</f>
        <v>3812.3884053383808</v>
      </c>
      <c r="N36" s="68">
        <f>SQRT(P36*P36*(U36+T36))</f>
        <v>31.043800017990552</v>
      </c>
      <c r="O36" s="68">
        <f>G49</f>
        <v>642.89855064728181</v>
      </c>
      <c r="P36" s="68">
        <f>H39</f>
        <v>12.748160728077687</v>
      </c>
      <c r="Q36" s="68">
        <f>$G$5</f>
        <v>0.34499999999999997</v>
      </c>
      <c r="R36" s="68">
        <f>$G$6</f>
        <v>36</v>
      </c>
      <c r="S36" s="68">
        <f>$G$7</f>
        <v>1500</v>
      </c>
      <c r="T36" s="68">
        <f>$G$8</f>
        <v>1.93</v>
      </c>
      <c r="U36" s="68">
        <f>$G$9</f>
        <v>4</v>
      </c>
      <c r="V36" s="66"/>
      <c r="W36" s="66"/>
      <c r="X36" s="50"/>
      <c r="Y36" s="50"/>
      <c r="Z36" s="50"/>
      <c r="AA36" s="50"/>
      <c r="AB36" s="50"/>
      <c r="AC36" s="50"/>
      <c r="AD36" s="50"/>
      <c r="AE36" s="50"/>
      <c r="AF36" s="50"/>
      <c r="AG36" s="50"/>
    </row>
    <row r="37" spans="1:33">
      <c r="A37" s="142">
        <v>32</v>
      </c>
      <c r="B37" s="16">
        <v>388</v>
      </c>
      <c r="C37" s="16">
        <v>488</v>
      </c>
      <c r="D37" s="16">
        <v>563</v>
      </c>
      <c r="E37" s="58"/>
      <c r="F37" s="60">
        <v>2020</v>
      </c>
      <c r="G37" s="60">
        <f>AVERAGE(D28:D50)</f>
        <v>565</v>
      </c>
      <c r="H37" s="60">
        <f>STDEVA(D28:D50)</f>
        <v>6.7823299831252681</v>
      </c>
      <c r="I37" s="56"/>
      <c r="J37" s="45"/>
      <c r="K37" s="5"/>
      <c r="L37" s="5"/>
      <c r="O37" s="107"/>
      <c r="P37" s="107"/>
      <c r="Q37" s="107"/>
      <c r="R37" s="107"/>
      <c r="S37" s="107"/>
      <c r="T37" s="107"/>
      <c r="U37" s="66"/>
      <c r="V37" s="66"/>
      <c r="W37" s="66"/>
      <c r="X37" s="50"/>
      <c r="Y37" s="50"/>
      <c r="Z37" s="50"/>
      <c r="AA37" s="50"/>
      <c r="AB37" s="50"/>
      <c r="AC37" s="50"/>
      <c r="AD37" s="50"/>
      <c r="AE37" s="50"/>
      <c r="AF37" s="50"/>
      <c r="AG37" s="50"/>
    </row>
    <row r="38" spans="1:33">
      <c r="A38" s="142">
        <v>33</v>
      </c>
      <c r="B38" s="16">
        <v>387</v>
      </c>
      <c r="C38" s="16">
        <v>492</v>
      </c>
      <c r="D38" s="16">
        <v>564</v>
      </c>
      <c r="E38" s="58"/>
      <c r="F38" s="60"/>
      <c r="G38" s="44"/>
      <c r="H38" s="61"/>
      <c r="I38" s="45"/>
      <c r="J38" s="45"/>
      <c r="K38" s="5"/>
      <c r="L38" s="5"/>
      <c r="M38" s="68" t="s">
        <v>77</v>
      </c>
      <c r="O38" s="68" t="s">
        <v>20</v>
      </c>
      <c r="P38" s="68" t="s">
        <v>78</v>
      </c>
      <c r="Q38" s="107"/>
      <c r="R38" s="107"/>
      <c r="S38" s="107"/>
      <c r="T38" s="107"/>
      <c r="U38" s="66"/>
      <c r="V38" s="66"/>
      <c r="W38" s="66"/>
      <c r="X38" s="50"/>
      <c r="Y38" s="50"/>
      <c r="Z38" s="50"/>
      <c r="AA38" s="50"/>
      <c r="AB38" s="50"/>
      <c r="AC38" s="50"/>
      <c r="AD38" s="50"/>
      <c r="AE38" s="50"/>
      <c r="AF38" s="50"/>
      <c r="AG38" s="50"/>
    </row>
    <row r="39" spans="1:33">
      <c r="A39" s="142">
        <v>34</v>
      </c>
      <c r="B39" s="16">
        <v>416</v>
      </c>
      <c r="C39" s="16">
        <v>461</v>
      </c>
      <c r="D39" s="16">
        <v>565</v>
      </c>
      <c r="E39" s="58"/>
      <c r="F39" s="173" t="s">
        <v>79</v>
      </c>
      <c r="G39" s="173"/>
      <c r="H39" s="69">
        <f>AVERAGE(H35:H37)</f>
        <v>12.748160728077687</v>
      </c>
      <c r="I39" s="45"/>
      <c r="J39" s="45"/>
      <c r="K39" s="5"/>
      <c r="L39" s="5"/>
      <c r="M39" s="68">
        <f>1/((2*50)/4)</f>
        <v>0.04</v>
      </c>
      <c r="O39" s="68">
        <f>ROUNDUP(SQRT(2*S36*O36/Q36),0)</f>
        <v>2365</v>
      </c>
      <c r="P39" s="68">
        <f>0.014502*N36</f>
        <v>0.45019718786089896</v>
      </c>
      <c r="Q39" s="107"/>
      <c r="R39" s="107"/>
      <c r="S39" s="107"/>
      <c r="T39" s="107"/>
      <c r="U39" s="66"/>
      <c r="V39" s="66"/>
      <c r="W39" s="66"/>
      <c r="X39" s="50"/>
      <c r="Y39" s="50"/>
      <c r="Z39" s="50"/>
      <c r="AA39" s="50"/>
      <c r="AB39" s="50"/>
      <c r="AC39" s="50"/>
      <c r="AD39" s="50"/>
      <c r="AE39" s="50"/>
      <c r="AF39" s="50"/>
      <c r="AG39" s="50"/>
    </row>
    <row r="40" spans="1:33">
      <c r="A40" s="142">
        <v>35</v>
      </c>
      <c r="B40" s="16">
        <v>401</v>
      </c>
      <c r="C40" s="16">
        <v>471</v>
      </c>
      <c r="D40" s="16">
        <v>566</v>
      </c>
      <c r="E40" s="58"/>
      <c r="I40" s="45"/>
      <c r="J40" s="45"/>
      <c r="K40" s="5"/>
      <c r="L40" s="5"/>
      <c r="M40" s="9" t="s">
        <v>25</v>
      </c>
      <c r="N40" s="9">
        <v>58</v>
      </c>
      <c r="O40" s="68"/>
      <c r="P40" s="68"/>
      <c r="Q40" s="107"/>
      <c r="R40" s="107"/>
      <c r="S40" s="107"/>
      <c r="T40" s="107"/>
      <c r="U40" s="66"/>
      <c r="V40" s="66"/>
      <c r="W40" s="66"/>
      <c r="X40" s="50"/>
      <c r="Y40" s="50"/>
      <c r="Z40" s="50"/>
      <c r="AA40" s="50"/>
      <c r="AB40" s="50"/>
      <c r="AC40" s="50"/>
      <c r="AD40" s="50"/>
      <c r="AE40" s="50"/>
      <c r="AF40" s="50"/>
      <c r="AG40" s="50"/>
    </row>
    <row r="41" spans="1:33">
      <c r="A41" s="142">
        <v>36</v>
      </c>
      <c r="B41" s="16">
        <v>394</v>
      </c>
      <c r="C41" s="16">
        <v>486</v>
      </c>
      <c r="D41" s="16">
        <v>567</v>
      </c>
      <c r="E41" s="58"/>
      <c r="F41" s="129" t="s">
        <v>80</v>
      </c>
      <c r="G41" s="44">
        <v>80.6086956523</v>
      </c>
      <c r="H41" s="45"/>
      <c r="I41" s="45"/>
      <c r="J41" s="45"/>
      <c r="K41" s="5"/>
      <c r="L41" s="5"/>
      <c r="O41" s="158"/>
      <c r="P41" s="158"/>
      <c r="Q41" s="156"/>
      <c r="R41" s="156"/>
      <c r="S41" s="156"/>
      <c r="T41" s="156"/>
      <c r="U41" s="66"/>
      <c r="V41" s="66"/>
      <c r="W41" s="66"/>
      <c r="X41" s="50"/>
      <c r="Y41" s="50"/>
      <c r="Z41" s="50"/>
      <c r="AA41" s="50"/>
      <c r="AB41" s="50"/>
      <c r="AC41" s="50"/>
      <c r="AD41" s="50"/>
      <c r="AE41" s="50"/>
      <c r="AF41" s="50"/>
      <c r="AG41" s="50"/>
    </row>
    <row r="42" spans="1:33">
      <c r="A42" s="142">
        <v>37</v>
      </c>
      <c r="B42" s="16">
        <v>409</v>
      </c>
      <c r="C42" s="16">
        <v>487</v>
      </c>
      <c r="D42" s="16">
        <v>568</v>
      </c>
      <c r="E42" s="58"/>
      <c r="F42" s="129" t="s">
        <v>81</v>
      </c>
      <c r="G42" s="44">
        <v>-162267.27536265101</v>
      </c>
      <c r="H42" s="45"/>
      <c r="I42" s="45"/>
      <c r="J42" s="45"/>
      <c r="K42" s="5"/>
      <c r="L42" s="5"/>
      <c r="M42" s="9" t="s">
        <v>55</v>
      </c>
      <c r="N42" s="9">
        <f>ROUNDUP((M36+(((3*N40)/100)*N36)),0)</f>
        <v>3867</v>
      </c>
      <c r="O42" s="158"/>
      <c r="P42" s="159"/>
      <c r="Q42" s="157"/>
      <c r="R42" s="157"/>
      <c r="S42" s="157"/>
      <c r="T42" s="157"/>
      <c r="U42" s="66"/>
      <c r="V42" s="66"/>
      <c r="W42" s="66"/>
      <c r="X42" s="50"/>
      <c r="Y42" s="50"/>
      <c r="Z42" s="50"/>
      <c r="AA42" s="50"/>
      <c r="AB42" s="50"/>
      <c r="AC42" s="50"/>
      <c r="AD42" s="50"/>
      <c r="AE42" s="50"/>
      <c r="AF42" s="50"/>
      <c r="AG42" s="50"/>
    </row>
    <row r="43" spans="1:33">
      <c r="A43" s="142">
        <v>38</v>
      </c>
      <c r="B43" s="16">
        <v>383</v>
      </c>
      <c r="C43" s="16">
        <v>490</v>
      </c>
      <c r="D43" s="16">
        <v>569</v>
      </c>
      <c r="E43" s="58"/>
      <c r="F43" s="60"/>
      <c r="G43" s="44"/>
      <c r="H43" s="45"/>
      <c r="I43" s="45"/>
      <c r="J43" s="45"/>
      <c r="K43" s="5"/>
      <c r="L43" s="5"/>
      <c r="M43" s="9" t="s">
        <v>82</v>
      </c>
      <c r="N43" s="9">
        <f>ROUNDUP((N42+((O36*U36)/2)-O39),0)</f>
        <v>2788</v>
      </c>
      <c r="O43" s="158"/>
      <c r="P43" s="158"/>
      <c r="Q43" s="156"/>
      <c r="R43" s="156"/>
      <c r="S43" s="156"/>
      <c r="T43" s="156"/>
      <c r="U43" s="66"/>
      <c r="V43" s="66"/>
      <c r="W43" s="66"/>
      <c r="X43" s="50"/>
      <c r="Y43" s="50"/>
      <c r="Z43" s="50"/>
      <c r="AA43" s="50"/>
      <c r="AB43" s="50"/>
      <c r="AC43" s="50"/>
      <c r="AD43" s="50"/>
      <c r="AE43" s="50"/>
      <c r="AF43" s="50"/>
      <c r="AG43" s="50"/>
    </row>
    <row r="44" spans="1:33">
      <c r="A44" s="142">
        <v>39</v>
      </c>
      <c r="B44" s="16">
        <v>402</v>
      </c>
      <c r="C44" s="16">
        <v>454</v>
      </c>
      <c r="D44" s="16">
        <v>570</v>
      </c>
      <c r="E44" s="58"/>
      <c r="F44" s="174" t="s">
        <v>83</v>
      </c>
      <c r="G44" s="174"/>
      <c r="H44" s="45"/>
      <c r="I44" s="45"/>
      <c r="J44" s="45"/>
      <c r="K44" s="5"/>
      <c r="L44" s="5"/>
      <c r="O44" s="158"/>
      <c r="P44" s="158"/>
      <c r="Q44" s="156"/>
      <c r="R44" s="156"/>
      <c r="S44" s="156"/>
      <c r="T44" s="156"/>
      <c r="U44" s="66"/>
      <c r="V44" s="66"/>
      <c r="W44" s="66"/>
      <c r="X44" s="50"/>
      <c r="Y44" s="50"/>
      <c r="Z44" s="50"/>
      <c r="AA44" s="50"/>
      <c r="AB44" s="50"/>
      <c r="AC44" s="50"/>
      <c r="AD44" s="50"/>
      <c r="AE44" s="50"/>
      <c r="AF44" s="50"/>
      <c r="AG44" s="50"/>
    </row>
    <row r="45" spans="1:33">
      <c r="A45" s="142">
        <v>40</v>
      </c>
      <c r="B45" s="16">
        <v>412</v>
      </c>
      <c r="C45" s="16">
        <v>473</v>
      </c>
      <c r="D45" s="16">
        <v>571</v>
      </c>
      <c r="E45" s="58"/>
      <c r="F45" s="133" t="s">
        <v>65</v>
      </c>
      <c r="G45" s="133" t="s">
        <v>66</v>
      </c>
      <c r="H45" s="83" t="s">
        <v>84</v>
      </c>
      <c r="I45" s="2"/>
      <c r="J45" s="2"/>
      <c r="K45" s="5"/>
      <c r="L45" s="5"/>
      <c r="M45" s="9" t="s">
        <v>85</v>
      </c>
      <c r="N45" s="132">
        <f>Q36*(N42-O36*T36-((O36*U36)/2))+R36*(1/U36)*P39 +S36*(1/U36)</f>
        <v>841.49277479563114</v>
      </c>
      <c r="O45" s="158"/>
      <c r="P45" s="160"/>
      <c r="Q45" s="156"/>
      <c r="R45" s="156"/>
      <c r="S45" s="156"/>
      <c r="T45" s="156"/>
      <c r="U45" s="66"/>
      <c r="V45" s="66"/>
      <c r="W45" s="66"/>
      <c r="X45" s="50"/>
      <c r="Y45" s="50"/>
      <c r="Z45" s="50"/>
      <c r="AA45" s="50"/>
      <c r="AB45" s="50"/>
      <c r="AC45" s="50"/>
      <c r="AD45" s="50"/>
      <c r="AE45" s="50"/>
      <c r="AF45" s="50"/>
      <c r="AG45" s="50"/>
    </row>
    <row r="46" spans="1:33">
      <c r="A46" s="142">
        <v>41</v>
      </c>
      <c r="B46" s="16">
        <v>402</v>
      </c>
      <c r="C46" s="16">
        <v>446</v>
      </c>
      <c r="D46" s="16">
        <v>572</v>
      </c>
      <c r="E46" s="58"/>
      <c r="F46" s="60">
        <v>2018</v>
      </c>
      <c r="G46" s="44">
        <f>$G$41*F46+$G$42</f>
        <v>401.07246369039058</v>
      </c>
      <c r="H46" s="100" t="s">
        <v>84</v>
      </c>
      <c r="I46" s="2"/>
      <c r="J46" s="2"/>
      <c r="K46" s="5"/>
      <c r="L46" s="5"/>
      <c r="M46" s="9" t="s">
        <v>89</v>
      </c>
      <c r="N46" s="132">
        <f>N45*22</f>
        <v>18512.841045503887</v>
      </c>
      <c r="O46" s="158"/>
      <c r="P46" s="158"/>
      <c r="Q46" s="156"/>
      <c r="R46" s="156"/>
      <c r="S46" s="156"/>
      <c r="T46" s="156"/>
      <c r="U46" s="66"/>
      <c r="V46" s="66"/>
      <c r="W46" s="66"/>
      <c r="X46" s="50"/>
      <c r="Y46" s="50"/>
      <c r="Z46" s="50"/>
      <c r="AA46" s="50"/>
      <c r="AB46" s="50"/>
      <c r="AC46" s="50"/>
      <c r="AD46" s="50"/>
      <c r="AE46" s="50"/>
      <c r="AF46" s="50"/>
      <c r="AG46" s="50"/>
    </row>
    <row r="47" spans="1:33">
      <c r="A47" s="142">
        <v>42</v>
      </c>
      <c r="B47" s="16">
        <v>384</v>
      </c>
      <c r="C47" s="16">
        <v>466</v>
      </c>
      <c r="D47" s="16">
        <v>573</v>
      </c>
      <c r="E47" s="58"/>
      <c r="F47" s="60">
        <v>2019</v>
      </c>
      <c r="G47" s="44">
        <f>$G$41*F47+$G$42</f>
        <v>481.68115934269736</v>
      </c>
      <c r="H47" s="100" t="s">
        <v>84</v>
      </c>
      <c r="I47" s="2"/>
      <c r="J47" s="2"/>
      <c r="K47" s="5"/>
      <c r="L47" s="5"/>
      <c r="M47" s="9" t="s">
        <v>87</v>
      </c>
      <c r="N47" s="9">
        <f>ROUNDUP(P39*(O36*22/O39),0)</f>
        <v>3</v>
      </c>
      <c r="O47" s="157"/>
      <c r="P47" s="156"/>
      <c r="Q47" s="156"/>
      <c r="R47" s="156"/>
      <c r="S47" s="156"/>
      <c r="T47" s="157"/>
      <c r="U47" s="4"/>
      <c r="V47" s="4"/>
      <c r="W47" s="4"/>
      <c r="X47" s="50"/>
      <c r="Y47" s="50"/>
      <c r="Z47" s="50"/>
      <c r="AA47" s="50"/>
      <c r="AB47" s="50"/>
      <c r="AC47" s="50"/>
      <c r="AD47" s="50"/>
      <c r="AE47" s="50"/>
      <c r="AF47" s="50"/>
      <c r="AG47" s="50"/>
    </row>
    <row r="48" spans="1:33">
      <c r="A48" s="142">
        <v>43</v>
      </c>
      <c r="B48" s="16">
        <v>401</v>
      </c>
      <c r="C48" s="16">
        <v>501</v>
      </c>
      <c r="D48" s="16">
        <v>574</v>
      </c>
      <c r="E48" s="58"/>
      <c r="F48" s="60">
        <v>2020</v>
      </c>
      <c r="G48" s="44">
        <f>$G$41*F48+$G$42</f>
        <v>562.28985499500413</v>
      </c>
      <c r="H48" s="100" t="s">
        <v>84</v>
      </c>
      <c r="I48" s="5"/>
      <c r="J48" s="5"/>
      <c r="K48" s="5"/>
      <c r="L48" s="5"/>
      <c r="O48" s="156"/>
      <c r="P48" s="156"/>
      <c r="Q48" s="156"/>
      <c r="R48" s="156"/>
      <c r="S48" s="156"/>
      <c r="T48" s="156"/>
      <c r="U48" s="1"/>
      <c r="V48" s="1"/>
      <c r="W48" s="1"/>
      <c r="X48" s="50"/>
      <c r="Y48" s="50"/>
      <c r="Z48" s="50"/>
      <c r="AA48" s="50"/>
      <c r="AB48" s="50"/>
      <c r="AC48" s="50"/>
      <c r="AD48" s="50"/>
      <c r="AE48" s="50"/>
      <c r="AF48" s="50"/>
      <c r="AG48" s="50"/>
    </row>
    <row r="49" spans="1:33">
      <c r="A49" s="142">
        <v>44</v>
      </c>
      <c r="B49" s="16">
        <v>404</v>
      </c>
      <c r="C49" s="16">
        <v>470</v>
      </c>
      <c r="D49" s="16">
        <v>575</v>
      </c>
      <c r="E49" s="58"/>
      <c r="F49" s="62">
        <v>2021</v>
      </c>
      <c r="G49" s="63">
        <f>$G$41*F49+$G$42</f>
        <v>642.89855064728181</v>
      </c>
      <c r="H49" s="100" t="s">
        <v>84</v>
      </c>
      <c r="I49" s="5"/>
      <c r="J49" s="5"/>
      <c r="K49" s="5"/>
      <c r="L49" s="5"/>
      <c r="O49" s="156"/>
      <c r="P49" s="160"/>
      <c r="Q49" s="160"/>
      <c r="R49" s="160"/>
      <c r="S49" s="160"/>
      <c r="T49" s="156"/>
      <c r="U49" s="1"/>
      <c r="V49" s="1"/>
      <c r="W49" s="1"/>
      <c r="X49" s="50"/>
      <c r="Y49" s="50"/>
      <c r="Z49" s="50"/>
      <c r="AA49" s="50"/>
      <c r="AB49" s="50"/>
      <c r="AC49" s="50"/>
      <c r="AD49" s="50"/>
      <c r="AE49" s="50"/>
      <c r="AF49" s="50"/>
      <c r="AG49" s="50"/>
    </row>
    <row r="50" spans="1:33">
      <c r="A50" s="142">
        <v>45</v>
      </c>
      <c r="B50" s="16">
        <v>420</v>
      </c>
      <c r="C50" s="16">
        <v>483</v>
      </c>
      <c r="D50" s="16">
        <v>576</v>
      </c>
      <c r="E50" s="58"/>
      <c r="F50" s="60"/>
      <c r="G50" s="44"/>
      <c r="H50" s="5"/>
      <c r="I50" s="5"/>
      <c r="J50" s="5"/>
      <c r="K50" s="5"/>
      <c r="L50" s="5"/>
      <c r="M50" s="145" t="s">
        <v>90</v>
      </c>
      <c r="N50" s="146">
        <f>N26+N46</f>
        <v>38740.390353483977</v>
      </c>
      <c r="O50" s="107"/>
      <c r="T50" s="107"/>
      <c r="U50" s="66"/>
      <c r="V50" s="66"/>
      <c r="W50" s="66"/>
      <c r="X50" s="50"/>
      <c r="Y50" s="50"/>
      <c r="Z50" s="50"/>
      <c r="AA50" s="50"/>
      <c r="AB50" s="50"/>
      <c r="AC50" s="50"/>
      <c r="AD50" s="50"/>
      <c r="AE50" s="50"/>
      <c r="AF50" s="50"/>
      <c r="AG50" s="50"/>
    </row>
    <row r="51" spans="1:33">
      <c r="A51" s="142">
        <v>46</v>
      </c>
      <c r="B51" s="13">
        <v>279</v>
      </c>
      <c r="C51" s="13">
        <v>329</v>
      </c>
      <c r="D51" s="13">
        <v>393</v>
      </c>
      <c r="E51" s="58"/>
      <c r="I51" s="5"/>
      <c r="J51" s="5"/>
      <c r="K51" s="5"/>
      <c r="L51" s="5"/>
      <c r="M51" s="145" t="s">
        <v>91</v>
      </c>
      <c r="N51" s="145">
        <f>N47+N27</f>
        <v>7</v>
      </c>
      <c r="O51" s="107"/>
      <c r="P51" s="107"/>
      <c r="Q51" s="107"/>
      <c r="R51" s="107"/>
      <c r="S51" s="107"/>
      <c r="T51" s="107"/>
      <c r="U51" s="66"/>
      <c r="V51" s="66"/>
      <c r="W51" s="66"/>
      <c r="X51" s="50"/>
      <c r="Y51" s="50"/>
      <c r="Z51" s="50"/>
      <c r="AA51" s="50"/>
      <c r="AB51" s="50"/>
      <c r="AC51" s="50"/>
      <c r="AD51" s="50"/>
      <c r="AE51" s="50"/>
      <c r="AF51" s="50"/>
      <c r="AG51" s="50"/>
    </row>
    <row r="52" spans="1:33">
      <c r="A52" s="142">
        <v>47</v>
      </c>
      <c r="B52" s="13">
        <v>301</v>
      </c>
      <c r="C52" s="13">
        <v>362</v>
      </c>
      <c r="D52" s="13">
        <v>418</v>
      </c>
      <c r="E52" s="58"/>
      <c r="F52" s="60"/>
      <c r="G52" s="44"/>
      <c r="H52" s="5"/>
      <c r="I52" s="5"/>
      <c r="J52" s="5"/>
      <c r="K52" s="5"/>
      <c r="L52" s="5"/>
      <c r="O52" s="107"/>
      <c r="P52" s="107"/>
      <c r="Q52" s="107"/>
      <c r="R52" s="107"/>
      <c r="S52" s="107"/>
      <c r="T52" s="107"/>
      <c r="U52" s="66"/>
      <c r="V52" s="66"/>
      <c r="W52" s="66"/>
      <c r="X52" s="50"/>
      <c r="Y52" s="50"/>
      <c r="Z52" s="50"/>
      <c r="AA52" s="50"/>
      <c r="AB52" s="50"/>
      <c r="AC52" s="50"/>
      <c r="AD52" s="50"/>
      <c r="AE52" s="50"/>
      <c r="AF52" s="50"/>
      <c r="AG52" s="50"/>
    </row>
    <row r="53" spans="1:33">
      <c r="A53" s="142">
        <v>48</v>
      </c>
      <c r="B53" s="13">
        <v>310</v>
      </c>
      <c r="C53" s="13">
        <v>359</v>
      </c>
      <c r="D53" s="13">
        <v>424</v>
      </c>
      <c r="E53" s="58"/>
      <c r="F53" s="136" t="s">
        <v>92</v>
      </c>
      <c r="G53" s="136"/>
      <c r="H53" s="136"/>
      <c r="I53" s="136"/>
      <c r="J53" s="136"/>
      <c r="K53" s="136"/>
      <c r="L53" s="136"/>
      <c r="M53" s="137"/>
      <c r="N53" s="137"/>
      <c r="O53" s="137"/>
      <c r="P53" s="137"/>
      <c r="Q53" s="137"/>
      <c r="R53" s="137"/>
      <c r="S53" s="137"/>
      <c r="T53" s="137"/>
      <c r="U53" s="137"/>
      <c r="V53" s="66"/>
      <c r="W53" s="66"/>
      <c r="X53" s="50"/>
      <c r="Y53" s="50"/>
      <c r="Z53" s="50"/>
      <c r="AA53" s="50"/>
      <c r="AB53" s="50"/>
      <c r="AC53" s="50"/>
      <c r="AD53" s="50"/>
      <c r="AE53" s="50"/>
      <c r="AF53" s="50"/>
      <c r="AG53" s="50"/>
    </row>
    <row r="54" spans="1:33">
      <c r="A54" s="142">
        <v>49</v>
      </c>
      <c r="B54" s="13">
        <v>292</v>
      </c>
      <c r="C54" s="13">
        <v>347</v>
      </c>
      <c r="D54" s="13">
        <v>441</v>
      </c>
      <c r="E54" s="58"/>
      <c r="F54" s="60"/>
      <c r="G54" s="44"/>
      <c r="H54" s="5"/>
      <c r="I54" s="5"/>
      <c r="J54" s="5"/>
      <c r="K54" s="5"/>
      <c r="L54" s="5"/>
      <c r="O54" s="107"/>
      <c r="P54" s="107"/>
      <c r="Q54" s="107"/>
      <c r="R54" s="107"/>
      <c r="S54" s="107"/>
      <c r="T54" s="107"/>
      <c r="U54" s="66"/>
      <c r="V54" s="66"/>
      <c r="W54" s="66"/>
      <c r="X54" s="50"/>
      <c r="Y54" s="50"/>
      <c r="Z54" s="50"/>
      <c r="AA54" s="50"/>
      <c r="AB54" s="50"/>
      <c r="AC54" s="50"/>
      <c r="AD54" s="50"/>
      <c r="AE54" s="50"/>
      <c r="AF54" s="50"/>
      <c r="AG54" s="50"/>
    </row>
    <row r="55" spans="1:33">
      <c r="A55" s="142">
        <v>50</v>
      </c>
      <c r="B55" s="13">
        <v>325</v>
      </c>
      <c r="C55" s="13">
        <v>362</v>
      </c>
      <c r="D55" s="13">
        <v>412</v>
      </c>
      <c r="E55" s="58"/>
      <c r="F55" s="133" t="s">
        <v>65</v>
      </c>
      <c r="G55" s="133" t="s">
        <v>66</v>
      </c>
      <c r="H55" s="138" t="s">
        <v>67</v>
      </c>
      <c r="I55"/>
      <c r="J55" s="69"/>
      <c r="K55" s="5"/>
      <c r="L55" s="5"/>
      <c r="O55" s="109"/>
      <c r="P55" s="109"/>
      <c r="Q55" s="68"/>
      <c r="R55" s="68"/>
      <c r="S55" s="107"/>
      <c r="T55" s="68"/>
      <c r="U55"/>
      <c r="V55" s="66"/>
      <c r="W55" s="66"/>
      <c r="X55" s="50"/>
      <c r="Y55" s="50"/>
      <c r="Z55" s="50"/>
      <c r="AA55" s="50"/>
      <c r="AB55" s="50"/>
      <c r="AC55" s="50"/>
      <c r="AD55" s="50"/>
      <c r="AE55" s="50"/>
      <c r="AF55" s="50"/>
      <c r="AG55" s="50"/>
    </row>
    <row r="56" spans="1:33">
      <c r="A56" s="9"/>
      <c r="B56" s="9"/>
      <c r="C56" s="9"/>
      <c r="D56" s="9"/>
      <c r="E56" s="58"/>
      <c r="F56" s="134">
        <v>2018</v>
      </c>
      <c r="G56" s="134">
        <f>AVERAGE(B6:B55)</f>
        <v>348.48</v>
      </c>
      <c r="H56" s="134">
        <f>STDEVA(B6:B55)</f>
        <v>53.307058153490338</v>
      </c>
      <c r="I56" s="69"/>
      <c r="J56" s="69"/>
      <c r="K56" s="5"/>
      <c r="L56" s="5"/>
      <c r="M56" s="130" t="s">
        <v>68</v>
      </c>
      <c r="N56" s="130" t="s">
        <v>69</v>
      </c>
      <c r="O56" s="130" t="s">
        <v>70</v>
      </c>
      <c r="P56" s="130" t="s">
        <v>71</v>
      </c>
      <c r="Q56" s="130" t="s">
        <v>72</v>
      </c>
      <c r="R56" s="130" t="s">
        <v>73</v>
      </c>
      <c r="S56" s="130" t="s">
        <v>74</v>
      </c>
      <c r="T56" s="130" t="s">
        <v>75</v>
      </c>
      <c r="U56" s="130" t="s">
        <v>76</v>
      </c>
      <c r="V56" s="66"/>
      <c r="W56" s="66"/>
      <c r="X56" s="50"/>
      <c r="Y56" s="50"/>
      <c r="Z56" s="50"/>
      <c r="AA56" s="50"/>
      <c r="AB56" s="50"/>
      <c r="AC56" s="50"/>
      <c r="AD56" s="50"/>
      <c r="AE56" s="50"/>
      <c r="AF56" s="50"/>
      <c r="AG56" s="50"/>
    </row>
    <row r="57" spans="1:33">
      <c r="A57" s="48"/>
      <c r="B57" s="48"/>
      <c r="C57" s="48"/>
      <c r="D57" s="48"/>
      <c r="E57" s="58"/>
      <c r="F57" s="134">
        <v>2019</v>
      </c>
      <c r="G57" s="134">
        <f>AVERAGE(C6:C55)</f>
        <v>405.6</v>
      </c>
      <c r="H57" s="134">
        <f>STDEVA(C6:C55)</f>
        <v>67.967279042257999</v>
      </c>
      <c r="I57"/>
      <c r="J57"/>
      <c r="K57" s="5"/>
      <c r="L57" s="5"/>
      <c r="M57" s="9">
        <f>O57*(T57+U57)</f>
        <v>3233.1941326534466</v>
      </c>
      <c r="N57" s="9">
        <f>SQRT(P57*P57*(U57+T57))</f>
        <v>162.46632819043316</v>
      </c>
      <c r="O57" s="68">
        <f>G70</f>
        <v>545.22666655201465</v>
      </c>
      <c r="P57" s="68">
        <f>H60</f>
        <v>66.716924586293771</v>
      </c>
      <c r="Q57" s="68">
        <f>$G$5</f>
        <v>0.34499999999999997</v>
      </c>
      <c r="R57" s="68">
        <f>$G$6</f>
        <v>36</v>
      </c>
      <c r="S57" s="68">
        <f>$G$7</f>
        <v>1500</v>
      </c>
      <c r="T57" s="68">
        <f>$G$8</f>
        <v>1.93</v>
      </c>
      <c r="U57" s="68">
        <f>$G$9</f>
        <v>4</v>
      </c>
      <c r="V57" s="66"/>
      <c r="W57" s="66"/>
      <c r="X57" s="50"/>
      <c r="Y57" s="50"/>
      <c r="Z57" s="50"/>
      <c r="AA57" s="50"/>
      <c r="AB57" s="50"/>
      <c r="AC57" s="50"/>
      <c r="AD57" s="50"/>
      <c r="AE57" s="50"/>
      <c r="AF57" s="50"/>
      <c r="AG57" s="50"/>
    </row>
    <row r="58" spans="1:33">
      <c r="A58" s="3"/>
      <c r="B58"/>
      <c r="F58" s="134">
        <v>2020</v>
      </c>
      <c r="G58" s="134">
        <f>AVERAGE(D6:D55)</f>
        <v>481.76</v>
      </c>
      <c r="H58" s="134">
        <f>STDEVA(D6:D55)</f>
        <v>78.876436563132984</v>
      </c>
      <c r="I58" s="69"/>
      <c r="J58" s="69"/>
      <c r="K58" s="5"/>
      <c r="L58" s="5"/>
      <c r="O58" s="107"/>
      <c r="P58" s="107"/>
      <c r="Q58" s="107"/>
      <c r="R58" s="107"/>
      <c r="S58" s="107"/>
      <c r="T58" s="107"/>
      <c r="U58"/>
      <c r="V58" s="66"/>
      <c r="W58" s="66"/>
      <c r="X58" s="50"/>
      <c r="Y58" s="50"/>
      <c r="Z58" s="50"/>
      <c r="AA58" s="50"/>
      <c r="AB58" s="50"/>
      <c r="AC58" s="50"/>
      <c r="AD58" s="50"/>
      <c r="AE58" s="50"/>
      <c r="AF58" s="50"/>
      <c r="AG58" s="50"/>
    </row>
    <row r="59" spans="1:33">
      <c r="A59" s="3"/>
      <c r="B59" s="3"/>
      <c r="F59" s="134"/>
      <c r="G59" s="69"/>
      <c r="H59" s="139"/>
      <c r="I59" s="69"/>
      <c r="J59" s="69"/>
      <c r="K59" s="5"/>
      <c r="L59" s="5"/>
      <c r="M59" s="68" t="s">
        <v>77</v>
      </c>
      <c r="O59" s="68" t="s">
        <v>20</v>
      </c>
      <c r="P59" s="68" t="s">
        <v>78</v>
      </c>
      <c r="Q59" s="68"/>
      <c r="R59" s="68"/>
      <c r="S59" s="68"/>
      <c r="T59" s="68"/>
      <c r="U59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</row>
    <row r="60" spans="1:33">
      <c r="A60" s="65"/>
      <c r="B60" s="65"/>
      <c r="C60" s="3"/>
      <c r="D60" s="3"/>
      <c r="E60" s="3"/>
      <c r="F60" s="173" t="s">
        <v>79</v>
      </c>
      <c r="G60" s="173"/>
      <c r="H60" s="69">
        <f>AVERAGE(H56:H58)</f>
        <v>66.716924586293771</v>
      </c>
      <c r="I60" s="69"/>
      <c r="J60" s="69"/>
      <c r="K60" s="5"/>
      <c r="L60" s="5"/>
      <c r="M60" s="68">
        <f>1/((2*50)/4)</f>
        <v>0.04</v>
      </c>
      <c r="O60" s="68">
        <f>ROUNDUP(SQRT(2*S57*O57/Q57),0)</f>
        <v>2178</v>
      </c>
      <c r="P60" s="68">
        <f>0.014502*N57</f>
        <v>2.3560866914176617</v>
      </c>
      <c r="Q60" s="68"/>
      <c r="R60" s="68"/>
      <c r="S60" s="68"/>
      <c r="T60" s="68"/>
      <c r="U6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</row>
    <row r="61" spans="1:33">
      <c r="A61" s="1"/>
      <c r="B61" s="1"/>
      <c r="C61" s="3"/>
      <c r="D61" s="3"/>
      <c r="E61" s="3"/>
      <c r="F61"/>
      <c r="G61"/>
      <c r="H61"/>
      <c r="I61" s="69"/>
      <c r="J61" s="69"/>
      <c r="K61" s="5"/>
      <c r="L61" s="5"/>
      <c r="M61" s="9" t="s">
        <v>25</v>
      </c>
      <c r="N61" s="9">
        <v>58</v>
      </c>
      <c r="O61" s="68"/>
      <c r="P61" s="68"/>
      <c r="Q61" s="68"/>
      <c r="R61" s="68"/>
      <c r="S61" s="68"/>
      <c r="T61" s="68"/>
      <c r="U61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</row>
    <row r="62" spans="1:33">
      <c r="A62" s="1"/>
      <c r="B62" s="1"/>
      <c r="C62" s="3"/>
      <c r="D62" s="3"/>
      <c r="E62" s="3"/>
      <c r="F62" s="138" t="s">
        <v>80</v>
      </c>
      <c r="G62" s="69">
        <v>66.64</v>
      </c>
      <c r="H62" s="69"/>
      <c r="I62" s="69"/>
      <c r="J62" s="69"/>
      <c r="K62" s="5"/>
      <c r="L62" s="5"/>
      <c r="O62" s="68"/>
      <c r="P62" s="68"/>
      <c r="Q62" s="68"/>
      <c r="R62" s="68"/>
      <c r="S62" s="68"/>
      <c r="T62" s="68"/>
      <c r="U62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</row>
    <row r="63" spans="1:33">
      <c r="A63" s="1"/>
      <c r="B63" s="1"/>
      <c r="C63" s="3"/>
      <c r="D63" s="3"/>
      <c r="E63" s="3"/>
      <c r="F63" s="138" t="s">
        <v>81</v>
      </c>
      <c r="G63" s="69">
        <v>-134134.21333344799</v>
      </c>
      <c r="H63" s="69"/>
      <c r="I63" s="69"/>
      <c r="J63" s="69"/>
      <c r="K63" s="5"/>
      <c r="L63" s="5"/>
      <c r="M63" s="9" t="s">
        <v>55</v>
      </c>
      <c r="N63" s="9">
        <f>ROUNDUP((M57+(((3*N61)/100)*N57)),0)</f>
        <v>3516</v>
      </c>
      <c r="O63" s="68"/>
      <c r="P63" s="68"/>
      <c r="Q63" s="140"/>
      <c r="R63" s="140"/>
      <c r="S63" s="140"/>
      <c r="T63" s="140"/>
      <c r="U63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</row>
    <row r="64" spans="1:33">
      <c r="A64" s="1"/>
      <c r="B64" s="1"/>
      <c r="C64" s="3"/>
      <c r="D64" s="3"/>
      <c r="E64" s="3"/>
      <c r="F64" s="134"/>
      <c r="G64" s="69"/>
      <c r="H64" s="69"/>
      <c r="I64" s="69"/>
      <c r="J64" s="69"/>
      <c r="K64" s="5"/>
      <c r="L64" s="5"/>
      <c r="M64" s="9" t="s">
        <v>82</v>
      </c>
      <c r="N64" s="9">
        <f>ROUNDUP((N63+((O57*U57)/2)-O60),0)</f>
        <v>2429</v>
      </c>
      <c r="O64" s="68"/>
      <c r="P64" s="68"/>
      <c r="Q64" s="68"/>
      <c r="R64" s="68"/>
      <c r="S64" s="68"/>
      <c r="T64" s="68"/>
      <c r="U64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</row>
    <row r="65" spans="1:33">
      <c r="A65" s="1"/>
      <c r="B65" s="1"/>
      <c r="C65" s="3"/>
      <c r="D65" s="3"/>
      <c r="E65" s="3"/>
      <c r="F65" s="174" t="s">
        <v>83</v>
      </c>
      <c r="G65" s="174"/>
      <c r="H65" s="69"/>
      <c r="I65" s="69"/>
      <c r="J65" s="69"/>
      <c r="K65" s="5"/>
      <c r="L65" s="5"/>
      <c r="O65" s="68"/>
      <c r="P65" s="68"/>
      <c r="Q65" s="68"/>
      <c r="R65" s="68"/>
      <c r="S65" s="68"/>
      <c r="T65" s="68"/>
      <c r="U65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</row>
    <row r="66" spans="1:33">
      <c r="A66" s="3"/>
      <c r="B66" s="3"/>
      <c r="C66" s="3"/>
      <c r="D66" s="3"/>
      <c r="E66" s="3"/>
      <c r="F66" s="133" t="s">
        <v>65</v>
      </c>
      <c r="G66" s="133" t="s">
        <v>66</v>
      </c>
      <c r="H66" s="100" t="s">
        <v>84</v>
      </c>
      <c r="I66" s="69"/>
      <c r="J66" s="69"/>
      <c r="K66" s="5"/>
      <c r="L66" s="5"/>
      <c r="M66" s="9" t="s">
        <v>85</v>
      </c>
      <c r="N66" s="132">
        <f>Q57*(N63-O57*T57-((O57*U57)/2))+R57*(1/U57)*P60 +S57*(1/U57)</f>
        <v>869.97920437820983</v>
      </c>
      <c r="O66" s="68"/>
      <c r="P66" s="68"/>
      <c r="Q66" s="68"/>
      <c r="R66" s="68"/>
      <c r="S66" s="68"/>
      <c r="T66" s="68"/>
      <c r="U66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</row>
    <row r="67" spans="1:33">
      <c r="A67" s="3"/>
      <c r="B67" s="3"/>
      <c r="C67" s="3"/>
      <c r="D67" s="3"/>
      <c r="E67" s="3"/>
      <c r="F67" s="134">
        <v>2018</v>
      </c>
      <c r="G67" s="69">
        <f>$G$62*F67+$G$63</f>
        <v>345.30666655200184</v>
      </c>
      <c r="H67" s="100" t="s">
        <v>84</v>
      </c>
      <c r="I67" s="69"/>
      <c r="J67" s="69"/>
      <c r="K67" s="5"/>
      <c r="L67" s="5"/>
      <c r="M67" s="145" t="s">
        <v>93</v>
      </c>
      <c r="N67" s="146">
        <f>N66*50</f>
        <v>43498.960218910492</v>
      </c>
      <c r="O67" s="68"/>
      <c r="P67" s="68"/>
      <c r="Q67" s="68"/>
      <c r="R67" s="68"/>
      <c r="S67" s="68"/>
      <c r="T67" s="68"/>
      <c r="U67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</row>
    <row r="68" spans="1:33">
      <c r="A68" s="4"/>
      <c r="B68" s="4"/>
      <c r="C68" s="4"/>
      <c r="D68" s="4"/>
      <c r="E68" s="4"/>
      <c r="F68" s="134">
        <v>2019</v>
      </c>
      <c r="G68" s="69">
        <f>$G$62*F68+$G$63</f>
        <v>411.94666655201581</v>
      </c>
      <c r="H68" s="100" t="s">
        <v>84</v>
      </c>
      <c r="I68" s="69"/>
      <c r="J68" s="69"/>
      <c r="K68" s="5"/>
      <c r="L68" s="5"/>
      <c r="M68" s="145" t="s">
        <v>91</v>
      </c>
      <c r="N68" s="145">
        <f>ROUNDUP(P60*(O57*50/O60),0)</f>
        <v>30</v>
      </c>
      <c r="O68" s="140"/>
      <c r="P68" s="140"/>
      <c r="Q68" s="140"/>
      <c r="R68" s="140"/>
      <c r="S68" s="140"/>
      <c r="T68" s="140"/>
      <c r="U68" s="103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</row>
    <row r="69" spans="1:33">
      <c r="A69" s="1"/>
      <c r="B69" s="1"/>
      <c r="C69" s="1"/>
      <c r="D69" s="1"/>
      <c r="E69" s="1"/>
      <c r="F69" s="134">
        <v>2020</v>
      </c>
      <c r="G69" s="69">
        <f>$G$62*F69+$G$63</f>
        <v>478.58666655200068</v>
      </c>
      <c r="H69" s="100" t="s">
        <v>84</v>
      </c>
      <c r="I69" s="69"/>
      <c r="J69" s="5"/>
      <c r="K69" s="5"/>
      <c r="L69" s="5"/>
      <c r="O69" s="68"/>
      <c r="P69" s="68"/>
      <c r="Q69" s="68"/>
      <c r="R69" s="68"/>
      <c r="S69" s="68"/>
      <c r="T69" s="68"/>
      <c r="U69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</row>
    <row r="70" spans="1:33">
      <c r="A70" s="1"/>
      <c r="B70" s="1"/>
      <c r="C70" s="1"/>
      <c r="D70" s="1"/>
      <c r="E70" s="1"/>
      <c r="F70" s="141">
        <v>2021</v>
      </c>
      <c r="G70" s="141">
        <f>$G$62*F70+$G$63</f>
        <v>545.22666655201465</v>
      </c>
      <c r="H70" s="100" t="s">
        <v>84</v>
      </c>
      <c r="I70" s="69"/>
      <c r="J70" s="5"/>
      <c r="K70" s="5"/>
      <c r="L70" s="5"/>
      <c r="O70" s="68"/>
      <c r="P70" s="68"/>
      <c r="Q70" s="68"/>
      <c r="R70" s="68"/>
      <c r="S70" s="68"/>
      <c r="T70" s="68"/>
      <c r="U7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</row>
    <row r="71" spans="1:33">
      <c r="A71" s="1"/>
      <c r="B71" s="1"/>
      <c r="C71" s="1"/>
      <c r="D71" s="1"/>
      <c r="E71" s="1"/>
      <c r="F71" s="134"/>
      <c r="G71" s="69"/>
      <c r="H71" s="69"/>
      <c r="I71" s="69"/>
      <c r="J71" s="5"/>
      <c r="K71" s="5"/>
      <c r="L71" s="5"/>
      <c r="N71" s="132"/>
      <c r="O71" s="68"/>
      <c r="P71" s="68"/>
      <c r="Q71" s="68"/>
      <c r="R71" s="68"/>
      <c r="S71" s="68"/>
      <c r="T71" s="68"/>
      <c r="U71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</row>
    <row r="72" spans="1:33">
      <c r="A72" s="3"/>
      <c r="B72" s="3"/>
      <c r="C72" s="3"/>
      <c r="D72" s="3"/>
      <c r="E72" s="3"/>
      <c r="F72"/>
      <c r="G72"/>
      <c r="H72"/>
      <c r="I72" s="69"/>
      <c r="J72" s="5"/>
      <c r="K72" s="5"/>
      <c r="L72" s="5"/>
      <c r="O72" s="68"/>
      <c r="P72" s="68"/>
      <c r="Q72" s="68"/>
      <c r="R72" s="68"/>
      <c r="S72" s="68"/>
      <c r="T72" s="68"/>
      <c r="U72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</row>
    <row r="73" spans="1:33">
      <c r="A73" s="4"/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O73" s="54"/>
      <c r="P73" s="54"/>
      <c r="Q73" s="54"/>
      <c r="R73" s="54"/>
      <c r="S73" s="54"/>
      <c r="T73" s="54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5"/>
      <c r="K74" s="5"/>
      <c r="L74" s="5"/>
      <c r="O74" s="54"/>
      <c r="P74" s="54"/>
      <c r="Q74" s="54"/>
      <c r="R74" s="54"/>
      <c r="S74" s="54"/>
      <c r="T74" s="54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5"/>
      <c r="K75" s="5"/>
      <c r="L75" s="5"/>
      <c r="O75" s="54"/>
      <c r="P75" s="54"/>
      <c r="Q75" s="54"/>
      <c r="R75" s="54"/>
      <c r="S75" s="54"/>
      <c r="T75" s="54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</row>
    <row r="76" spans="1:33">
      <c r="A76" s="3"/>
      <c r="B76" s="3"/>
      <c r="C76" s="3"/>
      <c r="D76" s="3"/>
      <c r="E76" s="3"/>
      <c r="F76" s="3"/>
      <c r="G76" s="3"/>
      <c r="H76" s="3"/>
      <c r="I76" s="3"/>
      <c r="J76" s="5"/>
      <c r="K76" s="5"/>
      <c r="L76" s="5"/>
      <c r="O76" s="54"/>
      <c r="P76" s="54"/>
      <c r="Q76" s="54"/>
      <c r="R76" s="54"/>
      <c r="S76" s="54"/>
      <c r="T76" s="54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</row>
    <row r="77" spans="1:33">
      <c r="A77" s="3"/>
      <c r="B77" s="3"/>
      <c r="C77" s="3"/>
      <c r="D77" s="3"/>
      <c r="E77" s="3"/>
      <c r="F77" s="3"/>
      <c r="G77" s="3"/>
      <c r="H77" s="3"/>
      <c r="I77" s="3"/>
      <c r="J77" s="5"/>
      <c r="K77" s="5"/>
      <c r="L77" s="5"/>
      <c r="O77" s="54"/>
      <c r="P77" s="54"/>
      <c r="Q77" s="54"/>
      <c r="R77" s="54"/>
      <c r="S77" s="54"/>
      <c r="T77" s="54"/>
      <c r="U77" s="50"/>
      <c r="V77" s="50"/>
      <c r="W77" s="50"/>
      <c r="X77" s="50"/>
      <c r="Y77" s="50"/>
      <c r="Z77" s="50"/>
      <c r="AA77" s="50"/>
      <c r="AB77" s="50"/>
      <c r="AC77" s="50"/>
      <c r="AD77" s="50"/>
      <c r="AE77" s="50"/>
      <c r="AF77" s="50"/>
      <c r="AG77" s="50"/>
    </row>
    <row r="78" spans="1:33">
      <c r="A78" s="3"/>
      <c r="B78" s="3"/>
      <c r="C78" s="3"/>
      <c r="D78" s="3"/>
      <c r="E78" s="3"/>
      <c r="F78" s="3"/>
      <c r="O78" s="54"/>
      <c r="P78" s="54"/>
      <c r="Q78" s="54"/>
      <c r="R78" s="54"/>
      <c r="S78" s="54"/>
      <c r="T78" s="54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</row>
    <row r="79" spans="1:33">
      <c r="A79" s="3"/>
      <c r="B79" s="3"/>
      <c r="C79" s="3"/>
      <c r="D79" s="3"/>
      <c r="E79" s="3"/>
      <c r="F79" s="3"/>
      <c r="O79" s="54"/>
      <c r="P79" s="54"/>
      <c r="Q79" s="54"/>
      <c r="R79" s="54"/>
      <c r="S79" s="54"/>
      <c r="T79" s="54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</row>
    <row r="80" spans="1:33">
      <c r="A80" s="3"/>
      <c r="B80" s="3"/>
      <c r="C80" s="3"/>
      <c r="D80" s="3"/>
      <c r="E80" s="3"/>
      <c r="F80" s="3"/>
      <c r="O80" s="54"/>
      <c r="P80" s="54"/>
      <c r="Q80" s="54"/>
      <c r="R80" s="54"/>
      <c r="S80" s="54"/>
      <c r="T80" s="54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</row>
    <row r="81" spans="1:33">
      <c r="A81" s="3"/>
      <c r="B81" s="3"/>
      <c r="C81" s="3"/>
      <c r="D81" s="3"/>
      <c r="E81" s="3"/>
      <c r="F81" s="3"/>
      <c r="O81" s="54"/>
      <c r="P81" s="54"/>
      <c r="Q81" s="54"/>
      <c r="R81" s="54"/>
      <c r="S81" s="54"/>
      <c r="T81" s="54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</row>
    <row r="82" spans="1:33">
      <c r="A82" s="3"/>
      <c r="B82" s="3"/>
      <c r="C82" s="3"/>
      <c r="D82" s="3"/>
      <c r="E82" s="3"/>
      <c r="F82" s="3"/>
      <c r="O82" s="54"/>
      <c r="P82" s="54"/>
      <c r="Q82" s="54"/>
      <c r="R82" s="54"/>
      <c r="S82" s="54"/>
      <c r="T82" s="54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</row>
    <row r="83" spans="1:33">
      <c r="A83" s="3"/>
      <c r="B83" s="3"/>
      <c r="C83" s="3"/>
      <c r="D83" s="3"/>
      <c r="E83" s="3"/>
      <c r="F83" s="3"/>
      <c r="O83" s="54"/>
      <c r="P83" s="54"/>
      <c r="Q83" s="54"/>
      <c r="R83" s="54"/>
      <c r="S83" s="54"/>
      <c r="T83" s="54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</row>
    <row r="84" spans="1:33">
      <c r="A84" s="3"/>
      <c r="B84" s="3"/>
      <c r="C84" s="3"/>
      <c r="D84" s="3"/>
      <c r="E84" s="3"/>
      <c r="F84" s="3"/>
      <c r="O84" s="54"/>
      <c r="P84" s="54"/>
      <c r="Q84" s="54"/>
      <c r="R84" s="54"/>
      <c r="S84" s="54"/>
      <c r="T84" s="54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</row>
    <row r="85" spans="1:33">
      <c r="A85" s="26"/>
      <c r="B85" s="26"/>
      <c r="C85" s="5"/>
      <c r="D85" s="25"/>
      <c r="E85" s="26"/>
      <c r="F85" s="5"/>
      <c r="O85" s="54"/>
      <c r="P85" s="54"/>
      <c r="Q85" s="54"/>
      <c r="R85" s="54"/>
      <c r="S85" s="54"/>
      <c r="T85" s="54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</row>
    <row r="86" spans="1:33">
      <c r="A86" s="26"/>
      <c r="B86" s="26"/>
      <c r="C86" s="5"/>
      <c r="D86" s="25"/>
      <c r="E86" s="26"/>
      <c r="F86" s="5"/>
      <c r="O86" s="54"/>
      <c r="P86" s="54"/>
      <c r="Q86" s="54"/>
      <c r="R86" s="54"/>
      <c r="S86" s="54"/>
      <c r="T86" s="54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</row>
    <row r="87" spans="1:33">
      <c r="A87" s="26"/>
      <c r="B87" s="26"/>
      <c r="C87" s="5"/>
      <c r="D87" s="25"/>
      <c r="E87" s="26"/>
      <c r="F87" s="5"/>
      <c r="O87" s="54"/>
      <c r="P87" s="54"/>
      <c r="Q87" s="54"/>
      <c r="R87" s="54"/>
      <c r="S87" s="54"/>
      <c r="T87" s="54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</row>
    <row r="88" spans="1:33">
      <c r="A88" s="26"/>
      <c r="B88" s="26"/>
      <c r="C88" s="5"/>
      <c r="D88" s="25"/>
      <c r="E88" s="26"/>
      <c r="F88" s="5"/>
      <c r="O88" s="54"/>
      <c r="P88" s="54"/>
      <c r="Q88" s="54"/>
      <c r="R88" s="54"/>
      <c r="S88" s="54"/>
      <c r="T88" s="54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</row>
    <row r="89" spans="1:33">
      <c r="A89" s="26"/>
      <c r="B89" s="26"/>
      <c r="C89" s="5"/>
      <c r="D89" s="25"/>
      <c r="E89" s="26"/>
      <c r="F89" s="5"/>
      <c r="O89" s="54"/>
      <c r="P89" s="54"/>
      <c r="Q89" s="54"/>
      <c r="R89" s="54"/>
      <c r="S89" s="54"/>
      <c r="T89" s="54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</row>
    <row r="90" spans="1:33">
      <c r="A90" s="26"/>
      <c r="B90" s="26"/>
      <c r="C90" s="5"/>
      <c r="D90" s="25"/>
      <c r="E90" s="26"/>
      <c r="F90" s="5"/>
      <c r="O90" s="54"/>
      <c r="P90" s="54"/>
      <c r="Q90" s="54"/>
      <c r="R90" s="54"/>
      <c r="S90" s="54"/>
      <c r="T90" s="54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</row>
    <row r="91" spans="1:33">
      <c r="A91" s="26"/>
      <c r="B91" s="26"/>
      <c r="C91" s="5"/>
      <c r="D91" s="25"/>
      <c r="E91" s="26"/>
      <c r="F91" s="5"/>
      <c r="O91" s="54"/>
      <c r="P91" s="54"/>
      <c r="Q91" s="54"/>
      <c r="R91" s="54"/>
      <c r="S91" s="54"/>
      <c r="T91" s="54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</row>
    <row r="92" spans="1:33">
      <c r="A92" s="26"/>
      <c r="B92" s="26"/>
      <c r="C92" s="5"/>
      <c r="D92" s="25"/>
      <c r="E92" s="26"/>
      <c r="F92" s="5"/>
      <c r="O92" s="54"/>
      <c r="P92" s="54"/>
      <c r="Q92" s="54"/>
      <c r="R92" s="54"/>
      <c r="S92" s="54"/>
      <c r="T92" s="54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</row>
    <row r="93" spans="1:33">
      <c r="A93" s="26"/>
      <c r="B93" s="26"/>
      <c r="C93" s="5"/>
      <c r="D93" s="25"/>
      <c r="E93" s="26"/>
      <c r="F93" s="5"/>
      <c r="O93" s="54"/>
      <c r="P93" s="54"/>
      <c r="Q93" s="54"/>
      <c r="R93" s="54"/>
      <c r="S93" s="54"/>
      <c r="T93" s="54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</row>
    <row r="94" spans="1:33">
      <c r="A94" s="26"/>
      <c r="B94" s="26"/>
      <c r="C94" s="5"/>
      <c r="D94" s="25"/>
      <c r="E94" s="26"/>
      <c r="F94" s="5"/>
      <c r="O94" s="54"/>
      <c r="P94" s="54"/>
      <c r="Q94" s="54"/>
      <c r="R94" s="54"/>
      <c r="S94" s="54"/>
      <c r="T94" s="54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</row>
    <row r="95" spans="1:33">
      <c r="A95" s="26"/>
      <c r="B95" s="26"/>
      <c r="C95" s="5"/>
      <c r="D95" s="25"/>
      <c r="E95" s="26"/>
      <c r="F95" s="5"/>
      <c r="O95" s="54"/>
      <c r="P95" s="54"/>
      <c r="Q95" s="54"/>
      <c r="R95" s="54"/>
      <c r="S95" s="54"/>
      <c r="T95" s="54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</row>
    <row r="96" spans="1:33">
      <c r="A96" s="26"/>
      <c r="B96" s="26"/>
      <c r="C96" s="5"/>
      <c r="D96" s="25"/>
      <c r="E96" s="26"/>
      <c r="F96" s="5"/>
      <c r="O96" s="54"/>
      <c r="P96" s="54"/>
      <c r="Q96" s="54"/>
      <c r="R96" s="54"/>
      <c r="S96" s="54"/>
      <c r="T96" s="54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</row>
    <row r="97" spans="1:33">
      <c r="A97" s="26"/>
      <c r="B97" s="26"/>
      <c r="C97" s="5"/>
      <c r="D97" s="25"/>
      <c r="E97" s="26"/>
      <c r="F97" s="5"/>
      <c r="O97" s="54"/>
      <c r="P97" s="54"/>
      <c r="Q97" s="54"/>
      <c r="R97" s="54"/>
      <c r="S97" s="54"/>
      <c r="T97" s="54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</row>
    <row r="98" spans="1:33">
      <c r="A98" s="26"/>
      <c r="B98" s="26"/>
      <c r="C98" s="5"/>
      <c r="D98" s="25"/>
      <c r="E98" s="26"/>
      <c r="F98" s="5"/>
      <c r="O98" s="54"/>
      <c r="P98" s="54"/>
      <c r="Q98" s="54"/>
      <c r="R98" s="54"/>
      <c r="S98" s="54"/>
      <c r="T98" s="54"/>
      <c r="U98" s="50"/>
      <c r="V98" s="50"/>
      <c r="W98" s="50"/>
      <c r="X98" s="50"/>
      <c r="Y98" s="50"/>
      <c r="Z98" s="50"/>
      <c r="AA98" s="50"/>
      <c r="AB98" s="50"/>
      <c r="AC98" s="50"/>
      <c r="AD98" s="50"/>
      <c r="AE98" s="50"/>
      <c r="AF98" s="50"/>
      <c r="AG98" s="50"/>
    </row>
    <row r="99" spans="1:33">
      <c r="A99" s="26"/>
      <c r="B99" s="26"/>
      <c r="C99" s="5"/>
      <c r="D99" s="25"/>
      <c r="E99" s="26"/>
      <c r="F99" s="5"/>
      <c r="O99" s="54"/>
      <c r="P99" s="54"/>
      <c r="Q99" s="54"/>
      <c r="R99" s="54"/>
      <c r="S99" s="54"/>
      <c r="T99" s="54"/>
      <c r="U99" s="50"/>
      <c r="V99" s="50"/>
      <c r="W99" s="50"/>
      <c r="X99" s="50"/>
      <c r="Y99" s="50"/>
      <c r="Z99" s="50"/>
      <c r="AA99" s="50"/>
      <c r="AB99" s="50"/>
      <c r="AC99" s="50"/>
      <c r="AD99" s="50"/>
      <c r="AE99" s="50"/>
      <c r="AF99" s="50"/>
      <c r="AG99" s="50"/>
    </row>
    <row r="100" spans="1:33">
      <c r="A100" s="26"/>
      <c r="B100" s="26"/>
      <c r="C100" s="5"/>
      <c r="D100" s="25"/>
      <c r="E100" s="26"/>
      <c r="F100" s="5"/>
      <c r="O100" s="54"/>
      <c r="P100" s="54"/>
      <c r="Q100" s="54"/>
      <c r="R100" s="54"/>
      <c r="S100" s="54"/>
      <c r="T100" s="54"/>
      <c r="U100" s="50"/>
      <c r="V100" s="50"/>
      <c r="W100" s="50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</row>
    <row r="101" spans="1:33">
      <c r="A101" s="26"/>
      <c r="B101" s="26"/>
      <c r="C101" s="5"/>
      <c r="D101" s="25"/>
      <c r="E101" s="26"/>
      <c r="F101" s="5"/>
      <c r="O101" s="54"/>
      <c r="P101" s="54"/>
      <c r="Q101" s="54"/>
      <c r="R101" s="54"/>
      <c r="S101" s="54"/>
      <c r="T101" s="54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</row>
    <row r="102" spans="1:33">
      <c r="A102" s="26"/>
      <c r="B102" s="26"/>
      <c r="C102" s="5"/>
      <c r="D102" s="25"/>
      <c r="E102" s="26"/>
      <c r="F102" s="5"/>
      <c r="O102" s="54"/>
      <c r="P102" s="54"/>
      <c r="Q102" s="54"/>
      <c r="R102" s="54"/>
      <c r="S102" s="54"/>
      <c r="T102" s="54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  <c r="AG102" s="50"/>
    </row>
    <row r="103" spans="1:33">
      <c r="A103" s="26"/>
      <c r="B103" s="26"/>
      <c r="C103" s="5"/>
      <c r="D103" s="25"/>
      <c r="E103" s="26"/>
      <c r="F103" s="5"/>
      <c r="O103" s="54"/>
      <c r="P103" s="54"/>
      <c r="Q103" s="54"/>
      <c r="R103" s="54"/>
      <c r="S103" s="54"/>
      <c r="T103" s="54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</row>
    <row r="104" spans="1:33">
      <c r="A104" s="26"/>
      <c r="B104" s="26"/>
      <c r="C104" s="5"/>
      <c r="D104" s="25"/>
      <c r="E104" s="26"/>
      <c r="F104" s="5"/>
      <c r="O104" s="54"/>
      <c r="P104" s="54"/>
      <c r="Q104" s="54"/>
      <c r="R104" s="54"/>
      <c r="S104" s="54"/>
      <c r="T104" s="54"/>
      <c r="U104" s="50"/>
      <c r="V104" s="50"/>
      <c r="W104" s="50"/>
      <c r="X104" s="50"/>
      <c r="Y104" s="50"/>
      <c r="Z104" s="50"/>
      <c r="AA104" s="50"/>
      <c r="AB104" s="50"/>
      <c r="AC104" s="50"/>
      <c r="AD104" s="50"/>
      <c r="AE104" s="50"/>
      <c r="AF104" s="50"/>
      <c r="AG104" s="50"/>
    </row>
    <row r="105" spans="1:33">
      <c r="A105" s="26"/>
      <c r="B105" s="26"/>
      <c r="C105" s="5"/>
      <c r="D105" s="25"/>
      <c r="E105" s="26"/>
      <c r="F105" s="26"/>
      <c r="O105" s="54"/>
      <c r="P105" s="54"/>
      <c r="Q105" s="54"/>
      <c r="R105" s="54"/>
      <c r="S105" s="54"/>
      <c r="T105" s="54"/>
      <c r="U105" s="50"/>
      <c r="V105" s="50"/>
      <c r="W105" s="50"/>
      <c r="X105" s="50"/>
      <c r="Y105" s="50"/>
      <c r="Z105" s="50"/>
      <c r="AA105" s="50"/>
      <c r="AB105" s="50"/>
      <c r="AC105" s="50"/>
      <c r="AD105" s="50"/>
      <c r="AE105" s="50"/>
      <c r="AF105" s="50"/>
      <c r="AG105" s="50"/>
    </row>
    <row r="106" spans="1:33">
      <c r="A106" s="26"/>
      <c r="B106" s="26"/>
      <c r="C106" s="5"/>
      <c r="D106" s="25"/>
      <c r="E106" s="26"/>
      <c r="F106" s="26"/>
      <c r="O106" s="54"/>
      <c r="P106" s="54"/>
      <c r="Q106" s="54"/>
      <c r="R106" s="54"/>
      <c r="S106" s="54"/>
      <c r="T106" s="54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</row>
    <row r="107" spans="1:33">
      <c r="A107" s="26"/>
      <c r="B107" s="26"/>
      <c r="C107" s="5"/>
      <c r="D107" s="25"/>
      <c r="E107" s="26"/>
      <c r="F107" s="26"/>
      <c r="O107" s="54"/>
      <c r="P107" s="54"/>
      <c r="Q107" s="54"/>
      <c r="R107" s="54"/>
      <c r="S107" s="54"/>
      <c r="T107" s="54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</row>
    <row r="108" spans="1:33">
      <c r="A108" s="26"/>
      <c r="B108" s="26"/>
      <c r="C108" s="5"/>
      <c r="D108" s="25"/>
      <c r="E108" s="26"/>
      <c r="F108" s="26"/>
      <c r="O108" s="54"/>
      <c r="P108" s="54"/>
      <c r="Q108" s="54"/>
      <c r="R108" s="54"/>
      <c r="S108" s="54"/>
      <c r="T108" s="54"/>
      <c r="U108" s="50"/>
      <c r="V108" s="50"/>
      <c r="W108" s="50"/>
      <c r="X108" s="50"/>
      <c r="Y108" s="50"/>
      <c r="Z108" s="50"/>
      <c r="AA108" s="50"/>
      <c r="AB108" s="50"/>
      <c r="AC108" s="50"/>
      <c r="AD108" s="50"/>
      <c r="AE108" s="50"/>
      <c r="AF108" s="50"/>
      <c r="AG108" s="50"/>
    </row>
    <row r="109" spans="1:33">
      <c r="A109" s="26"/>
      <c r="B109" s="26"/>
      <c r="C109" s="5"/>
      <c r="D109" s="25"/>
      <c r="E109" s="26"/>
      <c r="F109" s="26"/>
      <c r="O109" s="54"/>
      <c r="P109" s="54"/>
      <c r="Q109" s="54"/>
      <c r="R109" s="54"/>
      <c r="S109" s="54"/>
      <c r="T109" s="54"/>
      <c r="U109" s="50"/>
      <c r="V109" s="50"/>
      <c r="W109" s="50"/>
      <c r="X109" s="50"/>
      <c r="Y109" s="50"/>
      <c r="Z109" s="50"/>
      <c r="AA109" s="50"/>
      <c r="AB109" s="50"/>
      <c r="AC109" s="50"/>
      <c r="AD109" s="50"/>
      <c r="AE109" s="50"/>
      <c r="AF109" s="50"/>
      <c r="AG109" s="50"/>
    </row>
    <row r="110" spans="1:33">
      <c r="A110" s="26"/>
      <c r="B110" s="26"/>
      <c r="C110" s="5"/>
      <c r="D110" s="25"/>
      <c r="E110" s="26"/>
      <c r="F110" s="26"/>
      <c r="O110" s="54"/>
      <c r="P110" s="54"/>
      <c r="Q110" s="54"/>
      <c r="R110" s="54"/>
      <c r="S110" s="54"/>
      <c r="T110" s="54"/>
      <c r="U110" s="50"/>
      <c r="V110" s="50"/>
      <c r="W110" s="50"/>
      <c r="X110" s="50"/>
      <c r="Y110" s="50"/>
      <c r="Z110" s="50"/>
      <c r="AA110" s="50"/>
      <c r="AB110" s="50"/>
      <c r="AC110" s="50"/>
      <c r="AD110" s="50"/>
      <c r="AE110" s="50"/>
      <c r="AF110" s="50"/>
      <c r="AG110" s="50"/>
    </row>
    <row r="111" spans="1:33">
      <c r="A111" s="26"/>
      <c r="B111" s="26"/>
      <c r="C111" s="5"/>
      <c r="D111" s="25"/>
      <c r="E111" s="26"/>
      <c r="F111" s="26"/>
      <c r="O111" s="54"/>
      <c r="P111" s="54"/>
      <c r="Q111" s="54"/>
      <c r="R111" s="54"/>
      <c r="S111" s="54"/>
      <c r="T111" s="54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</row>
    <row r="112" spans="1:33">
      <c r="A112" s="26"/>
      <c r="B112" s="26"/>
      <c r="C112" s="5"/>
      <c r="D112" s="25"/>
      <c r="E112" s="26"/>
      <c r="F112" s="26"/>
      <c r="O112" s="54"/>
      <c r="P112" s="54"/>
      <c r="Q112" s="54"/>
      <c r="R112" s="54"/>
      <c r="S112" s="54"/>
      <c r="T112" s="54"/>
      <c r="U112" s="50"/>
      <c r="V112" s="50"/>
      <c r="W112" s="50"/>
      <c r="X112" s="50"/>
      <c r="Y112" s="50"/>
      <c r="Z112" s="50"/>
      <c r="AA112" s="50"/>
      <c r="AB112" s="50"/>
      <c r="AC112" s="50"/>
      <c r="AD112" s="50"/>
      <c r="AE112" s="50"/>
      <c r="AF112" s="50"/>
      <c r="AG112" s="50"/>
    </row>
    <row r="113" spans="1:33">
      <c r="A113" s="26"/>
      <c r="B113" s="26"/>
      <c r="C113" s="5"/>
      <c r="D113" s="25"/>
      <c r="E113" s="26"/>
      <c r="F113" s="26"/>
      <c r="O113" s="54"/>
      <c r="P113" s="54"/>
      <c r="Q113" s="54"/>
      <c r="R113" s="54"/>
      <c r="S113" s="54"/>
      <c r="T113" s="54"/>
      <c r="U113" s="50"/>
      <c r="V113" s="50"/>
      <c r="W113" s="50"/>
      <c r="X113" s="50"/>
      <c r="Y113" s="50"/>
      <c r="Z113" s="50"/>
      <c r="AA113" s="50"/>
      <c r="AB113" s="50"/>
      <c r="AC113" s="50"/>
      <c r="AD113" s="50"/>
      <c r="AE113" s="50"/>
      <c r="AF113" s="50"/>
      <c r="AG113" s="50"/>
    </row>
    <row r="114" spans="1:33">
      <c r="A114" s="26"/>
      <c r="B114" s="26"/>
      <c r="C114" s="5"/>
      <c r="D114" s="25"/>
      <c r="E114" s="26"/>
      <c r="F114" s="26"/>
      <c r="O114" s="54"/>
      <c r="P114" s="54"/>
      <c r="Q114" s="54"/>
      <c r="R114" s="54"/>
      <c r="S114" s="54"/>
      <c r="T114" s="54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</row>
    <row r="115" spans="1:33">
      <c r="A115" s="26"/>
      <c r="B115" s="26"/>
      <c r="C115" s="5"/>
      <c r="D115" s="25"/>
      <c r="E115" s="26"/>
      <c r="F115" s="26"/>
      <c r="O115" s="54"/>
      <c r="P115" s="54"/>
      <c r="Q115" s="54"/>
      <c r="R115" s="54"/>
      <c r="S115" s="54"/>
      <c r="T115" s="54"/>
      <c r="U115" s="50"/>
      <c r="V115" s="50"/>
      <c r="W115" s="50"/>
      <c r="X115" s="50"/>
      <c r="Y115" s="50"/>
      <c r="Z115" s="50"/>
      <c r="AA115" s="50"/>
      <c r="AB115" s="50"/>
      <c r="AC115" s="50"/>
      <c r="AD115" s="50"/>
      <c r="AE115" s="50"/>
      <c r="AF115" s="50"/>
      <c r="AG115" s="50"/>
    </row>
    <row r="116" spans="1:33">
      <c r="A116" s="26"/>
      <c r="B116" s="26"/>
      <c r="C116" s="5"/>
      <c r="D116" s="25"/>
      <c r="E116" s="26"/>
      <c r="F116" s="26"/>
      <c r="O116" s="54"/>
      <c r="P116" s="54"/>
      <c r="Q116" s="54"/>
      <c r="R116" s="54"/>
      <c r="S116" s="54"/>
      <c r="T116" s="54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0"/>
    </row>
    <row r="117" spans="1:33">
      <c r="A117" s="26"/>
      <c r="B117" s="26"/>
      <c r="C117" s="5"/>
      <c r="D117" s="25"/>
      <c r="E117" s="26"/>
      <c r="F117" s="26"/>
      <c r="O117" s="54"/>
      <c r="P117" s="54"/>
      <c r="Q117" s="54"/>
      <c r="R117" s="54"/>
      <c r="S117" s="54"/>
      <c r="T117" s="54"/>
      <c r="U117" s="50"/>
      <c r="V117" s="50"/>
      <c r="W117" s="50"/>
      <c r="X117" s="50"/>
      <c r="Y117" s="50"/>
      <c r="Z117" s="50"/>
      <c r="AA117" s="50"/>
      <c r="AB117" s="50"/>
      <c r="AC117" s="50"/>
      <c r="AD117" s="50"/>
      <c r="AE117" s="50"/>
      <c r="AF117" s="50"/>
      <c r="AG117" s="50"/>
    </row>
    <row r="118" spans="1:33">
      <c r="A118" s="26"/>
      <c r="B118" s="26"/>
      <c r="C118" s="5"/>
      <c r="D118" s="25"/>
      <c r="E118" s="26"/>
      <c r="F118" s="26"/>
      <c r="O118" s="54"/>
      <c r="P118" s="54"/>
      <c r="Q118" s="54"/>
      <c r="R118" s="54"/>
      <c r="S118" s="54"/>
      <c r="T118" s="54"/>
      <c r="U118" s="50"/>
      <c r="V118" s="50"/>
      <c r="W118" s="50"/>
      <c r="X118" s="50"/>
      <c r="Y118" s="50"/>
      <c r="Z118" s="50"/>
      <c r="AA118" s="50"/>
      <c r="AB118" s="50"/>
      <c r="AC118" s="50"/>
      <c r="AD118" s="50"/>
      <c r="AE118" s="50"/>
      <c r="AF118" s="50"/>
      <c r="AG118" s="50"/>
    </row>
    <row r="119" spans="1:33">
      <c r="A119" s="26"/>
      <c r="B119" s="26"/>
      <c r="C119" s="5"/>
      <c r="D119" s="25"/>
      <c r="E119" s="26"/>
      <c r="F119" s="26"/>
      <c r="O119" s="54"/>
      <c r="P119" s="54"/>
      <c r="Q119" s="54"/>
      <c r="R119" s="54"/>
      <c r="S119" s="54"/>
      <c r="T119" s="54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</row>
    <row r="120" spans="1:33">
      <c r="A120" s="26"/>
      <c r="B120" s="26"/>
      <c r="C120" s="5"/>
      <c r="D120" s="25"/>
      <c r="E120" s="26"/>
      <c r="F120" s="26"/>
      <c r="O120" s="54"/>
      <c r="P120" s="54"/>
      <c r="Q120" s="54"/>
      <c r="R120" s="54"/>
      <c r="S120" s="54"/>
      <c r="T120" s="54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</row>
    <row r="121" spans="1:33">
      <c r="A121" s="26"/>
      <c r="B121" s="26"/>
      <c r="C121" s="5"/>
      <c r="D121" s="25"/>
      <c r="E121" s="26"/>
      <c r="F121" s="26"/>
      <c r="O121" s="54"/>
      <c r="P121" s="54"/>
      <c r="Q121" s="54"/>
      <c r="R121" s="54"/>
      <c r="S121" s="54"/>
      <c r="T121" s="54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</row>
    <row r="122" spans="1:33">
      <c r="A122" s="26"/>
      <c r="B122" s="26"/>
      <c r="C122" s="5"/>
      <c r="D122" s="25"/>
      <c r="E122" s="26"/>
      <c r="F122" s="26"/>
      <c r="O122" s="54"/>
      <c r="P122" s="54"/>
      <c r="Q122" s="54"/>
      <c r="R122" s="54"/>
      <c r="S122" s="54"/>
      <c r="T122" s="54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</row>
    <row r="123" spans="1:33">
      <c r="A123" s="26"/>
      <c r="B123" s="26"/>
      <c r="C123" s="5"/>
      <c r="D123" s="25"/>
      <c r="E123" s="26"/>
      <c r="F123" s="26"/>
      <c r="O123" s="54"/>
      <c r="P123" s="54"/>
      <c r="Q123" s="54"/>
      <c r="R123" s="54"/>
      <c r="S123" s="54"/>
      <c r="T123" s="54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</row>
    <row r="124" spans="1:33">
      <c r="A124" s="26"/>
      <c r="B124" s="26"/>
      <c r="C124" s="5"/>
      <c r="D124" s="25"/>
      <c r="E124" s="26"/>
      <c r="F124" s="26"/>
      <c r="O124" s="54"/>
      <c r="P124" s="54"/>
      <c r="Q124" s="54"/>
      <c r="R124" s="54"/>
      <c r="S124" s="54"/>
      <c r="T124" s="54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</row>
    <row r="125" spans="1:33">
      <c r="A125" s="26"/>
      <c r="B125" s="26"/>
      <c r="C125" s="5"/>
      <c r="D125" s="25"/>
      <c r="E125" s="26"/>
      <c r="F125" s="26"/>
      <c r="O125" s="54"/>
      <c r="P125" s="54"/>
      <c r="Q125" s="54"/>
      <c r="R125" s="54"/>
      <c r="S125" s="54"/>
      <c r="T125" s="54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</row>
    <row r="126" spans="1:33">
      <c r="A126" s="26"/>
      <c r="B126" s="26"/>
      <c r="C126" s="5"/>
      <c r="D126" s="25"/>
      <c r="E126" s="26"/>
      <c r="F126" s="26"/>
      <c r="O126" s="54"/>
      <c r="P126" s="54"/>
      <c r="Q126" s="54"/>
      <c r="R126" s="54"/>
      <c r="S126" s="54"/>
      <c r="T126" s="54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</row>
    <row r="127" spans="1:33">
      <c r="A127" s="26"/>
      <c r="B127" s="26"/>
      <c r="C127" s="5"/>
      <c r="D127" s="25"/>
      <c r="E127" s="26"/>
      <c r="F127" s="26"/>
      <c r="O127" s="54"/>
      <c r="P127" s="54"/>
      <c r="Q127" s="54"/>
      <c r="R127" s="54"/>
      <c r="S127" s="54"/>
      <c r="T127" s="54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</row>
    <row r="128" spans="1:33">
      <c r="A128" s="26"/>
      <c r="B128" s="26"/>
      <c r="C128" s="5"/>
      <c r="D128" s="25"/>
      <c r="E128" s="26"/>
      <c r="F128" s="26"/>
      <c r="O128" s="54"/>
      <c r="P128" s="54"/>
      <c r="Q128" s="54"/>
      <c r="R128" s="54"/>
      <c r="S128" s="54"/>
      <c r="T128" s="54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</row>
    <row r="129" spans="1:33">
      <c r="A129" s="26"/>
      <c r="B129" s="26"/>
      <c r="C129" s="5"/>
      <c r="D129" s="25"/>
      <c r="E129" s="26"/>
      <c r="F129" s="26"/>
      <c r="O129" s="54"/>
      <c r="P129" s="54"/>
      <c r="Q129" s="54"/>
      <c r="R129" s="54"/>
      <c r="S129" s="54"/>
      <c r="T129" s="54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</row>
    <row r="130" spans="1:33">
      <c r="A130" s="26"/>
      <c r="B130" s="26"/>
      <c r="C130" s="5"/>
      <c r="D130" s="25"/>
      <c r="E130" s="26"/>
      <c r="F130" s="26"/>
      <c r="O130" s="54"/>
      <c r="P130" s="54"/>
      <c r="Q130" s="54"/>
      <c r="R130" s="54"/>
      <c r="S130" s="54"/>
      <c r="T130" s="54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</row>
    <row r="131" spans="1:33">
      <c r="A131" s="26"/>
      <c r="B131" s="26"/>
      <c r="C131" s="5"/>
      <c r="D131" s="25"/>
      <c r="E131" s="26"/>
      <c r="F131" s="26"/>
      <c r="O131" s="54"/>
      <c r="P131" s="54"/>
      <c r="Q131" s="54"/>
      <c r="R131" s="54"/>
      <c r="S131" s="54"/>
      <c r="T131" s="54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</row>
    <row r="132" spans="1:33">
      <c r="A132" s="26"/>
      <c r="B132" s="26"/>
      <c r="C132" s="5"/>
      <c r="D132" s="25"/>
      <c r="E132" s="26"/>
      <c r="F132" s="26"/>
      <c r="O132" s="54"/>
      <c r="P132" s="54"/>
      <c r="Q132" s="54"/>
      <c r="R132" s="54"/>
      <c r="S132" s="54"/>
      <c r="T132" s="54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</row>
    <row r="133" spans="1:33">
      <c r="A133" s="9"/>
      <c r="B133" s="9"/>
      <c r="C133" s="9"/>
      <c r="D133" s="9"/>
      <c r="E133" s="9"/>
      <c r="F133" s="9"/>
      <c r="O133" s="54"/>
      <c r="P133" s="54"/>
      <c r="Q133" s="54"/>
      <c r="R133" s="54"/>
      <c r="S133" s="54"/>
      <c r="T133" s="54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</row>
    <row r="134" spans="1:33">
      <c r="A134" s="9"/>
      <c r="B134" s="9"/>
      <c r="C134" s="9"/>
      <c r="D134" s="9"/>
      <c r="E134" s="9"/>
      <c r="F134" s="9"/>
      <c r="O134" s="54"/>
      <c r="P134" s="54"/>
      <c r="Q134" s="54"/>
      <c r="R134" s="54"/>
      <c r="S134" s="54"/>
      <c r="T134" s="54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</row>
    <row r="135" spans="1:33">
      <c r="A135" s="9"/>
      <c r="B135" s="9"/>
      <c r="C135" s="9"/>
      <c r="D135" s="9"/>
      <c r="E135" s="9"/>
      <c r="F135" s="9"/>
      <c r="O135" s="54"/>
      <c r="P135" s="54"/>
      <c r="Q135" s="54"/>
      <c r="R135" s="54"/>
      <c r="S135" s="54"/>
      <c r="T135" s="54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</row>
    <row r="136" spans="1:33">
      <c r="A136" s="9"/>
      <c r="B136" s="9"/>
      <c r="C136" s="9"/>
      <c r="D136" s="9"/>
      <c r="E136" s="9"/>
      <c r="F136" s="9"/>
      <c r="O136" s="54"/>
      <c r="P136" s="54"/>
      <c r="Q136" s="54"/>
      <c r="R136" s="54"/>
      <c r="S136" s="54"/>
      <c r="T136" s="54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</row>
    <row r="137" spans="1:33">
      <c r="A137" s="9"/>
      <c r="B137" s="9"/>
      <c r="C137" s="9"/>
      <c r="D137" s="9"/>
      <c r="E137" s="9"/>
      <c r="F137" s="9"/>
      <c r="O137" s="54"/>
      <c r="P137" s="54"/>
      <c r="Q137" s="54"/>
      <c r="R137" s="54"/>
      <c r="S137" s="54"/>
      <c r="T137" s="54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</row>
    <row r="138" spans="1:33">
      <c r="A138" s="9"/>
      <c r="B138" s="9"/>
      <c r="C138" s="9"/>
      <c r="D138" s="9"/>
      <c r="E138" s="9"/>
      <c r="F138" s="9"/>
      <c r="O138" s="54"/>
      <c r="P138" s="54"/>
      <c r="Q138" s="54"/>
      <c r="R138" s="54"/>
      <c r="S138" s="54"/>
      <c r="T138" s="54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</row>
    <row r="139" spans="1:33">
      <c r="A139" s="9"/>
      <c r="B139" s="9"/>
      <c r="C139" s="9"/>
      <c r="D139" s="9"/>
      <c r="E139" s="9"/>
      <c r="F139" s="9"/>
      <c r="O139" s="54"/>
      <c r="P139" s="54"/>
      <c r="Q139" s="54"/>
      <c r="R139" s="54"/>
      <c r="S139" s="54"/>
      <c r="T139" s="54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</row>
    <row r="140" spans="1:33">
      <c r="A140" s="9"/>
      <c r="B140" s="9"/>
      <c r="C140" s="9"/>
      <c r="D140" s="9"/>
      <c r="E140" s="9"/>
      <c r="F140" s="9"/>
      <c r="O140" s="54"/>
      <c r="P140" s="54"/>
      <c r="Q140" s="54"/>
      <c r="R140" s="54"/>
      <c r="S140" s="54"/>
      <c r="T140" s="54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</row>
    <row r="141" spans="1:33">
      <c r="A141" s="9"/>
      <c r="B141" s="9"/>
      <c r="C141" s="9"/>
      <c r="D141" s="9"/>
      <c r="E141" s="9"/>
      <c r="F141" s="9"/>
      <c r="G141" s="5"/>
      <c r="H141" s="5"/>
      <c r="I141" s="5"/>
      <c r="J141" s="5"/>
      <c r="K141" s="5"/>
      <c r="L141" s="5"/>
      <c r="O141" s="54"/>
      <c r="P141" s="54"/>
      <c r="Q141" s="54"/>
      <c r="R141" s="54"/>
      <c r="S141" s="54"/>
      <c r="T141" s="54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</row>
    <row r="142" spans="1:33">
      <c r="A142" s="9"/>
      <c r="B142" s="9"/>
      <c r="C142" s="9"/>
      <c r="D142" s="9"/>
      <c r="E142" s="9"/>
      <c r="F142" s="9"/>
      <c r="G142" s="5"/>
      <c r="H142" s="5"/>
      <c r="I142" s="5"/>
      <c r="J142" s="5"/>
      <c r="K142" s="5"/>
      <c r="L142" s="5"/>
    </row>
    <row r="143" spans="1:33">
      <c r="A143" s="9"/>
      <c r="B143" s="9"/>
      <c r="C143" s="9"/>
      <c r="D143" s="9"/>
      <c r="E143" s="9"/>
      <c r="F143" s="9"/>
      <c r="G143" s="5"/>
      <c r="H143" s="5"/>
      <c r="I143" s="5"/>
      <c r="J143" s="5"/>
      <c r="K143" s="5"/>
      <c r="L143" s="5"/>
    </row>
    <row r="144" spans="1:33">
      <c r="A144" s="9"/>
      <c r="B144" s="9"/>
      <c r="C144" s="9"/>
      <c r="D144" s="9"/>
      <c r="E144" s="9"/>
      <c r="F144" s="9"/>
      <c r="G144" s="5"/>
      <c r="H144" s="5"/>
      <c r="I144" s="5"/>
      <c r="J144" s="5"/>
      <c r="K144" s="5"/>
      <c r="L144" s="5"/>
    </row>
    <row r="145" spans="1:12">
      <c r="A145" s="9"/>
      <c r="B145" s="9"/>
      <c r="C145" s="9"/>
      <c r="D145" s="9"/>
      <c r="E145" s="9"/>
      <c r="F145" s="9"/>
      <c r="G145" s="5"/>
      <c r="H145" s="5"/>
      <c r="I145" s="5"/>
      <c r="J145" s="5"/>
      <c r="K145" s="5"/>
      <c r="L145" s="5"/>
    </row>
  </sheetData>
  <sortState xmlns:xlrd2="http://schemas.microsoft.com/office/spreadsheetml/2017/richdata2" ref="U56:U58">
    <sortCondition ref="U56"/>
  </sortState>
  <mergeCells count="11">
    <mergeCell ref="F60:G60"/>
    <mergeCell ref="F65:G65"/>
    <mergeCell ref="F24:G24"/>
    <mergeCell ref="F19:G19"/>
    <mergeCell ref="F39:G39"/>
    <mergeCell ref="F44:G44"/>
    <mergeCell ref="C2:D2"/>
    <mergeCell ref="A2:B2"/>
    <mergeCell ref="A1:D1"/>
    <mergeCell ref="A3:D3"/>
    <mergeCell ref="B4:D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Questão1</vt:lpstr>
      <vt:lpstr>Questão2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Neto</dc:creator>
  <cp:keywords/>
  <dc:description/>
  <cp:lastModifiedBy>Henrique Neto</cp:lastModifiedBy>
  <cp:revision>1</cp:revision>
  <dcterms:created xsi:type="dcterms:W3CDTF">2015-06-05T18:19:34Z</dcterms:created>
  <dcterms:modified xsi:type="dcterms:W3CDTF">2021-04-26T23:13:37Z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